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0230" yWindow="45" windowWidth="10275" windowHeight="7515" firstSheet="9" activeTab="14"/>
  </bookViews>
  <sheets>
    <sheet name="Assumptions" sheetId="64" state="hidden" r:id="rId1"/>
    <sheet name="Geog wise sales volume" sheetId="47" state="hidden" r:id="rId2"/>
    <sheet name="Geog wise sales value" sheetId="48" state="hidden" r:id="rId3"/>
    <sheet name="Productwise sales" sheetId="60" r:id="rId4"/>
    <sheet name="Domestic" sheetId="55" r:id="rId5"/>
    <sheet name="Export" sheetId="66" state="hidden" r:id="rId6"/>
    <sheet name="Europe" sheetId="57" r:id="rId7"/>
    <sheet name="Asia-Pacific" sheetId="58" r:id="rId8"/>
    <sheet name="Rest of world" sheetId="59" r:id="rId9"/>
    <sheet name="North America" sheetId="56" r:id="rId10"/>
    <sheet name="Latin America" sheetId="69" r:id="rId11"/>
    <sheet name="ABP Bifurcation" sheetId="73" r:id="rId12"/>
    <sheet name="Revised GC" sheetId="72" r:id="rId13"/>
    <sheet name="Region-wise summary" sheetId="74" r:id="rId14"/>
    <sheet name="Asia-pacific Summary" sheetId="75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</externalReferences>
  <definedNames>
    <definedName name="\I" localSheetId="11">#REF!</definedName>
    <definedName name="\I" localSheetId="12">#REF!</definedName>
    <definedName name="\I">#REF!</definedName>
    <definedName name="\p" localSheetId="12">#REF!</definedName>
    <definedName name="\p">#REF!</definedName>
    <definedName name="________DAT1">#REF!</definedName>
    <definedName name="________DAT7">#REF!</definedName>
    <definedName name="________DAT8">#REF!</definedName>
    <definedName name="_______DAT1" localSheetId="11">[1]Plan!#REF!</definedName>
    <definedName name="_______DAT1">[1]Plan!#REF!</definedName>
    <definedName name="_______DAT3">#REF!</definedName>
    <definedName name="_______DAT4">#REF!</definedName>
    <definedName name="_______DAT5">#REF!</definedName>
    <definedName name="_______DAT6">#REF!</definedName>
    <definedName name="_______DAT7" localSheetId="11">[1]Plan!#REF!</definedName>
    <definedName name="_______DAT7">[1]Plan!#REF!</definedName>
    <definedName name="_______DAT8" localSheetId="11">[1]Plan!#REF!</definedName>
    <definedName name="_______DAT8">[1]Plan!#REF!</definedName>
    <definedName name="_______DAT9" localSheetId="11">[1]Plan!#REF!</definedName>
    <definedName name="_______DAT9">[1]Plan!#REF!</definedName>
    <definedName name="______DAP1" localSheetId="11">#REF!</definedName>
    <definedName name="______DAP1">#REF!</definedName>
    <definedName name="______DAP2">#REF!</definedName>
    <definedName name="______DAT1">#REF!</definedName>
    <definedName name="______DAT2">#REF!</definedName>
    <definedName name="______DAT3" localSheetId="11">[1]Plan!#REF!</definedName>
    <definedName name="______DAT3">[1]Plan!#REF!</definedName>
    <definedName name="______DAT4" localSheetId="11">[1]Plan!#REF!</definedName>
    <definedName name="______DAT4">[1]Plan!#REF!</definedName>
    <definedName name="______DAT5" localSheetId="11">[1]Plan!#REF!</definedName>
    <definedName name="______DAT5">[1]Plan!#REF!</definedName>
    <definedName name="______DAT6" localSheetId="11">[1]Plan!#REF!</definedName>
    <definedName name="______DAT6">[1]Plan!#REF!</definedName>
    <definedName name="______DAT7" localSheetId="11">#REF!</definedName>
    <definedName name="______DAT7">#REF!</definedName>
    <definedName name="______DAT8">#REF!</definedName>
    <definedName name="______DAT9">#REF!</definedName>
    <definedName name="______NPK1">#REF!</definedName>
    <definedName name="______NPK2">#REF!</definedName>
    <definedName name="_____DAP1">#REF!</definedName>
    <definedName name="_____DAP2">#REF!</definedName>
    <definedName name="_____DAP3" localSheetId="11">[2]DAP!#REF!</definedName>
    <definedName name="_____DAP3">[2]DAP!#REF!</definedName>
    <definedName name="_____DAT1" localSheetId="11">[1]Plan!#REF!</definedName>
    <definedName name="_____DAT1">[1]Plan!#REF!</definedName>
    <definedName name="_____DAT11">#REF!</definedName>
    <definedName name="_____DAT12">#REF!</definedName>
    <definedName name="_____DAT2" localSheetId="11">[1]Plan!#REF!</definedName>
    <definedName name="_____DAT2">[1]Plan!#REF!</definedName>
    <definedName name="_____DAT3" localSheetId="11">[1]Plan!#REF!</definedName>
    <definedName name="_____DAT3">[1]Plan!#REF!</definedName>
    <definedName name="_____DAT4" localSheetId="11">[1]Plan!#REF!</definedName>
    <definedName name="_____DAT4">[1]Plan!#REF!</definedName>
    <definedName name="_____DAT5" localSheetId="11">[1]Plan!#REF!</definedName>
    <definedName name="_____DAT5">[1]Plan!#REF!</definedName>
    <definedName name="_____DAT6" localSheetId="11">[1]Plan!#REF!</definedName>
    <definedName name="_____DAT6">[1]Plan!#REF!</definedName>
    <definedName name="_____DAT7" localSheetId="11">[1]Plan!#REF!</definedName>
    <definedName name="_____DAT7">[1]Plan!#REF!</definedName>
    <definedName name="_____DAT8" localSheetId="11">[1]Plan!#REF!</definedName>
    <definedName name="_____DAT8">[1]Plan!#REF!</definedName>
    <definedName name="_____DAT9" localSheetId="11">[1]Plan!#REF!</definedName>
    <definedName name="_____DAT9">[1]Plan!#REF!</definedName>
    <definedName name="_____NPK1" localSheetId="11">#REF!</definedName>
    <definedName name="_____NPK1">#REF!</definedName>
    <definedName name="_____NPK2" localSheetId="11">#REF!</definedName>
    <definedName name="_____NPK2">#REF!</definedName>
    <definedName name="____DAP1">#REF!</definedName>
    <definedName name="____DAP2">#REF!</definedName>
    <definedName name="____DAP3" localSheetId="11">[2]DAP!#REF!</definedName>
    <definedName name="____DAP3">[2]DAP!#REF!</definedName>
    <definedName name="____DAT1" localSheetId="11">'[3]TRIAL BALANCE'!#REF!</definedName>
    <definedName name="____DAT1" localSheetId="12">'[3]TRIAL BALANCE'!#REF!</definedName>
    <definedName name="____DAT1">'[3]TRIAL BALANCE'!#REF!</definedName>
    <definedName name="____DAT11" localSheetId="11">#REF!</definedName>
    <definedName name="____DAT11">#REF!</definedName>
    <definedName name="____DAT12">#REF!</definedName>
    <definedName name="____DAT13" localSheetId="11">[4]Sheet1!#REF!</definedName>
    <definedName name="____DAT13" localSheetId="12">[4]Sheet1!#REF!</definedName>
    <definedName name="____DAT13">[4]Sheet1!#REF!</definedName>
    <definedName name="____DAT14" localSheetId="11">[4]Sheet1!#REF!</definedName>
    <definedName name="____DAT14" localSheetId="12">[4]Sheet1!#REF!</definedName>
    <definedName name="____DAT14">[4]Sheet1!#REF!</definedName>
    <definedName name="____DAT2" localSheetId="11">[1]Plan!#REF!</definedName>
    <definedName name="____DAT2">[1]Plan!#REF!</definedName>
    <definedName name="____DAT3" localSheetId="11">'[3]TRIAL BALANCE'!#REF!</definedName>
    <definedName name="____DAT3" localSheetId="12">'[3]TRIAL BALANCE'!#REF!</definedName>
    <definedName name="____DAT3">'[3]TRIAL BALANCE'!#REF!</definedName>
    <definedName name="____DAT4" localSheetId="11">[1]Plan!#REF!</definedName>
    <definedName name="____DAT4">[1]Plan!#REF!</definedName>
    <definedName name="____DAT5" localSheetId="11">'[3]TRIAL BALANCE'!#REF!</definedName>
    <definedName name="____DAT5" localSheetId="12">'[3]TRIAL BALANCE'!#REF!</definedName>
    <definedName name="____DAT5">'[3]TRIAL BALANCE'!#REF!</definedName>
    <definedName name="____DAT6" localSheetId="11">'[3]TRIAL BALANCE'!#REF!</definedName>
    <definedName name="____DAT6" localSheetId="12">'[3]TRIAL BALANCE'!#REF!</definedName>
    <definedName name="____DAT6">'[3]TRIAL BALANCE'!#REF!</definedName>
    <definedName name="____DAT7" localSheetId="11">[1]Plan!#REF!</definedName>
    <definedName name="____DAT7">[1]Plan!#REF!</definedName>
    <definedName name="____DAT8" localSheetId="11">[1]Plan!#REF!</definedName>
    <definedName name="____DAT8">[1]Plan!#REF!</definedName>
    <definedName name="____DAT9" localSheetId="11">[1]Plan!#REF!</definedName>
    <definedName name="____DAT9">[1]Plan!#REF!</definedName>
    <definedName name="____NPK1" localSheetId="11">#REF!</definedName>
    <definedName name="____NPK1">#REF!</definedName>
    <definedName name="____NPK2" localSheetId="11">#REF!</definedName>
    <definedName name="____NPK2">#REF!</definedName>
    <definedName name="___DAP1" localSheetId="12">#REF!</definedName>
    <definedName name="___DAP1">#REF!</definedName>
    <definedName name="___DAP2" localSheetId="12">#REF!</definedName>
    <definedName name="___DAP2">#REF!</definedName>
    <definedName name="___DAP3" localSheetId="11">[2]DAP!#REF!</definedName>
    <definedName name="___DAP3" localSheetId="12">[2]DAP!#REF!</definedName>
    <definedName name="___DAP3">[2]DAP!#REF!</definedName>
    <definedName name="___DAT1" localSheetId="11">'[3]TRIAL BALANCE'!#REF!</definedName>
    <definedName name="___DAT1" localSheetId="12">'[3]TRIAL BALANCE'!#REF!</definedName>
    <definedName name="___DAT1">'[3]TRIAL BALANCE'!#REF!</definedName>
    <definedName name="___DAT10" localSheetId="11">#REF!</definedName>
    <definedName name="___DAT10">#REF!</definedName>
    <definedName name="___DAT11">#REF!</definedName>
    <definedName name="___DAT12">#REF!</definedName>
    <definedName name="___DAT13" localSheetId="11">[4]Sheet1!#REF!</definedName>
    <definedName name="___DAT13" localSheetId="12">[4]Sheet1!#REF!</definedName>
    <definedName name="___DAT13">[4]Sheet1!#REF!</definedName>
    <definedName name="___DAT14" localSheetId="11">[4]Sheet1!#REF!</definedName>
    <definedName name="___DAT14" localSheetId="12">[4]Sheet1!#REF!</definedName>
    <definedName name="___DAT14">[4]Sheet1!#REF!</definedName>
    <definedName name="___DAT2" localSheetId="11">[1]Plan!#REF!</definedName>
    <definedName name="___DAT2" localSheetId="12">[1]Plan!#REF!</definedName>
    <definedName name="___DAT2">[1]Plan!#REF!</definedName>
    <definedName name="___DAT3" localSheetId="11">'[3]TRIAL BALANCE'!#REF!</definedName>
    <definedName name="___DAT3" localSheetId="12">'[3]TRIAL BALANCE'!#REF!</definedName>
    <definedName name="___DAT3">'[3]TRIAL BALANCE'!#REF!</definedName>
    <definedName name="___DAT4" localSheetId="11">[1]Plan!#REF!</definedName>
    <definedName name="___DAT4" localSheetId="12">[1]Plan!#REF!</definedName>
    <definedName name="___DAT4">[1]Plan!#REF!</definedName>
    <definedName name="___DAT5" localSheetId="11">'[3]TRIAL BALANCE'!#REF!</definedName>
    <definedName name="___DAT5" localSheetId="12">'[3]TRIAL BALANCE'!#REF!</definedName>
    <definedName name="___DAT5">'[3]TRIAL BALANCE'!#REF!</definedName>
    <definedName name="___DAT6" localSheetId="11">'[3]TRIAL BALANCE'!#REF!</definedName>
    <definedName name="___DAT6" localSheetId="12">'[3]TRIAL BALANCE'!#REF!</definedName>
    <definedName name="___DAT6">'[3]TRIAL BALANCE'!#REF!</definedName>
    <definedName name="___DAT7" localSheetId="11">[1]Plan!#REF!</definedName>
    <definedName name="___DAT7" localSheetId="12">[1]Plan!#REF!</definedName>
    <definedName name="___DAT7">[1]Plan!#REF!</definedName>
    <definedName name="___DAT8" localSheetId="11">[1]Plan!#REF!</definedName>
    <definedName name="___DAT8" localSheetId="12">[1]Plan!#REF!</definedName>
    <definedName name="___DAT8">[1]Plan!#REF!</definedName>
    <definedName name="___DAT9" localSheetId="11">[1]Plan!#REF!</definedName>
    <definedName name="___DAT9" localSheetId="12">[1]Plan!#REF!</definedName>
    <definedName name="___DAT9">[1]Plan!#REF!</definedName>
    <definedName name="___NPK1" localSheetId="11">#REF!</definedName>
    <definedName name="___NPK1" localSheetId="12">#REF!</definedName>
    <definedName name="___NPK1">#REF!</definedName>
    <definedName name="___NPK2" localSheetId="12">#REF!</definedName>
    <definedName name="___NPK2">#REF!</definedName>
    <definedName name="__DAP1" localSheetId="12">#REF!</definedName>
    <definedName name="__DAP1">#REF!</definedName>
    <definedName name="__DAP2" localSheetId="12">#REF!</definedName>
    <definedName name="__DAP2">#REF!</definedName>
    <definedName name="__DAP3" localSheetId="11">[2]DAP!#REF!</definedName>
    <definedName name="__DAP3" localSheetId="12">[2]DAP!#REF!</definedName>
    <definedName name="__DAP3">[2]DAP!#REF!</definedName>
    <definedName name="__DAT1" localSheetId="11">'[5]TRIAL BALANCE'!#REF!</definedName>
    <definedName name="__DAT1" localSheetId="12">'[5]TRIAL BALANCE'!#REF!</definedName>
    <definedName name="__DAT1">'[5]TRIAL BALANCE'!#REF!</definedName>
    <definedName name="__DAT10" localSheetId="11">#REF!</definedName>
    <definedName name="__DAT10">#REF!</definedName>
    <definedName name="__DAT11">#REF!</definedName>
    <definedName name="__DAT12">#REF!</definedName>
    <definedName name="__DAT13" localSheetId="11">[4]Sheet1!#REF!</definedName>
    <definedName name="__DAT13" localSheetId="12">[4]Sheet1!#REF!</definedName>
    <definedName name="__DAT13">[4]Sheet1!#REF!</definedName>
    <definedName name="__DAT14" localSheetId="11">[4]Sheet1!#REF!</definedName>
    <definedName name="__DAT14" localSheetId="12">[4]Sheet1!#REF!</definedName>
    <definedName name="__DAT14">[4]Sheet1!#REF!</definedName>
    <definedName name="__DAT2" localSheetId="11">[1]Plan!#REF!</definedName>
    <definedName name="__DAT2" localSheetId="12">[1]Plan!#REF!</definedName>
    <definedName name="__DAT2">[1]Plan!#REF!</definedName>
    <definedName name="__DAT3" localSheetId="11">'[5]TRIAL BALANCE'!#REF!</definedName>
    <definedName name="__DAT3" localSheetId="12">'[5]TRIAL BALANCE'!#REF!</definedName>
    <definedName name="__DAT3">'[5]TRIAL BALANCE'!#REF!</definedName>
    <definedName name="__DAT4" localSheetId="11">[1]Plan!#REF!</definedName>
    <definedName name="__DAT4" localSheetId="12">[1]Plan!#REF!</definedName>
    <definedName name="__DAT4">[1]Plan!#REF!</definedName>
    <definedName name="__DAT5" localSheetId="11">'[5]TRIAL BALANCE'!#REF!</definedName>
    <definedName name="__DAT5" localSheetId="12">'[5]TRIAL BALANCE'!#REF!</definedName>
    <definedName name="__DAT5">'[5]TRIAL BALANCE'!#REF!</definedName>
    <definedName name="__DAT6" localSheetId="11">'[5]TRIAL BALANCE'!#REF!</definedName>
    <definedName name="__DAT6" localSheetId="12">'[5]TRIAL BALANCE'!#REF!</definedName>
    <definedName name="__DAT6">'[5]TRIAL BALANCE'!#REF!</definedName>
    <definedName name="__DAT7" localSheetId="11">[1]Plan!#REF!</definedName>
    <definedName name="__DAT7" localSheetId="12">[1]Plan!#REF!</definedName>
    <definedName name="__DAT7">[1]Plan!#REF!</definedName>
    <definedName name="__DAT8" localSheetId="11">[1]Plan!#REF!</definedName>
    <definedName name="__DAT8" localSheetId="12">[1]Plan!#REF!</definedName>
    <definedName name="__DAT8">[1]Plan!#REF!</definedName>
    <definedName name="__DAT9" localSheetId="11">[1]Plan!#REF!</definedName>
    <definedName name="__DAT9" localSheetId="12">[1]Plan!#REF!</definedName>
    <definedName name="__DAT9">[1]Plan!#REF!</definedName>
    <definedName name="__key2" localSheetId="11" hidden="1">#REF!</definedName>
    <definedName name="__key2" hidden="1">#REF!</definedName>
    <definedName name="__NPK1" localSheetId="12">#REF!</definedName>
    <definedName name="__NPK1">#REF!</definedName>
    <definedName name="__NPK2" localSheetId="12">#REF!</definedName>
    <definedName name="__NPK2">#REF!</definedName>
    <definedName name="_1">#REF!</definedName>
    <definedName name="_1_100000">#REF!</definedName>
    <definedName name="_DAP1" localSheetId="12">#REF!</definedName>
    <definedName name="_DAP1">#REF!</definedName>
    <definedName name="_DAP2" localSheetId="12">#REF!</definedName>
    <definedName name="_DAP2">#REF!</definedName>
    <definedName name="_DAP3" localSheetId="11">[2]DAP!#REF!</definedName>
    <definedName name="_DAP3" localSheetId="12">[2]DAP!#REF!</definedName>
    <definedName name="_DAP3">[2]DAP!#REF!</definedName>
    <definedName name="_DAT1" localSheetId="11">'[3]TRIAL BALANCE'!#REF!</definedName>
    <definedName name="_DAT1" localSheetId="5">'[3]TRIAL BALANCE'!#REF!</definedName>
    <definedName name="_DAT1" localSheetId="10">'[3]TRIAL BALANCE'!#REF!</definedName>
    <definedName name="_DAT1" localSheetId="12">'[3]TRIAL BALANCE'!#REF!</definedName>
    <definedName name="_DAT1">'[3]TRIAL BALANCE'!#REF!</definedName>
    <definedName name="_DAT10" localSheetId="11">#REF!</definedName>
    <definedName name="_DAT10" localSheetId="12">#REF!</definedName>
    <definedName name="_DAT10">#REF!</definedName>
    <definedName name="_DAT11" localSheetId="11">[6]Sheet1!#REF!</definedName>
    <definedName name="_DAT11" localSheetId="12">[6]Sheet1!#REF!</definedName>
    <definedName name="_DAT11">[6]Sheet1!#REF!</definedName>
    <definedName name="_DAT12" localSheetId="11">[6]Sheet1!#REF!</definedName>
    <definedName name="_DAT12" localSheetId="12">[6]Sheet1!#REF!</definedName>
    <definedName name="_DAT12">[6]Sheet1!#REF!</definedName>
    <definedName name="_DAT13" localSheetId="11">[4]Sheet1!#REF!</definedName>
    <definedName name="_DAT13" localSheetId="5">[4]Sheet1!#REF!</definedName>
    <definedName name="_DAT13" localSheetId="10">[4]Sheet1!#REF!</definedName>
    <definedName name="_DAT13" localSheetId="12">[4]Sheet1!#REF!</definedName>
    <definedName name="_DAT13">[4]Sheet1!#REF!</definedName>
    <definedName name="_DAT14" localSheetId="11">[4]Sheet1!#REF!</definedName>
    <definedName name="_DAT14" localSheetId="5">[4]Sheet1!#REF!</definedName>
    <definedName name="_DAT14" localSheetId="10">[4]Sheet1!#REF!</definedName>
    <definedName name="_DAT14" localSheetId="12">[4]Sheet1!#REF!</definedName>
    <definedName name="_DAT14">[4]Sheet1!#REF!</definedName>
    <definedName name="_DAT15" localSheetId="11">#REF!</definedName>
    <definedName name="_DAT15" localSheetId="12">#REF!</definedName>
    <definedName name="_DAT15">#REF!</definedName>
    <definedName name="_DAT16" localSheetId="12">#REF!</definedName>
    <definedName name="_DAT16">#REF!</definedName>
    <definedName name="_DAT2" localSheetId="11">[1]Plan!#REF!</definedName>
    <definedName name="_DAT2" localSheetId="12">[1]Plan!#REF!</definedName>
    <definedName name="_DAT2">[1]Plan!#REF!</definedName>
    <definedName name="_DAT20" localSheetId="12">#REF!</definedName>
    <definedName name="_DAT20">#REF!</definedName>
    <definedName name="_DAT3" localSheetId="11">'[3]TRIAL BALANCE'!#REF!</definedName>
    <definedName name="_DAT3" localSheetId="5">'[3]TRIAL BALANCE'!#REF!</definedName>
    <definedName name="_DAT3" localSheetId="10">'[3]TRIAL BALANCE'!#REF!</definedName>
    <definedName name="_DAT3" localSheetId="12">'[3]TRIAL BALANCE'!#REF!</definedName>
    <definedName name="_DAT3">'[3]TRIAL BALANCE'!#REF!</definedName>
    <definedName name="_DAT4" localSheetId="11">[6]Sheet1!#REF!</definedName>
    <definedName name="_DAT4" localSheetId="12">[6]Sheet1!#REF!</definedName>
    <definedName name="_DAT4">[6]Sheet1!#REF!</definedName>
    <definedName name="_DAT5" localSheetId="11">'[3]TRIAL BALANCE'!#REF!</definedName>
    <definedName name="_DAT5" localSheetId="5">'[3]TRIAL BALANCE'!#REF!</definedName>
    <definedName name="_DAT5" localSheetId="10">'[3]TRIAL BALANCE'!#REF!</definedName>
    <definedName name="_DAT5" localSheetId="12">'[3]TRIAL BALANCE'!#REF!</definedName>
    <definedName name="_DAT5">'[3]TRIAL BALANCE'!#REF!</definedName>
    <definedName name="_DAT6" localSheetId="11">'[3]TRIAL BALANCE'!#REF!</definedName>
    <definedName name="_DAT6" localSheetId="5">'[3]TRIAL BALANCE'!#REF!</definedName>
    <definedName name="_DAT6" localSheetId="10">'[3]TRIAL BALANCE'!#REF!</definedName>
    <definedName name="_DAT6" localSheetId="12">'[3]TRIAL BALANCE'!#REF!</definedName>
    <definedName name="_DAT6">'[3]TRIAL BALANCE'!#REF!</definedName>
    <definedName name="_DAT7" localSheetId="11">[1]Plan!#REF!</definedName>
    <definedName name="_DAT7" localSheetId="12">[1]Plan!#REF!</definedName>
    <definedName name="_DAT7">[1]Plan!#REF!</definedName>
    <definedName name="_DAT8" localSheetId="11">[6]Sheet1!#REF!</definedName>
    <definedName name="_DAT8" localSheetId="12">[6]Sheet1!#REF!</definedName>
    <definedName name="_DAT8">[6]Sheet1!#REF!</definedName>
    <definedName name="_DAT9" localSheetId="11">[6]Sheet1!#REF!</definedName>
    <definedName name="_DAT9" localSheetId="12">[6]Sheet1!#REF!</definedName>
    <definedName name="_DAT9">[6]Sheet1!#REF!</definedName>
    <definedName name="_Fill" localSheetId="11" hidden="1">#REF!</definedName>
    <definedName name="_Fill" localSheetId="12" hidden="1">#REF!</definedName>
    <definedName name="_Fill" hidden="1">#REF!</definedName>
    <definedName name="_xlnm._FilterDatabase" localSheetId="8" hidden="1">'Rest of world'!$A$6:$BO$71</definedName>
    <definedName name="_NPK1" localSheetId="12">#REF!</definedName>
    <definedName name="_NPK1">#REF!</definedName>
    <definedName name="_NPK2" localSheetId="12">#REF!</definedName>
    <definedName name="_NPK2">#REF!</definedName>
    <definedName name="_SCH6">#REF!</definedName>
    <definedName name="a" localSheetId="12">'[7]Input Sheet-Variable Costs'!#REF!</definedName>
    <definedName name="a">[8]DATA!$A$905:$IV$1194</definedName>
    <definedName name="ab">'[9]10. Data lists'!$I$5:$I$11</definedName>
    <definedName name="ACCSH" localSheetId="12">#REF!</definedName>
    <definedName name="ACCSH">#REF!</definedName>
    <definedName name="Alcohol">'[10]10. Data lists'!$G$5:$G$11</definedName>
    <definedName name="Allahabad">#REF!</definedName>
    <definedName name="Amount">[11]COST1_12FINAL!$O:$O</definedName>
    <definedName name="ApriYTD">[4]Sheet1!#REF!</definedName>
    <definedName name="asd">'[12]SSC Mumbai Details 2008'!#REF!</definedName>
    <definedName name="asdfghj">[13]Sheet1!#REF!</definedName>
    <definedName name="B" localSheetId="12">[4]Sheet1!#REF!</definedName>
    <definedName name="B">[4]Sheet1!#REF!</definedName>
    <definedName name="BANK">#REF!</definedName>
    <definedName name="BI">'[10]2.14. Cost computation - MO'!$AA$16</definedName>
    <definedName name="bl" localSheetId="12">#REF!</definedName>
    <definedName name="bl">#REF!</definedName>
    <definedName name="Blending">'[10]10. Data lists'!$H$5:$H$11</definedName>
    <definedName name="BRANCH">#REF!</definedName>
    <definedName name="cc" localSheetId="5">[4]Sheet1!#REF!</definedName>
    <definedName name="cc" localSheetId="10">[4]Sheet1!#REF!</definedName>
    <definedName name="cc" localSheetId="12">[4]Sheet1!#REF!</definedName>
    <definedName name="cc">[4]Sheet1!#REF!</definedName>
    <definedName name="cde" localSheetId="12">[4]Sheet1!#REF!</definedName>
    <definedName name="cde">[4]Sheet1!#REF!</definedName>
    <definedName name="CITY">#REF!</definedName>
    <definedName name="Client">"Client"</definedName>
    <definedName name="Client_Grade">"C"</definedName>
    <definedName name="cmb_TCS.StateCode">[14]IT_FBT_DDTP!$J$65:$J$100</definedName>
    <definedName name="cmb_TDS2.StateCode">[14]IT_FBT_DDTP!$H$65:$H$100</definedName>
    <definedName name="_xlnm.Criteria" localSheetId="12">[15]RP!#REF!</definedName>
    <definedName name="_xlnm.Criteria">[15]RP!#REF!</definedName>
    <definedName name="Cumulative8">'[16]TB30.04.06 (2)'!#REF!</definedName>
    <definedName name="CumulativeE">'[16]TB30.04.06 (2)'!#REF!</definedName>
    <definedName name="CumulativeF">'[16]TB30.04.06 (2)'!#REF!</definedName>
    <definedName name="CumulativeG">'[16]TB30.04.06 (2)'!#REF!</definedName>
    <definedName name="CumulativeH">'[16]TB30.04.06 (2)'!#REF!</definedName>
    <definedName name="Customer_Address">"Rm 2409, 24/F Winsor House"</definedName>
    <definedName name="Customer_City">"Causeway Bay, Hong KOng"</definedName>
    <definedName name="Customer_Name">"Trend_Micro_HK_Limited"</definedName>
    <definedName name="Customer_State">"Hong KOng"</definedName>
    <definedName name="Customer_ZIP">"sdf"</definedName>
    <definedName name="CWIPINVST">#REF!</definedName>
    <definedName name="D">[17]Sheet2!$A$1:$IV$298</definedName>
    <definedName name="DATA1" localSheetId="10">#REF!</definedName>
    <definedName name="DATA1" localSheetId="12">#REF!</definedName>
    <definedName name="DATA1">#REF!</definedName>
    <definedName name="DATA10" localSheetId="10">#REF!</definedName>
    <definedName name="DATA10" localSheetId="12">#REF!</definedName>
    <definedName name="DATA10">#REF!</definedName>
    <definedName name="DATA11" localSheetId="10">#REF!</definedName>
    <definedName name="DATA11" localSheetId="12">#REF!</definedName>
    <definedName name="DATA11">#REF!</definedName>
    <definedName name="DATA12" localSheetId="10">#REF!</definedName>
    <definedName name="DATA12" localSheetId="12">#REF!</definedName>
    <definedName name="DATA12">#REF!</definedName>
    <definedName name="DATA13" localSheetId="10">#REF!</definedName>
    <definedName name="DATA13" localSheetId="12">#REF!</definedName>
    <definedName name="DATA13">#REF!</definedName>
    <definedName name="DATA14" localSheetId="10">#REF!</definedName>
    <definedName name="DATA14" localSheetId="12">#REF!</definedName>
    <definedName name="DATA14">#REF!</definedName>
    <definedName name="DATA15" localSheetId="10">#REF!</definedName>
    <definedName name="DATA15" localSheetId="12">#REF!</definedName>
    <definedName name="DATA15">#REF!</definedName>
    <definedName name="DATA16" localSheetId="10">#REF!</definedName>
    <definedName name="DATA16" localSheetId="12">#REF!</definedName>
    <definedName name="DATA16">#REF!</definedName>
    <definedName name="DATA17" localSheetId="10">#REF!</definedName>
    <definedName name="DATA17" localSheetId="12">#REF!</definedName>
    <definedName name="DATA17">#REF!</definedName>
    <definedName name="DATA18" localSheetId="10">#REF!</definedName>
    <definedName name="DATA18" localSheetId="12">#REF!</definedName>
    <definedName name="DATA18">#REF!</definedName>
    <definedName name="DATA19" localSheetId="10">#REF!</definedName>
    <definedName name="DATA19" localSheetId="12">#REF!</definedName>
    <definedName name="DATA19">#REF!</definedName>
    <definedName name="DATA2" localSheetId="10">#REF!</definedName>
    <definedName name="DATA2" localSheetId="12">#REF!</definedName>
    <definedName name="DATA2">#REF!</definedName>
    <definedName name="DATA20" localSheetId="10">#REF!</definedName>
    <definedName name="DATA20" localSheetId="12">#REF!</definedName>
    <definedName name="DATA20">#REF!</definedName>
    <definedName name="DATA21">#REF!</definedName>
    <definedName name="DATA22">#REF!</definedName>
    <definedName name="DATA23">'[12]SSC Mumbai Details 2008'!#REF!</definedName>
    <definedName name="DATA24">'[18]Open Items-311208'!#REF!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 localSheetId="10">#REF!</definedName>
    <definedName name="DATA3" localSheetId="12">#REF!</definedName>
    <definedName name="DATA3">#REF!</definedName>
    <definedName name="DATA30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 localSheetId="10">#REF!</definedName>
    <definedName name="DATA4" localSheetId="12">#REF!</definedName>
    <definedName name="DATA4">#REF!</definedName>
    <definedName name="DATA40">#REF!</definedName>
    <definedName name="DATA41">#REF!</definedName>
    <definedName name="DATA42">#REF!</definedName>
    <definedName name="DATA43">[19]details!$AP$3:$AP$12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 localSheetId="10">#REF!</definedName>
    <definedName name="DATA5" localSheetId="12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58">#REF!</definedName>
    <definedName name="DATA59">#REF!</definedName>
    <definedName name="DATA6" localSheetId="10">#REF!</definedName>
    <definedName name="DATA6" localSheetId="12">#REF!</definedName>
    <definedName name="DATA6">#REF!</definedName>
    <definedName name="DATA60">#REF!</definedName>
    <definedName name="DATA61">#REF!</definedName>
    <definedName name="DATA62">#REF!</definedName>
    <definedName name="DATA63">#REF!</definedName>
    <definedName name="DATA64">#REF!</definedName>
    <definedName name="DATA65">#REF!</definedName>
    <definedName name="DATA66">#REF!</definedName>
    <definedName name="DATA67">#REF!</definedName>
    <definedName name="DATA68">#REF!</definedName>
    <definedName name="DATA69">#REF!</definedName>
    <definedName name="DATA7" localSheetId="10">#REF!</definedName>
    <definedName name="DATA7" localSheetId="12">#REF!</definedName>
    <definedName name="DATA7">#REF!</definedName>
    <definedName name="DATA70">#REF!</definedName>
    <definedName name="DATA71">#REF!</definedName>
    <definedName name="DATA72">#REF!</definedName>
    <definedName name="DATA73">#REF!</definedName>
    <definedName name="DATA74">#REF!</definedName>
    <definedName name="DATA75">#REF!</definedName>
    <definedName name="DATA76">#REF!</definedName>
    <definedName name="DATA77">#REF!</definedName>
    <definedName name="DATA78">#REF!</definedName>
    <definedName name="DATA79">#REF!</definedName>
    <definedName name="DATA8" localSheetId="10">#REF!</definedName>
    <definedName name="DATA8" localSheetId="12">#REF!</definedName>
    <definedName name="DATA8">#REF!</definedName>
    <definedName name="DATA9" localSheetId="10">#REF!</definedName>
    <definedName name="DATA9" localSheetId="12">#REF!</definedName>
    <definedName name="DATA9">#REF!</definedName>
    <definedName name="_xlnm.Database" localSheetId="12">[15]CERT!#REF!</definedName>
    <definedName name="_xlnm.Database">[15]CERT!#REF!</definedName>
    <definedName name="DateRange">"1998.10.01 To 1998.10.31"</definedName>
    <definedName name="dd">'[20]HO_SSC_SYN Details'!#REF!</definedName>
    <definedName name="ddddd">'[21]Raw Zcontractlist'!#REF!</definedName>
    <definedName name="def" localSheetId="12">'[3]TRIAL BALANCE'!#REF!</definedName>
    <definedName name="def">'[3]TRIAL BALANCE'!#REF!</definedName>
    <definedName name="Denabank">#REF!</definedName>
    <definedName name="Depot_Kerala">'[22]oLD bALANCING'!$A$83</definedName>
    <definedName name="Depot_Rigids">'[22]oLD bALANCING'!$A$29</definedName>
    <definedName name="DEPT">#REF!</definedName>
    <definedName name="dert" localSheetId="12">[4]Sheet1!#REF!</definedName>
    <definedName name="dert">[4]Sheet1!#REF!</definedName>
    <definedName name="DESIGNATION">#REF!</definedName>
    <definedName name="dfvfvfbfdbfb5">#REF!</definedName>
    <definedName name="DG">'[23]10. Data lists'!$E$5:$E$11</definedName>
    <definedName name="dipti" localSheetId="12">#REF!</definedName>
    <definedName name="dipti">#REF!</definedName>
    <definedName name="djnkan" localSheetId="12">[4]Sheet1!#REF!</definedName>
    <definedName name="djnkan">[4]Sheet1!#REF!</definedName>
    <definedName name="dllfkldfk">#REF!</definedName>
    <definedName name="dtd" localSheetId="12">[24]Ass.Sheet!#REF!</definedName>
    <definedName name="dtd">[24]Ass.Sheet!#REF!</definedName>
    <definedName name="emp">[25]MASTERS!$A:$B</definedName>
    <definedName name="Employee_Listing" localSheetId="12">#REF!</definedName>
    <definedName name="Employee_Listing">#REF!</definedName>
    <definedName name="ewew" localSheetId="12">#REF!</definedName>
    <definedName name="ewew">#REF!</definedName>
    <definedName name="EXCEL" localSheetId="12">#REF!</definedName>
    <definedName name="EXCEL">#REF!</definedName>
    <definedName name="Excel_BuiltIn_Print_Area_8_1">#REF!</definedName>
    <definedName name="_xlnm.Extract" localSheetId="12">[15]RP!#REF!</definedName>
    <definedName name="_xlnm.Extract">[15]RP!#REF!</definedName>
    <definedName name="F" localSheetId="12">[26]DATA!$A$606:$ES$886</definedName>
    <definedName name="F">[27]DATA!$A$606:$ES$886</definedName>
    <definedName name="F1_Server_3">""</definedName>
    <definedName name="F1_Server_4">""</definedName>
    <definedName name="F1_Server_5">""</definedName>
    <definedName name="F1_Service">"Service "</definedName>
    <definedName name="F1_Service_1">"InterScan NT"</definedName>
    <definedName name="F1_Service_2">""</definedName>
    <definedName name="F1_Service_3">""</definedName>
    <definedName name="F1_Service_4">""</definedName>
    <definedName name="F1_Service_5">""</definedName>
    <definedName name="F1_Virus">"# of Viruses "</definedName>
    <definedName name="F1_virus_1">"1"</definedName>
    <definedName name="F1_virus_2">""</definedName>
    <definedName name="F1_virus_3">""</definedName>
    <definedName name="F1_virus_4">""</definedName>
    <definedName name="F1_virus_5">""</definedName>
    <definedName name="F3_Machine">"Machine Name"</definedName>
    <definedName name="F3_Machine_1">""</definedName>
    <definedName name="F3_Machine_2">""</definedName>
    <definedName name="F3_Machine_3">""</definedName>
    <definedName name="F3_Machine_4">""</definedName>
    <definedName name="F3_Machine_5">""</definedName>
    <definedName name="F3_Virus_1">""</definedName>
    <definedName name="F3_Virus_2">""</definedName>
    <definedName name="F3_Virus_3">""</definedName>
    <definedName name="F3_Virus_4">""</definedName>
    <definedName name="F3_Virus_5">""</definedName>
    <definedName name="F3_Viruses">"# of Viruses "</definedName>
    <definedName name="Fac_Envelop">#REF!</definedName>
    <definedName name="Figure_3_Comment">""</definedName>
    <definedName name="Figure_3_Head">"Virus Entry Point Analysis ( Client )"</definedName>
    <definedName name="Figure_4_Comment">" 
"</definedName>
    <definedName name="Figure_4_Head">"Daily Virus Count"</definedName>
    <definedName name="Figure_5_Comment">" 
"</definedName>
    <definedName name="Figure_5_Head">"Virus Type Analysis"</definedName>
    <definedName name="Figure_6_Comment">" 
"</definedName>
    <definedName name="Figure_6_Head">"Common Viruses"</definedName>
    <definedName name="Figure_7_Comment">" 
"</definedName>
    <definedName name="Figure_7_Head">"Virus Source Analysis"</definedName>
    <definedName name="Figure_8_Comment">" 
"</definedName>
    <definedName name="Figure_8_Head">"Virus Destination Analysis"</definedName>
    <definedName name="FileServer">"File Server"</definedName>
    <definedName name="FileServer_Grade">"C"</definedName>
    <definedName name="final">[28]agrolist!$A$1:$D$117</definedName>
    <definedName name="Fractional">'[23]10. Data lists'!$D$5:$D$11</definedName>
    <definedName name="G">[29]DATA!$A$902:$IV$1190</definedName>
    <definedName name="gnhgj" localSheetId="12">[1]Plan!#REF!</definedName>
    <definedName name="gnhgj">[1]Plan!#REF!</definedName>
    <definedName name="Grade">"C"</definedName>
    <definedName name="Grade_Level">"Grade "</definedName>
    <definedName name="Group">'[16]TB30.04.06 (2)'!$D$2:$D$54</definedName>
    <definedName name="GRP">#REF!</definedName>
    <definedName name="Hyd">'[10]10. Data lists'!$F$5:$F$11</definedName>
    <definedName name="INIT" localSheetId="12">#REF!</definedName>
    <definedName name="INIT">#REF!</definedName>
    <definedName name="intt2002" localSheetId="12">#REF!</definedName>
    <definedName name="intt2002">#REF!</definedName>
    <definedName name="INVST">#REF!</definedName>
    <definedName name="ITEM_NO">"stock"</definedName>
    <definedName name="J">'[30]EMPLOYEE MASTER'!$AQ$9,'[30]EMPLOYEE MASTER'!$AQ$4:$AQ$7</definedName>
    <definedName name="J.J._Foods_Packed_oil">'[22]oLD bALANCING'!$A$911</definedName>
    <definedName name="J.J.Foods_loose_Oil">'[22]oLD bALANCING'!$A$858</definedName>
    <definedName name="jewwlleries">#REF!</definedName>
    <definedName name="July">'[16]TB30.04.06 (2)'!#REF!</definedName>
    <definedName name="June">'[16]TB30.04.06 (2)'!#REF!</definedName>
    <definedName name="k" localSheetId="12" hidden="1">'[31]Daily Product Cost Sheet'!#REF!</definedName>
    <definedName name="k" hidden="1">'[31]Daily Product Cost Sheet'!#REF!</definedName>
    <definedName name="KAIRALI_LOOSE_OIL">'[22]oLD bALANCING'!$A$325</definedName>
    <definedName name="KAIRALI_PACKED_OIL">'[22]oLD bALANCING'!$A$380</definedName>
    <definedName name="KJDH">'[32]TRIAL BALANCE'!#REF!</definedName>
    <definedName name="KKD_CAKE">'[22]oLD bALANCING'!$A$190</definedName>
    <definedName name="KKD_COPRA">'[22]oLD bALANCING'!$A$165</definedName>
    <definedName name="KKD_LOOSE_OIL">'[22]oLD bALANCING'!$A$208</definedName>
    <definedName name="KKD_PACKED_OIL">'[22]oLD bALANCING'!$A$261</definedName>
    <definedName name="kkk">#REF!</definedName>
    <definedName name="lacs">#REF!</definedName>
    <definedName name="Limestone_Qty9899">'[33]cost sheet-1999-00'!$M$4</definedName>
    <definedName name="list">OFFSET('[34]Balance Sheet final'!$R$1,0,0,COUNTA('[34]Balance Sheet final'!$R:$R),1)</definedName>
    <definedName name="list1">OFFSET('[35]Balance Sheet final'!$AU$1,0,0,COUNTA('[35]Balance Sheet final'!#REF!),1)</definedName>
    <definedName name="Location">'[10]10. Data lists'!$I$5:$I$11</definedName>
    <definedName name="masonry_amt9899">'[33]cost sheet-1999-00'!$E$152</definedName>
    <definedName name="MOP" localSheetId="12">#REF!</definedName>
    <definedName name="MOP">#REF!</definedName>
    <definedName name="Net_Profit" localSheetId="12">'[7]Input Sheet-Variable Costs'!#REF!</definedName>
    <definedName name="Net_Profit">'[7]Input Sheet-Variable Costs'!#REF!</definedName>
    <definedName name="Nikhil">'[18]Open Items-311208'!#REF!</definedName>
    <definedName name="noodle" localSheetId="12">[4]Sheet1!#REF!</definedName>
    <definedName name="noodle">[4]Sheet1!#REF!</definedName>
    <definedName name="NOP">[36]Sheet1!$L$2:$L$3864</definedName>
    <definedName name="NvsEndTime">37399.777778588</definedName>
    <definedName name="NvsInstSpec">"%"</definedName>
    <definedName name="NvsLayoutType">"M3"</definedName>
    <definedName name="NvsNplSpec">"%,X,RNF..,CNF.."</definedName>
    <definedName name="NvsPanelEffdt">"V1900-01-01"</definedName>
    <definedName name="NvsPanelSetid">"VPCSGR"</definedName>
    <definedName name="NvsReqBU">"VPCSGR"</definedName>
    <definedName name="NvsReqBUOnly">"VY"</definedName>
    <definedName name="NvsTransLed">"VN"</definedName>
    <definedName name="NvsTreeASD">"V2002-04-30"</definedName>
    <definedName name="NvsValTbl.ACCOUNT">"GL_ACCOUNT_TBL"</definedName>
    <definedName name="NvsValTbl.CURRENCY_CD">"CURRENCY_CD_TBL"</definedName>
    <definedName name="NvsValTbl.PRODUCT">"PRODUCT_TBL"</definedName>
    <definedName name="O.K._OIL_MILLS">'[22]oLD bALANCING'!$A$681</definedName>
    <definedName name="OFFICE">#REF!</definedName>
    <definedName name="oil" localSheetId="12">[37]List!$D$3:$D$12</definedName>
    <definedName name="oil">[37]List!$D$3:$D$12</definedName>
    <definedName name="Op_reserves" localSheetId="12">'[7]Input Sheet-Variable Costs'!#REF!</definedName>
    <definedName name="Op_reserves">'[7]Input Sheet-Variable Costs'!#REF!</definedName>
    <definedName name="Percentage" localSheetId="12">[37]List!$C$3:$C$22</definedName>
    <definedName name="Percentage">[37]List!$C$3:$C$22</definedName>
    <definedName name="pf" localSheetId="12">[38]Ass.Sheet!#REF!</definedName>
    <definedName name="pf">[38]Ass.Sheet!#REF!</definedName>
    <definedName name="pfd" localSheetId="12">[24]Ass.Sheet!#REF!</definedName>
    <definedName name="pfd">[24]Ass.Sheet!#REF!</definedName>
    <definedName name="Plain">'[10]10. Data lists'!$C$5:$C$11</definedName>
    <definedName name="pltwo">#REF!</definedName>
    <definedName name="Po" localSheetId="12">[15]CERT!#REF!</definedName>
    <definedName name="Po">[15]CERT!#REF!</definedName>
    <definedName name="POL">#REF!</definedName>
    <definedName name="POL_May">#REF!</definedName>
    <definedName name="POL_SalarySheet">#REF!</definedName>
    <definedName name="POL_Slip">#REF!</definedName>
    <definedName name="POSITION" localSheetId="12">#REF!</definedName>
    <definedName name="POSITION">#REF!</definedName>
    <definedName name="pre" localSheetId="12">#REF!</definedName>
    <definedName name="pre">#REF!</definedName>
    <definedName name="_xlnm.Print_Area" localSheetId="0">Assumptions!$B$2:$B$34</definedName>
    <definedName name="_xlnm.Print_Area" localSheetId="3">'Productwise sales'!$A$1:$AM$72</definedName>
    <definedName name="_xlnm.Print_Area">#REF!</definedName>
    <definedName name="Print_Area_MI" localSheetId="12">#REF!</definedName>
    <definedName name="Print_Area_MI">#REF!</definedName>
    <definedName name="_xlnm.Print_Titles" localSheetId="3">'Productwise sales'!$A:$A</definedName>
    <definedName name="_xlnm.Print_Titles">#REF!</definedName>
    <definedName name="PRINTD">#REF!</definedName>
    <definedName name="Prod_opc9899">'[33]cost sheet-1999-00'!$C$158</definedName>
    <definedName name="Prod_ppc9899">'[33]cost sheet-1999-00'!$C$159</definedName>
    <definedName name="Profit" localSheetId="12">'[7]Input Sheet-Variable Costs'!#REF!</definedName>
    <definedName name="Profit">'[7]Input Sheet-Variable Costs'!#REF!</definedName>
    <definedName name="Project_Name">'[39]Base Info'!$D$3</definedName>
    <definedName name="_xlnm.Recorder" localSheetId="12">#REF!</definedName>
    <definedName name="_xlnm.Recorder">#REF!</definedName>
    <definedName name="REGION">#REF!</definedName>
    <definedName name="relatedparty">#REF!</definedName>
    <definedName name="Report_Title">"Trend eDoctor Virus Diagnostic Report for  Trend_Micro_HK_Limited"</definedName>
    <definedName name="rmcAccount">2300</definedName>
    <definedName name="RMCOptions">"*000000000000000"</definedName>
    <definedName name="s">'[40]Write Off'!#REF!</definedName>
    <definedName name="S.M.ENT_LOOSE_OIL">'[22]oLD bALANCING'!$A$441</definedName>
    <definedName name="S.M.ENT_PACKED_OIL">'[22]oLD bALANCING'!$A$494</definedName>
    <definedName name="SAN">[41]DATA!$A$306:$IV$604</definedName>
    <definedName name="sch7_8">#REF!</definedName>
    <definedName name="sfgbs">#REF!</definedName>
    <definedName name="Sheet">#REF!</definedName>
    <definedName name="Sheet4">#REF!</definedName>
    <definedName name="SI_NAME">"Trend Micro HK eDoctor"</definedName>
    <definedName name="slmlaskdsakdl">'[42]10. Data lists'!$D$5:$D$11</definedName>
    <definedName name="Splitting">'[23]10. Data lists'!$B$5:$B$11</definedName>
    <definedName name="SS_MaxPattern_2">""</definedName>
    <definedName name="SS_MaxPattern_3">""</definedName>
    <definedName name="SS_MaxPattern_4">""</definedName>
    <definedName name="SS_MaxPattern_5">""</definedName>
    <definedName name="SS_MaxPattern_6">""</definedName>
    <definedName name="SS_MinPattern">"Min Pattern Number "</definedName>
    <definedName name="SS_MinPattern_1">""</definedName>
    <definedName name="SS_MinPattern_2">""</definedName>
    <definedName name="SS_MinPattern_3">""</definedName>
    <definedName name="SS_MinPattern_4">""</definedName>
    <definedName name="SS_MinPattern_5">""</definedName>
    <definedName name="SS_MinPattern_6">""</definedName>
    <definedName name="SS_ServerNo">"Number of Serveres "</definedName>
    <definedName name="SS_ServerNo_1">""</definedName>
    <definedName name="SS_ServerNo_2">""</definedName>
    <definedName name="SS_ServerNo_3">""</definedName>
    <definedName name="SS_ServerNo_4">""</definedName>
    <definedName name="SS_ServerNo_5">""</definedName>
    <definedName name="SS_ServerNo_6">""</definedName>
    <definedName name="SS_SiteName">"Site Name"</definedName>
    <definedName name="SS_SiteName_1">""</definedName>
    <definedName name="SS_SiteName_2">""</definedName>
    <definedName name="SS_SiteName_3">""</definedName>
    <definedName name="SS_SiteName_4">""</definedName>
    <definedName name="SS_SiteName_5">""</definedName>
    <definedName name="SS_SiteName_6">""</definedName>
    <definedName name="SS_VirusNo">"Number of Viruses "</definedName>
    <definedName name="SS_VirusNo_1">""</definedName>
    <definedName name="SS_VirusNo_2">""</definedName>
    <definedName name="SS_VirusNo_3">""</definedName>
    <definedName name="SS_VirusNo_4">""</definedName>
    <definedName name="SS_VirusNo_5">""</definedName>
    <definedName name="SS_VirusNo_6">""</definedName>
    <definedName name="SSP" localSheetId="12">#REF!</definedName>
    <definedName name="SSP">#REF!</definedName>
    <definedName name="STATE">#REF!</definedName>
    <definedName name="Substation" localSheetId="12">[43]Ass.Sheet!#REF!</definedName>
    <definedName name="Substation">[43]Ass.Sheet!#REF!</definedName>
    <definedName name="swa" localSheetId="12">[4]Sheet1!#REF!</definedName>
    <definedName name="swa">[4]Sheet1!#REF!</definedName>
    <definedName name="Tax" localSheetId="12">'[7]Input Sheet-Variable Costs'!#REF!</definedName>
    <definedName name="Tax">'[7]Input Sheet-Variable Costs'!#REF!</definedName>
    <definedName name="TBT_CHANNEL" localSheetId="12">#REF!</definedName>
    <definedName name="TBT_CHANNEL">#REF!</definedName>
    <definedName name="TCS.AmtTCSClaimedThisYear">[44]Sheet1!$L$130:$L$132</definedName>
    <definedName name="TDS2.ClaimOutOfTotTDSOnAmtPaid">[44]Sheet1!$L$21:$L$123</definedName>
    <definedName name="test">[45]DATA!$A$627:$AF$759</definedName>
    <definedName name="TEST0" localSheetId="10">#REF!</definedName>
    <definedName name="TEST0" localSheetId="12">#REF!</definedName>
    <definedName name="TEST0">#REF!</definedName>
    <definedName name="TEST1" localSheetId="10">#REF!</definedName>
    <definedName name="TEST1" localSheetId="12">#REF!</definedName>
    <definedName name="TEST1">#REF!</definedName>
    <definedName name="TEST10" localSheetId="12">[46]Dump!#REF!</definedName>
    <definedName name="TEST10">[46]Dump!#REF!</definedName>
    <definedName name="TEST11" localSheetId="12">[46]Dump!#REF!</definedName>
    <definedName name="TEST11">[46]Dump!#REF!</definedName>
    <definedName name="TEST12" localSheetId="12">[46]Dump!#REF!</definedName>
    <definedName name="TEST12">[46]Dump!#REF!</definedName>
    <definedName name="TEST13" localSheetId="12">[46]Dump!#REF!</definedName>
    <definedName name="TEST13">[46]Dump!#REF!</definedName>
    <definedName name="TEST14" localSheetId="12">[46]Dump!#REF!</definedName>
    <definedName name="TEST14">[46]Dump!#REF!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 localSheetId="10">#REF!</definedName>
    <definedName name="TEST2" localSheetId="12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 localSheetId="12">[46]Dump!#REF!</definedName>
    <definedName name="TEST3">[46]Dump!#REF!</definedName>
    <definedName name="TEST30">#REF!</definedName>
    <definedName name="TEST4" localSheetId="12">#REF!</definedName>
    <definedName name="TEST4">#REF!</definedName>
    <definedName name="TEST41">[47]MC.9!#REF!</definedName>
    <definedName name="TEST42">[47]MC.9!#REF!</definedName>
    <definedName name="TEST43">[47]MC.9!#REF!</definedName>
    <definedName name="TEST44">[47]MC.9!#REF!</definedName>
    <definedName name="TEST45">[47]MC.9!#REF!</definedName>
    <definedName name="TEST46">[47]MC.9!#REF!</definedName>
    <definedName name="TEST47">[47]MC.9!#REF!</definedName>
    <definedName name="TEST48">[47]MC.9!#REF!</definedName>
    <definedName name="TEST5" localSheetId="12">#REF!</definedName>
    <definedName name="TEST5">#REF!</definedName>
    <definedName name="TEST6" localSheetId="12">[46]Dump!#REF!</definedName>
    <definedName name="TEST6">[46]Dump!#REF!</definedName>
    <definedName name="TEST7" localSheetId="12">[46]Dump!#REF!</definedName>
    <definedName name="TEST7">[46]Dump!#REF!</definedName>
    <definedName name="TEST8" localSheetId="12">[46]Dump!#REF!</definedName>
    <definedName name="TEST8">[46]Dump!#REF!</definedName>
    <definedName name="TEST9" localSheetId="12">[46]Dump!#REF!</definedName>
    <definedName name="TEST9">[46]Dump!#REF!</definedName>
    <definedName name="TESTHKEY" localSheetId="10">#REF!</definedName>
    <definedName name="TESTHKEY" localSheetId="12">#REF!</definedName>
    <definedName name="TESTHKEY">#REF!</definedName>
    <definedName name="TESTKEYS" localSheetId="10">#REF!</definedName>
    <definedName name="TESTKEYS" localSheetId="12">#REF!</definedName>
    <definedName name="TESTKEYS">#REF!</definedName>
    <definedName name="TESTVKEY" localSheetId="10">#REF!</definedName>
    <definedName name="TESTVKEY" localSheetId="12">#REF!</definedName>
    <definedName name="TESTVKEY">#REF!</definedName>
    <definedName name="TextRefCopy278">'[48]Sample Design'!$F$28</definedName>
    <definedName name="TextRefCopyRangeCount" hidden="1">1</definedName>
    <definedName name="tkt">[25]MASTERS!$A:$A</definedName>
    <definedName name="Total_reserves" localSheetId="12">'[7]Input Sheet-Variable Costs'!#REF!</definedName>
    <definedName name="Total_reserves">'[7]Input Sheet-Variable Costs'!#REF!</definedName>
    <definedName name="Valid_Dates">[49]tables!$J$4:$J$34</definedName>
    <definedName name="Valid_Months">[49]tables!$G$4:$G$15</definedName>
    <definedName name="Valid_Years">[49]tables!$A$4:$A$7</definedName>
    <definedName name="vbv" localSheetId="12">[1]Plan!#REF!</definedName>
    <definedName name="vbv">[1]Plan!#REF!</definedName>
    <definedName name="VCPL_SalarySheet">#REF!</definedName>
    <definedName name="VCPL_Slip">#REF!</definedName>
    <definedName name="wewe" localSheetId="12">#REF!</definedName>
    <definedName name="wewe">#REF!</definedName>
    <definedName name="WORD" localSheetId="12">#REF!</definedName>
    <definedName name="WORD">#REF!</definedName>
    <definedName name="wrn.PCT." localSheetId="11" hidden="1">{#N/A,#N/A,TRUE,"TITLE";#N/A,#N/A,TRUE,"SKILL";#N/A,#N/A,TRUE,"ORGCHRT";#N/A,#N/A,TRUE,"MIS";#N/A,#N/A,TRUE,"PITHAMPUR";#N/A,#N/A,TRUE,"ACCOUNTS";#N/A,#N/A,TRUE,"R&amp;D";#N/A,#N/A,TRUE,"W.S.-FOUNDRY";#N/A,#N/A,TRUE,"PROCURE";#N/A,#N/A,TRUE,"CIVIL";#N/A,#N/A,TRUE,"SODAASH";#N/A,#N/A,TRUE,"CCMARINE";#N/A,#N/A,TRUE,"SALT";#N/A,#N/A,TRUE,"CEMENT";#N/A,#N/A,TRUE,"HOSPITAL";#N/A,#N/A,TRUE,"ADMIN-PERS";#N/A,#N/A,TRUE,"MATERIALS";#N/A,#N/A,TRUE,"PRO.INSP-SAFETY";#N/A,#N/A,TRUE,"ELECTRICAL";#N/A,#N/A,TRUE,"POWERHOUSE";#N/A,#N/A,TRUE,"MAINTENANCE"}</definedName>
    <definedName name="wrn.PCT." localSheetId="12" hidden="1">{#N/A,#N/A,TRUE,"TITLE";#N/A,#N/A,TRUE,"SKILL";#N/A,#N/A,TRUE,"ORGCHRT";#N/A,#N/A,TRUE,"MIS";#N/A,#N/A,TRUE,"PITHAMPUR";#N/A,#N/A,TRUE,"ACCOUNTS";#N/A,#N/A,TRUE,"R&amp;D";#N/A,#N/A,TRUE,"W.S.-FOUNDRY";#N/A,#N/A,TRUE,"PROCURE";#N/A,#N/A,TRUE,"CIVIL";#N/A,#N/A,TRUE,"SODAASH";#N/A,#N/A,TRUE,"CCMARINE";#N/A,#N/A,TRUE,"SALT";#N/A,#N/A,TRUE,"CEMENT";#N/A,#N/A,TRUE,"HOSPITAL";#N/A,#N/A,TRUE,"ADMIN-PERS";#N/A,#N/A,TRUE,"MATERIALS";#N/A,#N/A,TRUE,"PRO.INSP-SAFETY";#N/A,#N/A,TRUE,"ELECTRICAL";#N/A,#N/A,TRUE,"POWERHOUSE";#N/A,#N/A,TRUE,"MAINTENANCE"}</definedName>
    <definedName name="wrn.PCT." hidden="1">{#N/A,#N/A,TRUE,"TITLE";#N/A,#N/A,TRUE,"SKILL";#N/A,#N/A,TRUE,"ORGCHRT";#N/A,#N/A,TRUE,"MIS";#N/A,#N/A,TRUE,"PITHAMPUR";#N/A,#N/A,TRUE,"ACCOUNTS";#N/A,#N/A,TRUE,"R&amp;D";#N/A,#N/A,TRUE,"W.S.-FOUNDRY";#N/A,#N/A,TRUE,"PROCURE";#N/A,#N/A,TRUE,"CIVIL";#N/A,#N/A,TRUE,"SODAASH";#N/A,#N/A,TRUE,"CCMARINE";#N/A,#N/A,TRUE,"SALT";#N/A,#N/A,TRUE,"CEMENT";#N/A,#N/A,TRUE,"HOSPITAL";#N/A,#N/A,TRUE,"ADMIN-PERS";#N/A,#N/A,TRUE,"MATERIALS";#N/A,#N/A,TRUE,"PRO.INSP-SAFETY";#N/A,#N/A,TRUE,"ELECTRICAL";#N/A,#N/A,TRUE,"POWERHOUSE";#N/A,#N/A,TRUE,"MAINTENANCE"}</definedName>
    <definedName name="WWEWEW" localSheetId="12">#REF!</definedName>
    <definedName name="WWEWEW">#REF!</definedName>
    <definedName name="x">'[9]10. Data lists'!$I$5:$I$11</definedName>
    <definedName name="ytrr" localSheetId="12">[4]Sheet1!#REF!</definedName>
    <definedName name="ytrr">[4]Sheet1!#REF!</definedName>
  </definedNames>
  <calcPr calcId="145621"/>
</workbook>
</file>

<file path=xl/calcChain.xml><?xml version="1.0" encoding="utf-8"?>
<calcChain xmlns="http://schemas.openxmlformats.org/spreadsheetml/2006/main">
  <c r="BL24" i="56" l="1"/>
  <c r="BN61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BL79" i="59"/>
  <c r="BL79" i="58"/>
  <c r="BM61" i="58"/>
  <c r="BL61" i="58"/>
  <c r="AY6" i="58"/>
  <c r="BN79" i="57"/>
  <c r="BM79" i="57"/>
  <c r="BL79" i="57"/>
  <c r="BK79" i="57"/>
  <c r="BJ79" i="57"/>
  <c r="BI79" i="57"/>
  <c r="BH79" i="57"/>
  <c r="BG79" i="57"/>
  <c r="BF79" i="57"/>
  <c r="BE79" i="57"/>
  <c r="BN65" i="57"/>
  <c r="BM65" i="57"/>
  <c r="BL65" i="57"/>
  <c r="BK65" i="57"/>
  <c r="BJ65" i="57"/>
  <c r="BI65" i="57"/>
  <c r="BH65" i="57"/>
  <c r="BG65" i="57"/>
  <c r="BF65" i="57"/>
  <c r="BE65" i="57"/>
  <c r="BN61" i="57"/>
  <c r="BM61" i="57"/>
  <c r="BL61" i="57"/>
  <c r="BK61" i="57"/>
  <c r="BJ61" i="57"/>
  <c r="BI61" i="57"/>
  <c r="BH61" i="57"/>
  <c r="BG61" i="57"/>
  <c r="BF61" i="57"/>
  <c r="BE61" i="57"/>
  <c r="BD61" i="57"/>
  <c r="BC61" i="57"/>
  <c r="BB61" i="57"/>
  <c r="BA61" i="57"/>
  <c r="BN54" i="57"/>
  <c r="BM54" i="57"/>
  <c r="BL54" i="57"/>
  <c r="BK54" i="57"/>
  <c r="BJ54" i="57"/>
  <c r="BI54" i="57"/>
  <c r="BH54" i="57"/>
  <c r="BG54" i="57"/>
  <c r="BF54" i="57"/>
  <c r="BE54" i="57"/>
  <c r="BD54" i="57"/>
  <c r="BC54" i="57"/>
  <c r="BB54" i="57"/>
  <c r="BA54" i="57"/>
  <c r="BL24" i="57"/>
  <c r="BN79" i="55"/>
  <c r="BM79" i="55"/>
  <c r="BL79" i="55"/>
  <c r="BK79" i="55"/>
  <c r="BJ79" i="55"/>
  <c r="BI79" i="55"/>
  <c r="BH79" i="55"/>
  <c r="BG79" i="55"/>
  <c r="BF79" i="55"/>
  <c r="BE79" i="55"/>
  <c r="BN24" i="55"/>
  <c r="BN79" i="69" l="1"/>
  <c r="BM79" i="69"/>
  <c r="BL79" i="69"/>
  <c r="BK79" i="69"/>
  <c r="BJ79" i="69"/>
  <c r="BI79" i="69"/>
  <c r="BH79" i="69"/>
  <c r="BG79" i="69"/>
  <c r="BF79" i="69"/>
  <c r="BE79" i="69"/>
  <c r="BD79" i="69"/>
  <c r="BC79" i="69"/>
  <c r="BB79" i="69"/>
  <c r="BA79" i="69"/>
  <c r="BN65" i="69"/>
  <c r="BM65" i="69"/>
  <c r="BL65" i="69"/>
  <c r="BK65" i="69"/>
  <c r="BJ65" i="69"/>
  <c r="BI65" i="69"/>
  <c r="BH65" i="69"/>
  <c r="BG65" i="69"/>
  <c r="BF65" i="69"/>
  <c r="BE65" i="69"/>
  <c r="BN61" i="69"/>
  <c r="BM61" i="69"/>
  <c r="BL61" i="69"/>
  <c r="BK61" i="69"/>
  <c r="BJ61" i="69"/>
  <c r="BI61" i="69"/>
  <c r="BH61" i="69"/>
  <c r="BG61" i="69"/>
  <c r="BF61" i="69"/>
  <c r="BE61" i="69"/>
  <c r="BD61" i="69"/>
  <c r="BC61" i="69"/>
  <c r="BB61" i="69"/>
  <c r="BA61" i="69"/>
  <c r="BN54" i="69"/>
  <c r="BM54" i="69"/>
  <c r="BL54" i="69"/>
  <c r="BO54" i="69" s="1"/>
  <c r="BK54" i="69"/>
  <c r="BJ54" i="69"/>
  <c r="BI54" i="69"/>
  <c r="BH54" i="69"/>
  <c r="BG54" i="69"/>
  <c r="BF54" i="69"/>
  <c r="BE54" i="69"/>
  <c r="BD54" i="69"/>
  <c r="BC54" i="69"/>
  <c r="BB54" i="69"/>
  <c r="BA54" i="69"/>
  <c r="BN24" i="69"/>
  <c r="BM24" i="69"/>
  <c r="BO24" i="69"/>
  <c r="BL24" i="69"/>
  <c r="BJ24" i="69"/>
  <c r="BF24" i="69"/>
  <c r="BE24" i="69"/>
  <c r="BO61" i="69"/>
  <c r="BO65" i="69"/>
  <c r="BO67" i="69"/>
  <c r="BO71" i="69"/>
  <c r="BO79" i="69"/>
  <c r="BN61" i="56"/>
  <c r="BM61" i="56"/>
  <c r="BL61" i="56"/>
  <c r="BK61" i="56"/>
  <c r="BJ61" i="56"/>
  <c r="BI61" i="56"/>
  <c r="BH61" i="56"/>
  <c r="BG61" i="56"/>
  <c r="BF61" i="56"/>
  <c r="BE61" i="56"/>
  <c r="BD61" i="56"/>
  <c r="BC61" i="56"/>
  <c r="BB61" i="56"/>
  <c r="BA61" i="56"/>
  <c r="BN54" i="56"/>
  <c r="BM54" i="56"/>
  <c r="BL54" i="56"/>
  <c r="BK54" i="56"/>
  <c r="BJ54" i="56"/>
  <c r="BI54" i="56"/>
  <c r="BH54" i="56"/>
  <c r="BG54" i="56"/>
  <c r="BF54" i="56"/>
  <c r="BE54" i="56"/>
  <c r="BD54" i="56"/>
  <c r="BC54" i="56"/>
  <c r="BB54" i="56"/>
  <c r="BA54" i="56"/>
  <c r="BO24" i="56"/>
  <c r="BO54" i="56"/>
  <c r="BO61" i="56"/>
  <c r="BO65" i="56"/>
  <c r="BO79" i="56"/>
  <c r="BN79" i="56"/>
  <c r="BM79" i="56"/>
  <c r="BL79" i="56"/>
  <c r="BK79" i="56"/>
  <c r="BJ79" i="56"/>
  <c r="BI79" i="56"/>
  <c r="BH79" i="56"/>
  <c r="BG79" i="56"/>
  <c r="BF79" i="56"/>
  <c r="BE79" i="56"/>
  <c r="BN65" i="56"/>
  <c r="BM65" i="56"/>
  <c r="BL65" i="56"/>
  <c r="BK65" i="56"/>
  <c r="BJ65" i="56"/>
  <c r="BI65" i="56"/>
  <c r="BH65" i="56"/>
  <c r="BG65" i="56"/>
  <c r="BF65" i="56"/>
  <c r="BE65" i="56"/>
  <c r="BN24" i="56"/>
  <c r="BM24" i="56"/>
  <c r="BJ24" i="56"/>
  <c r="BF24" i="56"/>
  <c r="BE24" i="56"/>
  <c r="BO24" i="59"/>
  <c r="BO54" i="59"/>
  <c r="BO61" i="59"/>
  <c r="BO65" i="59"/>
  <c r="BO79" i="59"/>
  <c r="BN79" i="59"/>
  <c r="BM79" i="59"/>
  <c r="BJ79" i="59"/>
  <c r="BF79" i="59"/>
  <c r="BE79" i="59"/>
  <c r="BN65" i="59"/>
  <c r="BM65" i="59"/>
  <c r="BL65" i="59"/>
  <c r="BK65" i="59"/>
  <c r="BJ65" i="59"/>
  <c r="BI65" i="59"/>
  <c r="BH65" i="59"/>
  <c r="BG65" i="59"/>
  <c r="BF65" i="59"/>
  <c r="BE65" i="59"/>
  <c r="BN54" i="59"/>
  <c r="BM54" i="59"/>
  <c r="BL54" i="59"/>
  <c r="BK54" i="59"/>
  <c r="BJ54" i="59"/>
  <c r="BI54" i="59"/>
  <c r="BH54" i="59"/>
  <c r="BG54" i="59"/>
  <c r="BF54" i="59"/>
  <c r="BE54" i="59"/>
  <c r="BN24" i="59"/>
  <c r="BM24" i="59"/>
  <c r="BL24" i="59"/>
  <c r="BK24" i="59"/>
  <c r="BJ24" i="59"/>
  <c r="BF24" i="59"/>
  <c r="BE24" i="59"/>
  <c r="BN65" i="58"/>
  <c r="BM65" i="58"/>
  <c r="BL65" i="58"/>
  <c r="BO65" i="58" s="1"/>
  <c r="BK65" i="58"/>
  <c r="BJ65" i="58"/>
  <c r="BI65" i="58"/>
  <c r="BH65" i="58"/>
  <c r="BG65" i="58"/>
  <c r="BF65" i="58"/>
  <c r="BE65" i="58"/>
  <c r="BN61" i="58"/>
  <c r="BK61" i="58"/>
  <c r="BJ61" i="58"/>
  <c r="BF61" i="58"/>
  <c r="BE61" i="58"/>
  <c r="BN54" i="58"/>
  <c r="BM54" i="58"/>
  <c r="BL54" i="58"/>
  <c r="BK54" i="58"/>
  <c r="BJ54" i="58"/>
  <c r="BF54" i="58"/>
  <c r="BE54" i="58"/>
  <c r="BL24" i="58"/>
  <c r="BJ24" i="58"/>
  <c r="BF24" i="58"/>
  <c r="BO54" i="58"/>
  <c r="BO61" i="58"/>
  <c r="BO79" i="58"/>
  <c r="BN79" i="58"/>
  <c r="BM79" i="58"/>
  <c r="BJ79" i="58"/>
  <c r="BI79" i="58"/>
  <c r="BF79" i="58"/>
  <c r="BE79" i="58"/>
  <c r="BO24" i="57"/>
  <c r="BO61" i="57"/>
  <c r="BO54" i="57"/>
  <c r="BO65" i="57"/>
  <c r="BO67" i="57"/>
  <c r="BO71" i="57"/>
  <c r="BO79" i="57"/>
  <c r="AY54" i="57"/>
  <c r="BN24" i="57"/>
  <c r="BM24" i="57"/>
  <c r="BJ24" i="57"/>
  <c r="BF24" i="57"/>
  <c r="BE24" i="57"/>
  <c r="BO24" i="55"/>
  <c r="BO54" i="55"/>
  <c r="BO61" i="55"/>
  <c r="BO65" i="55"/>
  <c r="BO67" i="55"/>
  <c r="BO71" i="55"/>
  <c r="BN67" i="55"/>
  <c r="BN71" i="55" s="1"/>
  <c r="BM67" i="55"/>
  <c r="BM71" i="55" s="1"/>
  <c r="BL67" i="55"/>
  <c r="BA67" i="55"/>
  <c r="BB67" i="55"/>
  <c r="BC67" i="55"/>
  <c r="BD67" i="55"/>
  <c r="BE67" i="55"/>
  <c r="BF67" i="55"/>
  <c r="BG67" i="55"/>
  <c r="BH67" i="55"/>
  <c r="BI67" i="55"/>
  <c r="BJ67" i="55"/>
  <c r="BK67" i="55"/>
  <c r="BL71" i="55"/>
  <c r="BJ71" i="55"/>
  <c r="BF71" i="55"/>
  <c r="BE71" i="55"/>
  <c r="BN65" i="55"/>
  <c r="BM65" i="55"/>
  <c r="BL65" i="55"/>
  <c r="BK65" i="55"/>
  <c r="BJ65" i="55"/>
  <c r="BI65" i="55"/>
  <c r="BH65" i="55"/>
  <c r="BG65" i="55"/>
  <c r="BF65" i="55"/>
  <c r="BE65" i="55"/>
  <c r="BD65" i="55"/>
  <c r="BC65" i="55"/>
  <c r="BB65" i="55"/>
  <c r="BA65" i="55"/>
  <c r="BN61" i="55"/>
  <c r="BM61" i="55"/>
  <c r="BL61" i="55"/>
  <c r="BK61" i="55"/>
  <c r="BJ61" i="55"/>
  <c r="BI61" i="55"/>
  <c r="BH61" i="55"/>
  <c r="BG61" i="55"/>
  <c r="BF61" i="55"/>
  <c r="BE61" i="55"/>
  <c r="BD61" i="55"/>
  <c r="BC61" i="55"/>
  <c r="BB61" i="55"/>
  <c r="BA61" i="55"/>
  <c r="BL54" i="55"/>
  <c r="BN54" i="55"/>
  <c r="BM54" i="55"/>
  <c r="BJ54" i="55"/>
  <c r="BF54" i="55"/>
  <c r="BE54" i="55"/>
  <c r="BL24" i="55"/>
  <c r="BM24" i="55"/>
  <c r="BJ24" i="55"/>
  <c r="BF24" i="55"/>
  <c r="BE24" i="55"/>
  <c r="AU13" i="69"/>
  <c r="AM13" i="69"/>
  <c r="AI13" i="69"/>
  <c r="AE13" i="69"/>
  <c r="AU21" i="56"/>
  <c r="AQ21" i="56"/>
  <c r="AM21" i="56"/>
  <c r="AI21" i="56"/>
  <c r="AE21" i="56"/>
  <c r="AU13" i="56"/>
  <c r="AQ13" i="56"/>
  <c r="AM13" i="56"/>
  <c r="AI13" i="56"/>
  <c r="AE13" i="56"/>
  <c r="AU13" i="59"/>
  <c r="AQ13" i="59"/>
  <c r="AM13" i="59"/>
  <c r="AI13" i="59"/>
  <c r="AE13" i="59"/>
  <c r="AQ13" i="58"/>
  <c r="AM13" i="58"/>
  <c r="AU13" i="57"/>
  <c r="AQ13" i="57"/>
  <c r="AE13" i="57"/>
  <c r="AU13" i="55"/>
  <c r="AU31" i="55"/>
  <c r="AQ31" i="55"/>
  <c r="AQ13" i="55"/>
  <c r="AM31" i="55"/>
  <c r="AM13" i="55"/>
  <c r="AI13" i="55"/>
  <c r="AI31" i="55"/>
  <c r="AE47" i="55"/>
  <c r="AE31" i="55"/>
  <c r="AE13" i="55"/>
  <c r="AO85" i="60"/>
  <c r="AO83" i="60"/>
  <c r="AU10" i="69"/>
  <c r="AQ10" i="69"/>
  <c r="AM17" i="69"/>
  <c r="AM10" i="69"/>
  <c r="AM6" i="69"/>
  <c r="AI6" i="69"/>
  <c r="AI10" i="69"/>
  <c r="AI41" i="69"/>
  <c r="AE10" i="69"/>
  <c r="AE6" i="69"/>
  <c r="AU19" i="56"/>
  <c r="AU10" i="56"/>
  <c r="AU41" i="56"/>
  <c r="AQ19" i="56"/>
  <c r="AQ17" i="56"/>
  <c r="AQ10" i="56"/>
  <c r="AI41" i="56"/>
  <c r="AI17" i="56"/>
  <c r="AI10" i="56"/>
  <c r="AE17" i="56"/>
  <c r="AE10" i="56"/>
  <c r="AU6" i="55"/>
  <c r="AQ6" i="55"/>
  <c r="AM6" i="55"/>
  <c r="AU6" i="59"/>
  <c r="AU10" i="59"/>
  <c r="AQ6" i="59"/>
  <c r="AQ10" i="59"/>
  <c r="AQ8" i="59"/>
  <c r="AY6" i="59"/>
  <c r="AM6" i="59"/>
  <c r="AM10" i="59"/>
  <c r="AI6" i="55"/>
  <c r="AI17" i="59"/>
  <c r="AI10" i="59"/>
  <c r="AI6" i="59"/>
  <c r="AE6" i="55"/>
  <c r="AE10" i="59"/>
  <c r="AE6" i="59"/>
  <c r="AU40" i="58"/>
  <c r="AU18" i="58"/>
  <c r="AU10" i="58"/>
  <c r="AU6" i="58"/>
  <c r="AQ17" i="58"/>
  <c r="AQ6" i="58"/>
  <c r="AQ40" i="58"/>
  <c r="AM40" i="58"/>
  <c r="AM18" i="58"/>
  <c r="AM10" i="58"/>
  <c r="AM6" i="58"/>
  <c r="AI41" i="58"/>
  <c r="AI18" i="58"/>
  <c r="AE41" i="58"/>
  <c r="AE40" i="58"/>
  <c r="AE19" i="58"/>
  <c r="AE20" i="58"/>
  <c r="AE18" i="58"/>
  <c r="AE17" i="58"/>
  <c r="AE6" i="58"/>
  <c r="AU10" i="57"/>
  <c r="AQ10" i="57"/>
  <c r="AU40" i="55"/>
  <c r="AU38" i="55"/>
  <c r="AU39" i="55"/>
  <c r="AU19" i="55"/>
  <c r="AU17" i="55"/>
  <c r="AU10" i="55"/>
  <c r="AU7" i="55"/>
  <c r="AU9" i="55"/>
  <c r="AU8" i="55"/>
  <c r="AQ39" i="55"/>
  <c r="AQ40" i="55"/>
  <c r="AQ17" i="55"/>
  <c r="AQ10" i="55"/>
  <c r="AQ9" i="55"/>
  <c r="AQ8" i="55"/>
  <c r="AQ7" i="55"/>
  <c r="AM40" i="55"/>
  <c r="AM39" i="55"/>
  <c r="AM18" i="55"/>
  <c r="AM17" i="55"/>
  <c r="AM10" i="55"/>
  <c r="AM8" i="55"/>
  <c r="AM9" i="55"/>
  <c r="AM7" i="55"/>
  <c r="AI39" i="55"/>
  <c r="AI19" i="55"/>
  <c r="AI17" i="55"/>
  <c r="AI10" i="55"/>
  <c r="AI9" i="55"/>
  <c r="AI7" i="55"/>
  <c r="AE39" i="55"/>
  <c r="AE19" i="55"/>
  <c r="AE17" i="55"/>
  <c r="AE10" i="55"/>
  <c r="AE7" i="55"/>
  <c r="AE9" i="55"/>
  <c r="AY54" i="60" l="1"/>
  <c r="AV54" i="60"/>
  <c r="AV81" i="60" s="1"/>
  <c r="AT54" i="60"/>
  <c r="AS54" i="60"/>
  <c r="AR54" i="60"/>
  <c r="AQ54" i="60"/>
  <c r="AP54" i="60"/>
  <c r="AP81" i="60" s="1"/>
  <c r="AO54" i="60"/>
  <c r="AN54" i="60"/>
  <c r="AN81" i="60" s="1"/>
  <c r="AM54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AM61" i="60"/>
  <c r="AM81" i="60" s="1"/>
  <c r="BA65" i="60"/>
  <c r="AZ65" i="60"/>
  <c r="AY65" i="60"/>
  <c r="BB65" i="60" s="1"/>
  <c r="AX65" i="60"/>
  <c r="AW65" i="60"/>
  <c r="AV65" i="60"/>
  <c r="AU65" i="60"/>
  <c r="AT65" i="60"/>
  <c r="AS65" i="60"/>
  <c r="AR65" i="60"/>
  <c r="AQ65" i="60"/>
  <c r="AQ67" i="60" s="1"/>
  <c r="AP65" i="60"/>
  <c r="AO65" i="60"/>
  <c r="AN65" i="60"/>
  <c r="AM65" i="60"/>
  <c r="AS81" i="60"/>
  <c r="AO81" i="60"/>
  <c r="BA79" i="60"/>
  <c r="AZ79" i="60"/>
  <c r="BB79" i="60" s="1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AM79" i="60"/>
  <c r="AS67" i="60"/>
  <c r="AO67" i="60"/>
  <c r="AV24" i="60"/>
  <c r="AS24" i="60"/>
  <c r="AP24" i="60"/>
  <c r="AO24" i="60"/>
  <c r="AN24" i="60"/>
  <c r="AX78" i="60"/>
  <c r="AW78" i="60"/>
  <c r="AV78" i="60"/>
  <c r="AU78" i="60"/>
  <c r="AT78" i="60"/>
  <c r="AS78" i="60"/>
  <c r="AR78" i="60"/>
  <c r="AQ78" i="60"/>
  <c r="AP78" i="60"/>
  <c r="AO78" i="60"/>
  <c r="BA78" i="60" s="1"/>
  <c r="AN78" i="60"/>
  <c r="AZ78" i="60" s="1"/>
  <c r="BB78" i="60" s="1"/>
  <c r="AM78" i="60"/>
  <c r="AY78" i="60" s="1"/>
  <c r="AX77" i="60"/>
  <c r="AW77" i="60"/>
  <c r="AV77" i="60"/>
  <c r="AU77" i="60"/>
  <c r="AT77" i="60"/>
  <c r="AS77" i="60"/>
  <c r="AR77" i="60"/>
  <c r="AQ77" i="60"/>
  <c r="AP77" i="60"/>
  <c r="AO77" i="60"/>
  <c r="BA77" i="60" s="1"/>
  <c r="AN77" i="60"/>
  <c r="AZ77" i="60" s="1"/>
  <c r="BB77" i="60" s="1"/>
  <c r="AM77" i="60"/>
  <c r="AY77" i="60" s="1"/>
  <c r="AX76" i="60"/>
  <c r="AW76" i="60"/>
  <c r="AV76" i="60"/>
  <c r="AU76" i="60"/>
  <c r="AT76" i="60"/>
  <c r="AS76" i="60"/>
  <c r="AR76" i="60"/>
  <c r="AQ76" i="60"/>
  <c r="AP76" i="60"/>
  <c r="AO76" i="60"/>
  <c r="BA76" i="60" s="1"/>
  <c r="AN76" i="60"/>
  <c r="AZ76" i="60" s="1"/>
  <c r="BB76" i="60" s="1"/>
  <c r="AM76" i="60"/>
  <c r="AY76" i="60" s="1"/>
  <c r="AX75" i="60"/>
  <c r="AW75" i="60"/>
  <c r="AV75" i="60"/>
  <c r="AU75" i="60"/>
  <c r="AT75" i="60"/>
  <c r="AS75" i="60"/>
  <c r="AR75" i="60"/>
  <c r="AQ75" i="60"/>
  <c r="AP75" i="60"/>
  <c r="AO75" i="60"/>
  <c r="BA75" i="60" s="1"/>
  <c r="AN75" i="60"/>
  <c r="AZ75" i="60" s="1"/>
  <c r="BB75" i="60" s="1"/>
  <c r="AM75" i="60"/>
  <c r="AY75" i="60" s="1"/>
  <c r="AX74" i="60"/>
  <c r="AW74" i="60"/>
  <c r="AV74" i="60"/>
  <c r="AU74" i="60"/>
  <c r="AT74" i="60"/>
  <c r="AS74" i="60"/>
  <c r="AR74" i="60"/>
  <c r="AQ74" i="60"/>
  <c r="AP74" i="60"/>
  <c r="AO74" i="60"/>
  <c r="BA74" i="60" s="1"/>
  <c r="AN74" i="60"/>
  <c r="AZ74" i="60" s="1"/>
  <c r="BB74" i="60" s="1"/>
  <c r="AM74" i="60"/>
  <c r="AY74" i="60" s="1"/>
  <c r="AX73" i="60"/>
  <c r="AW73" i="60"/>
  <c r="AV73" i="60"/>
  <c r="AU73" i="60"/>
  <c r="AT73" i="60"/>
  <c r="AS73" i="60"/>
  <c r="AR73" i="60"/>
  <c r="AQ73" i="60"/>
  <c r="AP73" i="60"/>
  <c r="AO73" i="60"/>
  <c r="BA73" i="60" s="1"/>
  <c r="AN73" i="60"/>
  <c r="AZ73" i="60" s="1"/>
  <c r="BB73" i="60" s="1"/>
  <c r="AM73" i="60"/>
  <c r="AY73" i="60" s="1"/>
  <c r="AX64" i="60"/>
  <c r="AW64" i="60"/>
  <c r="AV64" i="60"/>
  <c r="AU64" i="60"/>
  <c r="AT64" i="60"/>
  <c r="AS64" i="60"/>
  <c r="AR64" i="60"/>
  <c r="AQ64" i="60"/>
  <c r="AP64" i="60"/>
  <c r="AO64" i="60"/>
  <c r="BA64" i="60" s="1"/>
  <c r="AN64" i="60"/>
  <c r="AZ64" i="60" s="1"/>
  <c r="BB64" i="60" s="1"/>
  <c r="AM64" i="60"/>
  <c r="AY64" i="60" s="1"/>
  <c r="AX63" i="60"/>
  <c r="AW63" i="60"/>
  <c r="AV63" i="60"/>
  <c r="AU63" i="60"/>
  <c r="AT63" i="60"/>
  <c r="AS63" i="60"/>
  <c r="AR63" i="60"/>
  <c r="AQ63" i="60"/>
  <c r="AP63" i="60"/>
  <c r="AO63" i="60"/>
  <c r="BA63" i="60" s="1"/>
  <c r="AN63" i="60"/>
  <c r="AZ63" i="60" s="1"/>
  <c r="BB63" i="60" s="1"/>
  <c r="AM63" i="60"/>
  <c r="AY63" i="60" s="1"/>
  <c r="AX60" i="60"/>
  <c r="AW60" i="60"/>
  <c r="AV60" i="60"/>
  <c r="AU60" i="60"/>
  <c r="AT60" i="60"/>
  <c r="AS60" i="60"/>
  <c r="AR60" i="60"/>
  <c r="AQ60" i="60"/>
  <c r="AP60" i="60"/>
  <c r="AO60" i="60"/>
  <c r="BA60" i="60" s="1"/>
  <c r="AN60" i="60"/>
  <c r="AZ60" i="60" s="1"/>
  <c r="BB60" i="60" s="1"/>
  <c r="AM60" i="60"/>
  <c r="AY60" i="60" s="1"/>
  <c r="AX59" i="60"/>
  <c r="AW59" i="60"/>
  <c r="AV59" i="60"/>
  <c r="AU59" i="60"/>
  <c r="AT59" i="60"/>
  <c r="AS59" i="60"/>
  <c r="AR59" i="60"/>
  <c r="AQ59" i="60"/>
  <c r="AP59" i="60"/>
  <c r="AO59" i="60"/>
  <c r="BA59" i="60" s="1"/>
  <c r="AN59" i="60"/>
  <c r="AZ59" i="60" s="1"/>
  <c r="BB59" i="60" s="1"/>
  <c r="AM59" i="60"/>
  <c r="AY59" i="60" s="1"/>
  <c r="AX58" i="60"/>
  <c r="AW58" i="60"/>
  <c r="AV58" i="60"/>
  <c r="AU58" i="60"/>
  <c r="AT58" i="60"/>
  <c r="AS58" i="60"/>
  <c r="AR58" i="60"/>
  <c r="AQ58" i="60"/>
  <c r="AP58" i="60"/>
  <c r="AO58" i="60"/>
  <c r="BA58" i="60" s="1"/>
  <c r="AN58" i="60"/>
  <c r="AZ58" i="60" s="1"/>
  <c r="BB58" i="60" s="1"/>
  <c r="AM58" i="60"/>
  <c r="AY58" i="60" s="1"/>
  <c r="AX57" i="60"/>
  <c r="AW57" i="60"/>
  <c r="AV57" i="60"/>
  <c r="AU57" i="60"/>
  <c r="AT57" i="60"/>
  <c r="AS57" i="60"/>
  <c r="AR57" i="60"/>
  <c r="AQ57" i="60"/>
  <c r="AP57" i="60"/>
  <c r="AO57" i="60"/>
  <c r="BA57" i="60" s="1"/>
  <c r="AN57" i="60"/>
  <c r="AZ57" i="60" s="1"/>
  <c r="BB57" i="60" s="1"/>
  <c r="AM57" i="60"/>
  <c r="AY57" i="60" s="1"/>
  <c r="AX56" i="60"/>
  <c r="AW56" i="60"/>
  <c r="AV56" i="60"/>
  <c r="AU56" i="60"/>
  <c r="AT56" i="60"/>
  <c r="AS56" i="60"/>
  <c r="AR56" i="60"/>
  <c r="AQ56" i="60"/>
  <c r="AP56" i="60"/>
  <c r="AO56" i="60"/>
  <c r="BA56" i="60" s="1"/>
  <c r="AN56" i="60"/>
  <c r="AZ56" i="60" s="1"/>
  <c r="BB56" i="60" s="1"/>
  <c r="AM56" i="60"/>
  <c r="AY56" i="60" s="1"/>
  <c r="AX53" i="60"/>
  <c r="AW53" i="60"/>
  <c r="AV53" i="60"/>
  <c r="AU53" i="60"/>
  <c r="AT53" i="60"/>
  <c r="AS53" i="60"/>
  <c r="AR53" i="60"/>
  <c r="AQ53" i="60"/>
  <c r="AP53" i="60"/>
  <c r="AO53" i="60"/>
  <c r="BA53" i="60" s="1"/>
  <c r="AN53" i="60"/>
  <c r="AM53" i="60"/>
  <c r="BA52" i="60"/>
  <c r="AX52" i="60"/>
  <c r="AW52" i="60"/>
  <c r="AV52" i="60"/>
  <c r="AU52" i="60"/>
  <c r="AT52" i="60"/>
  <c r="AS52" i="60"/>
  <c r="AR52" i="60"/>
  <c r="AQ52" i="60"/>
  <c r="AP52" i="60"/>
  <c r="AO52" i="60"/>
  <c r="AN52" i="60"/>
  <c r="AM52" i="60"/>
  <c r="AY52" i="60" s="1"/>
  <c r="BA51" i="60"/>
  <c r="AX51" i="60"/>
  <c r="AW51" i="60"/>
  <c r="AV51" i="60"/>
  <c r="AU51" i="60"/>
  <c r="AT51" i="60"/>
  <c r="AS51" i="60"/>
  <c r="AR51" i="60"/>
  <c r="AQ51" i="60"/>
  <c r="AP51" i="60"/>
  <c r="AO51" i="60"/>
  <c r="AN51" i="60"/>
  <c r="AZ51" i="60" s="1"/>
  <c r="AM51" i="60"/>
  <c r="AY51" i="60" s="1"/>
  <c r="AX50" i="60"/>
  <c r="AW50" i="60"/>
  <c r="AV50" i="60"/>
  <c r="AU50" i="60"/>
  <c r="AT50" i="60"/>
  <c r="AS50" i="60"/>
  <c r="AR50" i="60"/>
  <c r="AQ50" i="60"/>
  <c r="AP50" i="60"/>
  <c r="AO50" i="60"/>
  <c r="BA50" i="60" s="1"/>
  <c r="AN50" i="60"/>
  <c r="AZ50" i="60" s="1"/>
  <c r="AM50" i="60"/>
  <c r="AX49" i="60"/>
  <c r="AW49" i="60"/>
  <c r="AV49" i="60"/>
  <c r="AU49" i="60"/>
  <c r="AT49" i="60"/>
  <c r="AS49" i="60"/>
  <c r="AR49" i="60"/>
  <c r="AQ49" i="60"/>
  <c r="AP49" i="60"/>
  <c r="AO49" i="60"/>
  <c r="BA49" i="60" s="1"/>
  <c r="AN49" i="60"/>
  <c r="AM49" i="60"/>
  <c r="BA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Y48" i="60" s="1"/>
  <c r="AX47" i="60"/>
  <c r="AW47" i="60"/>
  <c r="AV47" i="60"/>
  <c r="AT47" i="60"/>
  <c r="AS47" i="60"/>
  <c r="AR47" i="60"/>
  <c r="AQ47" i="60"/>
  <c r="AP47" i="60"/>
  <c r="AO47" i="60"/>
  <c r="AN47" i="60"/>
  <c r="AZ47" i="60" s="1"/>
  <c r="AM47" i="60"/>
  <c r="AY47" i="60" s="1"/>
  <c r="AX46" i="60"/>
  <c r="AW46" i="60"/>
  <c r="AV46" i="60"/>
  <c r="AU46" i="60"/>
  <c r="AT46" i="60"/>
  <c r="AS46" i="60"/>
  <c r="AR46" i="60"/>
  <c r="AQ46" i="60"/>
  <c r="AP46" i="60"/>
  <c r="AO46" i="60"/>
  <c r="BA46" i="60" s="1"/>
  <c r="AN46" i="60"/>
  <c r="AZ46" i="60" s="1"/>
  <c r="AM46" i="60"/>
  <c r="AX45" i="60"/>
  <c r="AW45" i="60"/>
  <c r="AV45" i="60"/>
  <c r="AU45" i="60"/>
  <c r="AT45" i="60"/>
  <c r="AS45" i="60"/>
  <c r="AR45" i="60"/>
  <c r="AQ45" i="60"/>
  <c r="AP45" i="60"/>
  <c r="AO45" i="60"/>
  <c r="BA45" i="60" s="1"/>
  <c r="AN45" i="60"/>
  <c r="AM45" i="60"/>
  <c r="BA44" i="60"/>
  <c r="AX44" i="60"/>
  <c r="AW44" i="60"/>
  <c r="AV44" i="60"/>
  <c r="AU44" i="60"/>
  <c r="AT44" i="60"/>
  <c r="AS44" i="60"/>
  <c r="AR44" i="60"/>
  <c r="AQ44" i="60"/>
  <c r="AP44" i="60"/>
  <c r="AO44" i="60"/>
  <c r="AN44" i="60"/>
  <c r="AM44" i="60"/>
  <c r="AY44" i="60" s="1"/>
  <c r="BA43" i="60"/>
  <c r="AX43" i="60"/>
  <c r="AW43" i="60"/>
  <c r="AV43" i="60"/>
  <c r="AU43" i="60"/>
  <c r="AT43" i="60"/>
  <c r="AS43" i="60"/>
  <c r="AR43" i="60"/>
  <c r="AQ43" i="60"/>
  <c r="AP43" i="60"/>
  <c r="AO43" i="60"/>
  <c r="AN43" i="60"/>
  <c r="AZ43" i="60" s="1"/>
  <c r="AM43" i="60"/>
  <c r="AY43" i="60" s="1"/>
  <c r="AX42" i="60"/>
  <c r="AW42" i="60"/>
  <c r="AV42" i="60"/>
  <c r="AU42" i="60"/>
  <c r="AT42" i="60"/>
  <c r="AS42" i="60"/>
  <c r="AR42" i="60"/>
  <c r="AQ42" i="60"/>
  <c r="AP42" i="60"/>
  <c r="AO42" i="60"/>
  <c r="BA42" i="60" s="1"/>
  <c r="AN42" i="60"/>
  <c r="AZ42" i="60" s="1"/>
  <c r="AM42" i="60"/>
  <c r="AW41" i="60"/>
  <c r="AV41" i="60"/>
  <c r="AT41" i="60"/>
  <c r="AS41" i="60"/>
  <c r="AR41" i="60"/>
  <c r="AQ41" i="60"/>
  <c r="AP41" i="60"/>
  <c r="AO41" i="60"/>
  <c r="AN41" i="60"/>
  <c r="AM41" i="60"/>
  <c r="AV40" i="60"/>
  <c r="AT40" i="60"/>
  <c r="AS40" i="60"/>
  <c r="AR40" i="60"/>
  <c r="AQ40" i="60"/>
  <c r="AP40" i="60"/>
  <c r="AO40" i="60"/>
  <c r="AN40" i="60"/>
  <c r="AM40" i="60"/>
  <c r="AY40" i="60" s="1"/>
  <c r="AV39" i="60"/>
  <c r="AT39" i="60"/>
  <c r="AS39" i="60"/>
  <c r="AR39" i="60"/>
  <c r="AQ39" i="60"/>
  <c r="AP39" i="60"/>
  <c r="AO39" i="60"/>
  <c r="AN39" i="60"/>
  <c r="AM39" i="60"/>
  <c r="AY39" i="60" s="1"/>
  <c r="AW38" i="60"/>
  <c r="AV38" i="60"/>
  <c r="AU38" i="60"/>
  <c r="AT38" i="60"/>
  <c r="AS38" i="60"/>
  <c r="AR38" i="60"/>
  <c r="AQ38" i="60"/>
  <c r="AP38" i="60"/>
  <c r="AO38" i="60"/>
  <c r="AN38" i="60"/>
  <c r="AZ38" i="60" s="1"/>
  <c r="AM38" i="60"/>
  <c r="AX37" i="60"/>
  <c r="AW37" i="60"/>
  <c r="AV37" i="60"/>
  <c r="AU37" i="60"/>
  <c r="AT37" i="60"/>
  <c r="AS37" i="60"/>
  <c r="AR37" i="60"/>
  <c r="AQ37" i="60"/>
  <c r="AP37" i="60"/>
  <c r="AO37" i="60"/>
  <c r="BA37" i="60" s="1"/>
  <c r="AN37" i="60"/>
  <c r="AM37" i="60"/>
  <c r="BA36" i="60"/>
  <c r="AX36" i="60"/>
  <c r="AW36" i="60"/>
  <c r="AV36" i="60"/>
  <c r="AU36" i="60"/>
  <c r="AT36" i="60"/>
  <c r="AS36" i="60"/>
  <c r="AR36" i="60"/>
  <c r="AQ36" i="60"/>
  <c r="AP36" i="60"/>
  <c r="AO36" i="60"/>
  <c r="AN36" i="60"/>
  <c r="AM36" i="60"/>
  <c r="AY36" i="60" s="1"/>
  <c r="BA35" i="60"/>
  <c r="AX35" i="60"/>
  <c r="AW35" i="60"/>
  <c r="AV35" i="60"/>
  <c r="AU35" i="60"/>
  <c r="AT35" i="60"/>
  <c r="AS35" i="60"/>
  <c r="AR35" i="60"/>
  <c r="AQ35" i="60"/>
  <c r="AP35" i="60"/>
  <c r="AO35" i="60"/>
  <c r="AN35" i="60"/>
  <c r="AZ35" i="60" s="1"/>
  <c r="AM35" i="60"/>
  <c r="AY35" i="60" s="1"/>
  <c r="AX34" i="60"/>
  <c r="AW34" i="60"/>
  <c r="AV34" i="60"/>
  <c r="AU34" i="60"/>
  <c r="AT34" i="60"/>
  <c r="AS34" i="60"/>
  <c r="AR34" i="60"/>
  <c r="AQ34" i="60"/>
  <c r="AP34" i="60"/>
  <c r="AO34" i="60"/>
  <c r="BA34" i="60" s="1"/>
  <c r="AN34" i="60"/>
  <c r="AZ34" i="60" s="1"/>
  <c r="AM34" i="60"/>
  <c r="AX33" i="60"/>
  <c r="AW33" i="60"/>
  <c r="AV33" i="60"/>
  <c r="AU33" i="60"/>
  <c r="AT33" i="60"/>
  <c r="AS33" i="60"/>
  <c r="AR33" i="60"/>
  <c r="AQ33" i="60"/>
  <c r="AP33" i="60"/>
  <c r="AO33" i="60"/>
  <c r="BA33" i="60" s="1"/>
  <c r="AN33" i="60"/>
  <c r="AM33" i="60"/>
  <c r="BA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Y32" i="60" s="1"/>
  <c r="AV31" i="60"/>
  <c r="AT31" i="60"/>
  <c r="AS31" i="60"/>
  <c r="AR31" i="60"/>
  <c r="AQ31" i="60"/>
  <c r="AP31" i="60"/>
  <c r="AO31" i="60"/>
  <c r="AN31" i="60"/>
  <c r="AM31" i="60"/>
  <c r="AY31" i="60" s="1"/>
  <c r="AX30" i="60"/>
  <c r="AW30" i="60"/>
  <c r="AV30" i="60"/>
  <c r="AU30" i="60"/>
  <c r="AT30" i="60"/>
  <c r="AS30" i="60"/>
  <c r="AR30" i="60"/>
  <c r="AQ30" i="60"/>
  <c r="AP30" i="60"/>
  <c r="AO30" i="60"/>
  <c r="BA30" i="60" s="1"/>
  <c r="AN30" i="60"/>
  <c r="AZ30" i="60" s="1"/>
  <c r="AM30" i="60"/>
  <c r="AX29" i="60"/>
  <c r="AW29" i="60"/>
  <c r="AV29" i="60"/>
  <c r="AU29" i="60"/>
  <c r="AT29" i="60"/>
  <c r="AS29" i="60"/>
  <c r="AR29" i="60"/>
  <c r="AQ29" i="60"/>
  <c r="AP29" i="60"/>
  <c r="AO29" i="60"/>
  <c r="BA29" i="60" s="1"/>
  <c r="AN29" i="60"/>
  <c r="AM29" i="60"/>
  <c r="BA28" i="60"/>
  <c r="AX28" i="60"/>
  <c r="AW28" i="60"/>
  <c r="AV28" i="60"/>
  <c r="AU28" i="60"/>
  <c r="AT28" i="60"/>
  <c r="AS28" i="60"/>
  <c r="AR28" i="60"/>
  <c r="AQ28" i="60"/>
  <c r="AP28" i="60"/>
  <c r="AO28" i="60"/>
  <c r="AN28" i="60"/>
  <c r="AM28" i="60"/>
  <c r="AY28" i="60" s="1"/>
  <c r="BA27" i="60"/>
  <c r="AX27" i="60"/>
  <c r="AW27" i="60"/>
  <c r="AV27" i="60"/>
  <c r="AU27" i="60"/>
  <c r="AT27" i="60"/>
  <c r="AS27" i="60"/>
  <c r="AR27" i="60"/>
  <c r="AQ27" i="60"/>
  <c r="AP27" i="60"/>
  <c r="AO27" i="60"/>
  <c r="AN27" i="60"/>
  <c r="AZ27" i="60" s="1"/>
  <c r="AM27" i="60"/>
  <c r="AY27" i="60" s="1"/>
  <c r="AX26" i="60"/>
  <c r="AW26" i="60"/>
  <c r="AV26" i="60"/>
  <c r="AU26" i="60"/>
  <c r="AT26" i="60"/>
  <c r="AS26" i="60"/>
  <c r="AR26" i="60"/>
  <c r="AQ26" i="60"/>
  <c r="AP26" i="60"/>
  <c r="AO26" i="60"/>
  <c r="BA26" i="60" s="1"/>
  <c r="AN26" i="60"/>
  <c r="AZ26" i="60" s="1"/>
  <c r="AM26" i="60"/>
  <c r="AW23" i="60"/>
  <c r="AV23" i="60"/>
  <c r="AU23" i="60"/>
  <c r="AT23" i="60"/>
  <c r="AS23" i="60"/>
  <c r="AP23" i="60"/>
  <c r="AO23" i="60"/>
  <c r="AN23" i="60"/>
  <c r="AM23" i="60"/>
  <c r="AY23" i="60" s="1"/>
  <c r="AX22" i="60"/>
  <c r="AW22" i="60"/>
  <c r="AV22" i="60"/>
  <c r="AU22" i="60"/>
  <c r="AT22" i="60"/>
  <c r="AS22" i="60"/>
  <c r="AR22" i="60"/>
  <c r="AQ22" i="60"/>
  <c r="AP22" i="60"/>
  <c r="AO22" i="60"/>
  <c r="BA22" i="60" s="1"/>
  <c r="AN22" i="60"/>
  <c r="AZ22" i="60" s="1"/>
  <c r="AM22" i="60"/>
  <c r="AY22" i="60" s="1"/>
  <c r="AV21" i="60"/>
  <c r="AT21" i="60"/>
  <c r="AS21" i="60"/>
  <c r="AR21" i="60"/>
  <c r="AQ21" i="60"/>
  <c r="AP21" i="60"/>
  <c r="AO21" i="60"/>
  <c r="AN21" i="60"/>
  <c r="AM21" i="60"/>
  <c r="AY21" i="60" s="1"/>
  <c r="AX20" i="60"/>
  <c r="AW20" i="60"/>
  <c r="AV20" i="60"/>
  <c r="AT20" i="60"/>
  <c r="AS20" i="60"/>
  <c r="AR20" i="60"/>
  <c r="AQ20" i="60"/>
  <c r="AP20" i="60"/>
  <c r="AO20" i="60"/>
  <c r="AN20" i="60"/>
  <c r="AZ20" i="60" s="1"/>
  <c r="AM20" i="60"/>
  <c r="AY20" i="60" s="1"/>
  <c r="AV19" i="60"/>
  <c r="AT19" i="60"/>
  <c r="AS19" i="60"/>
  <c r="AR19" i="60"/>
  <c r="AQ19" i="60"/>
  <c r="AP19" i="60"/>
  <c r="AO19" i="60"/>
  <c r="AN19" i="60"/>
  <c r="AM19" i="60"/>
  <c r="AY19" i="60" s="1"/>
  <c r="AW18" i="60"/>
  <c r="AV18" i="60"/>
  <c r="AT18" i="60"/>
  <c r="AS18" i="60"/>
  <c r="AR18" i="60"/>
  <c r="AQ18" i="60"/>
  <c r="AP18" i="60"/>
  <c r="AO18" i="60"/>
  <c r="AN18" i="60"/>
  <c r="AZ18" i="60" s="1"/>
  <c r="AM18" i="60"/>
  <c r="AY18" i="60" s="1"/>
  <c r="AV17" i="60"/>
  <c r="AT17" i="60"/>
  <c r="AS17" i="60"/>
  <c r="AR17" i="60"/>
  <c r="AQ17" i="60"/>
  <c r="AP17" i="60"/>
  <c r="AO17" i="60"/>
  <c r="AN17" i="60"/>
  <c r="AM17" i="60"/>
  <c r="AY17" i="60" s="1"/>
  <c r="AX16" i="60"/>
  <c r="AW16" i="60"/>
  <c r="AV16" i="60"/>
  <c r="AU16" i="60"/>
  <c r="AT16" i="60"/>
  <c r="AS16" i="60"/>
  <c r="AR16" i="60"/>
  <c r="AQ16" i="60"/>
  <c r="AP16" i="60"/>
  <c r="AO16" i="60"/>
  <c r="BA16" i="60" s="1"/>
  <c r="AN16" i="60"/>
  <c r="AZ16" i="60" s="1"/>
  <c r="AM16" i="60"/>
  <c r="AY16" i="60" s="1"/>
  <c r="AX15" i="60"/>
  <c r="AW15" i="60"/>
  <c r="AV15" i="60"/>
  <c r="AU15" i="60"/>
  <c r="AT15" i="60"/>
  <c r="AS15" i="60"/>
  <c r="AR15" i="60"/>
  <c r="AQ15" i="60"/>
  <c r="AP15" i="60"/>
  <c r="AO15" i="60"/>
  <c r="BA15" i="60" s="1"/>
  <c r="AN15" i="60"/>
  <c r="AZ15" i="60" s="1"/>
  <c r="AM15" i="60"/>
  <c r="AY15" i="60" s="1"/>
  <c r="AX14" i="60"/>
  <c r="AW14" i="60"/>
  <c r="AV14" i="60"/>
  <c r="AU14" i="60"/>
  <c r="AT14" i="60"/>
  <c r="AS14" i="60"/>
  <c r="AR14" i="60"/>
  <c r="AQ14" i="60"/>
  <c r="AP14" i="60"/>
  <c r="AO14" i="60"/>
  <c r="BA14" i="60" s="1"/>
  <c r="AN14" i="60"/>
  <c r="AZ14" i="60" s="1"/>
  <c r="AM14" i="60"/>
  <c r="AY14" i="60" s="1"/>
  <c r="AV13" i="60"/>
  <c r="AT13" i="60"/>
  <c r="AS13" i="60"/>
  <c r="AR13" i="60"/>
  <c r="AQ13" i="60"/>
  <c r="AP13" i="60"/>
  <c r="AO13" i="60"/>
  <c r="AN13" i="60"/>
  <c r="AM13" i="60"/>
  <c r="AY13" i="60" s="1"/>
  <c r="AX12" i="60"/>
  <c r="AW12" i="60"/>
  <c r="AV12" i="60"/>
  <c r="AU12" i="60"/>
  <c r="AT12" i="60"/>
  <c r="AS12" i="60"/>
  <c r="AR12" i="60"/>
  <c r="AQ12" i="60"/>
  <c r="AP12" i="60"/>
  <c r="AO12" i="60"/>
  <c r="BA12" i="60" s="1"/>
  <c r="AN12" i="60"/>
  <c r="AZ12" i="60" s="1"/>
  <c r="AM12" i="60"/>
  <c r="AY12" i="60" s="1"/>
  <c r="AX11" i="60"/>
  <c r="AW11" i="60"/>
  <c r="AV11" i="60"/>
  <c r="AU11" i="60"/>
  <c r="AT11" i="60"/>
  <c r="AS11" i="60"/>
  <c r="AR11" i="60"/>
  <c r="AQ11" i="60"/>
  <c r="AP11" i="60"/>
  <c r="AO11" i="60"/>
  <c r="BA11" i="60" s="1"/>
  <c r="AN11" i="60"/>
  <c r="AZ11" i="60" s="1"/>
  <c r="AM11" i="60"/>
  <c r="AY11" i="60" s="1"/>
  <c r="AV10" i="60"/>
  <c r="AT10" i="60"/>
  <c r="AS10" i="60"/>
  <c r="AP10" i="60"/>
  <c r="AO10" i="60"/>
  <c r="AN10" i="60"/>
  <c r="AM10" i="60"/>
  <c r="AY10" i="60" s="1"/>
  <c r="AV9" i="60"/>
  <c r="AT9" i="60"/>
  <c r="AS9" i="60"/>
  <c r="AR9" i="60"/>
  <c r="AQ9" i="60"/>
  <c r="AP9" i="60"/>
  <c r="AO9" i="60"/>
  <c r="AN9" i="60"/>
  <c r="AM9" i="60"/>
  <c r="AY9" i="60" s="1"/>
  <c r="AV8" i="60"/>
  <c r="AT8" i="60"/>
  <c r="AS8" i="60"/>
  <c r="AR8" i="60"/>
  <c r="AQ8" i="60"/>
  <c r="AP8" i="60"/>
  <c r="AO8" i="60"/>
  <c r="AN8" i="60"/>
  <c r="AM8" i="60"/>
  <c r="AY8" i="60" s="1"/>
  <c r="AV7" i="60"/>
  <c r="AS7" i="60"/>
  <c r="AR7" i="60"/>
  <c r="AQ7" i="60"/>
  <c r="AP7" i="60"/>
  <c r="AO7" i="60"/>
  <c r="AN7" i="60"/>
  <c r="AM7" i="60"/>
  <c r="AY7" i="60" s="1"/>
  <c r="AV6" i="60"/>
  <c r="AS6" i="60"/>
  <c r="AQ6" i="60"/>
  <c r="AR6" i="60"/>
  <c r="AP6" i="60"/>
  <c r="AN6" i="60"/>
  <c r="AO6" i="60"/>
  <c r="BJ85" i="69"/>
  <c r="BG85" i="69"/>
  <c r="BF85" i="69"/>
  <c r="BE85" i="69"/>
  <c r="BD85" i="69"/>
  <c r="BC85" i="69"/>
  <c r="BB85" i="69"/>
  <c r="BA85" i="69"/>
  <c r="BM85" i="69" s="1"/>
  <c r="AZ85" i="69"/>
  <c r="BJ83" i="69"/>
  <c r="BG83" i="69"/>
  <c r="BF83" i="69"/>
  <c r="BE83" i="69"/>
  <c r="BD83" i="69"/>
  <c r="BC83" i="69"/>
  <c r="BB83" i="69"/>
  <c r="BA83" i="69"/>
  <c r="AZ83" i="69"/>
  <c r="BJ81" i="69"/>
  <c r="BI81" i="69"/>
  <c r="BG81" i="69"/>
  <c r="BF81" i="69"/>
  <c r="BE81" i="69"/>
  <c r="BD81" i="69"/>
  <c r="BC81" i="69"/>
  <c r="BB81" i="69"/>
  <c r="BA81" i="69"/>
  <c r="BM81" i="69" s="1"/>
  <c r="AZ81" i="69"/>
  <c r="BL81" i="69" s="1"/>
  <c r="BO80" i="69"/>
  <c r="BK78" i="69"/>
  <c r="BJ78" i="69"/>
  <c r="BI78" i="69"/>
  <c r="BH78" i="69"/>
  <c r="BG78" i="69"/>
  <c r="BF78" i="69"/>
  <c r="BE78" i="69"/>
  <c r="BD78" i="69"/>
  <c r="BC78" i="69"/>
  <c r="BB78" i="69"/>
  <c r="BN78" i="69" s="1"/>
  <c r="BA78" i="69"/>
  <c r="AZ78" i="69"/>
  <c r="BK77" i="69"/>
  <c r="BJ77" i="69"/>
  <c r="BI77" i="69"/>
  <c r="BH77" i="69"/>
  <c r="BG77" i="69"/>
  <c r="BF77" i="69"/>
  <c r="BE77" i="69"/>
  <c r="BN77" i="69" s="1"/>
  <c r="BD77" i="69"/>
  <c r="BC77" i="69"/>
  <c r="BB77" i="69"/>
  <c r="BA77" i="69"/>
  <c r="BM77" i="69" s="1"/>
  <c r="AZ77" i="69"/>
  <c r="BM76" i="69"/>
  <c r="BK76" i="69"/>
  <c r="BJ76" i="69"/>
  <c r="BI76" i="69"/>
  <c r="BH76" i="69"/>
  <c r="BG76" i="69"/>
  <c r="BF76" i="69"/>
  <c r="BE76" i="69"/>
  <c r="BN76" i="69" s="1"/>
  <c r="BD76" i="69"/>
  <c r="BC76" i="69"/>
  <c r="BB76" i="69"/>
  <c r="BA76" i="69"/>
  <c r="AZ76" i="69"/>
  <c r="BL76" i="69" s="1"/>
  <c r="BK75" i="69"/>
  <c r="BJ75" i="69"/>
  <c r="BI75" i="69"/>
  <c r="BH75" i="69"/>
  <c r="BG75" i="69"/>
  <c r="BM75" i="69" s="1"/>
  <c r="BF75" i="69"/>
  <c r="BE75" i="69"/>
  <c r="BD75" i="69"/>
  <c r="BC75" i="69"/>
  <c r="BB75" i="69"/>
  <c r="BA75" i="69"/>
  <c r="AZ75" i="69"/>
  <c r="BK74" i="69"/>
  <c r="BJ74" i="69"/>
  <c r="BI74" i="69"/>
  <c r="BH74" i="69"/>
  <c r="BG74" i="69"/>
  <c r="BM74" i="69" s="1"/>
  <c r="BF74" i="69"/>
  <c r="BE74" i="69"/>
  <c r="BD74" i="69"/>
  <c r="BC74" i="69"/>
  <c r="BB74" i="69"/>
  <c r="BN74" i="69" s="1"/>
  <c r="BA74" i="69"/>
  <c r="AZ74" i="69"/>
  <c r="BN73" i="69"/>
  <c r="BK73" i="69"/>
  <c r="BJ73" i="69"/>
  <c r="BI73" i="69"/>
  <c r="BH73" i="69"/>
  <c r="BG73" i="69"/>
  <c r="BF73" i="69"/>
  <c r="BE73" i="69"/>
  <c r="BD73" i="69"/>
  <c r="BC73" i="69"/>
  <c r="BB73" i="69"/>
  <c r="BA73" i="69"/>
  <c r="AZ73" i="69"/>
  <c r="AZ79" i="69" s="1"/>
  <c r="BO72" i="69"/>
  <c r="BK70" i="69"/>
  <c r="BO70" i="69" s="1"/>
  <c r="BI70" i="69"/>
  <c r="BH70" i="69" s="1"/>
  <c r="BG70" i="69"/>
  <c r="BK69" i="69"/>
  <c r="BO69" i="69" s="1"/>
  <c r="BI69" i="69"/>
  <c r="BH69" i="69"/>
  <c r="BG69" i="69"/>
  <c r="BC69" i="69"/>
  <c r="BB69" i="69"/>
  <c r="BA69" i="69"/>
  <c r="AZ69" i="69"/>
  <c r="BK68" i="69"/>
  <c r="BO68" i="69" s="1"/>
  <c r="BI68" i="69"/>
  <c r="BH68" i="69"/>
  <c r="BG68" i="69"/>
  <c r="BO66" i="69"/>
  <c r="BA65" i="69"/>
  <c r="AZ65" i="69"/>
  <c r="BK64" i="69"/>
  <c r="BJ64" i="69"/>
  <c r="BI64" i="69"/>
  <c r="BH64" i="69"/>
  <c r="BG64" i="69"/>
  <c r="BF64" i="69"/>
  <c r="BE64" i="69"/>
  <c r="BD64" i="69"/>
  <c r="BC64" i="69"/>
  <c r="BB64" i="69"/>
  <c r="BN64" i="69" s="1"/>
  <c r="BA64" i="69"/>
  <c r="BM64" i="69" s="1"/>
  <c r="BO64" i="69" s="1"/>
  <c r="AZ64" i="69"/>
  <c r="BL64" i="69" s="1"/>
  <c r="BK63" i="69"/>
  <c r="BJ63" i="69"/>
  <c r="BI63" i="69"/>
  <c r="BH63" i="69"/>
  <c r="BG63" i="69"/>
  <c r="BF63" i="69"/>
  <c r="BE63" i="69"/>
  <c r="BD63" i="69"/>
  <c r="BD65" i="69" s="1"/>
  <c r="BC63" i="69"/>
  <c r="BC65" i="69" s="1"/>
  <c r="BB63" i="69"/>
  <c r="BB65" i="69" s="1"/>
  <c r="BA63" i="69"/>
  <c r="AZ63" i="69"/>
  <c r="BO62" i="69"/>
  <c r="BK60" i="69"/>
  <c r="BJ60" i="69"/>
  <c r="BI60" i="69"/>
  <c r="BH60" i="69"/>
  <c r="BG60" i="69"/>
  <c r="BF60" i="69"/>
  <c r="BE60" i="69"/>
  <c r="BD60" i="69"/>
  <c r="BC60" i="69"/>
  <c r="BB60" i="69"/>
  <c r="BN60" i="69" s="1"/>
  <c r="BA60" i="69"/>
  <c r="BM60" i="69" s="1"/>
  <c r="AZ60" i="69"/>
  <c r="BL60" i="69" s="1"/>
  <c r="BO60" i="69" s="1"/>
  <c r="BM59" i="69"/>
  <c r="BK59" i="69"/>
  <c r="BJ59" i="69"/>
  <c r="BI59" i="69"/>
  <c r="BH59" i="69"/>
  <c r="BG59" i="69"/>
  <c r="BF59" i="69"/>
  <c r="BE59" i="69"/>
  <c r="BD59" i="69"/>
  <c r="BC59" i="69"/>
  <c r="BB59" i="69"/>
  <c r="BA59" i="69"/>
  <c r="AZ59" i="69"/>
  <c r="BL59" i="69" s="1"/>
  <c r="BK58" i="69"/>
  <c r="BJ58" i="69"/>
  <c r="BI58" i="69"/>
  <c r="BH58" i="69"/>
  <c r="BG58" i="69"/>
  <c r="BF58" i="69"/>
  <c r="BE58" i="69"/>
  <c r="BD58" i="69"/>
  <c r="BC58" i="69"/>
  <c r="BB58" i="69"/>
  <c r="BA58" i="69"/>
  <c r="AZ58" i="69"/>
  <c r="BL58" i="69" s="1"/>
  <c r="BK57" i="69"/>
  <c r="BJ57" i="69"/>
  <c r="BI57" i="69"/>
  <c r="BH57" i="69"/>
  <c r="BG57" i="69"/>
  <c r="BF57" i="69"/>
  <c r="BE57" i="69"/>
  <c r="BD57" i="69"/>
  <c r="BC57" i="69"/>
  <c r="BB57" i="69"/>
  <c r="BA57" i="69"/>
  <c r="AZ57" i="69"/>
  <c r="BK56" i="69"/>
  <c r="BJ56" i="69"/>
  <c r="BI56" i="69"/>
  <c r="BH56" i="69"/>
  <c r="BG56" i="69"/>
  <c r="BF56" i="69"/>
  <c r="BE56" i="69"/>
  <c r="BD56" i="69"/>
  <c r="BC56" i="69"/>
  <c r="BB56" i="69"/>
  <c r="BA56" i="69"/>
  <c r="BM56" i="69" s="1"/>
  <c r="AZ56" i="69"/>
  <c r="BO55" i="69"/>
  <c r="BN53" i="69"/>
  <c r="BK53" i="69"/>
  <c r="BJ53" i="69"/>
  <c r="BI53" i="69"/>
  <c r="BH53" i="69"/>
  <c r="BG53" i="69"/>
  <c r="BF53" i="69"/>
  <c r="BE53" i="69"/>
  <c r="BD53" i="69"/>
  <c r="BC53" i="69"/>
  <c r="BB53" i="69"/>
  <c r="BA53" i="69"/>
  <c r="BM53" i="69" s="1"/>
  <c r="BO53" i="69" s="1"/>
  <c r="AZ53" i="69"/>
  <c r="BL53" i="69" s="1"/>
  <c r="BK52" i="69"/>
  <c r="BJ52" i="69"/>
  <c r="BI52" i="69"/>
  <c r="BH52" i="69"/>
  <c r="BN52" i="69" s="1"/>
  <c r="BG52" i="69"/>
  <c r="BF52" i="69"/>
  <c r="BE52" i="69"/>
  <c r="BD52" i="69"/>
  <c r="BC52" i="69"/>
  <c r="BB52" i="69"/>
  <c r="BA52" i="69"/>
  <c r="AZ52" i="69"/>
  <c r="BL52" i="69" s="1"/>
  <c r="BK51" i="69"/>
  <c r="BJ51" i="69"/>
  <c r="BI51" i="69"/>
  <c r="BH51" i="69"/>
  <c r="BG51" i="69"/>
  <c r="BF51" i="69"/>
  <c r="BE51" i="69"/>
  <c r="BD51" i="69"/>
  <c r="BC51" i="69"/>
  <c r="BB51" i="69"/>
  <c r="BA51" i="69"/>
  <c r="AZ51" i="69"/>
  <c r="BL51" i="69" s="1"/>
  <c r="BK50" i="69"/>
  <c r="BJ50" i="69"/>
  <c r="BI50" i="69"/>
  <c r="BH50" i="69"/>
  <c r="BG50" i="69"/>
  <c r="BF50" i="69"/>
  <c r="BE50" i="69"/>
  <c r="BD50" i="69"/>
  <c r="BC50" i="69"/>
  <c r="BB50" i="69"/>
  <c r="BN50" i="69" s="1"/>
  <c r="BA50" i="69"/>
  <c r="AZ50" i="69"/>
  <c r="BL50" i="69" s="1"/>
  <c r="BK49" i="69"/>
  <c r="BJ49" i="69"/>
  <c r="BI49" i="69"/>
  <c r="BH49" i="69"/>
  <c r="BG49" i="69"/>
  <c r="BF49" i="69"/>
  <c r="BE49" i="69"/>
  <c r="BD49" i="69"/>
  <c r="BC49" i="69"/>
  <c r="BB49" i="69"/>
  <c r="BN49" i="69" s="1"/>
  <c r="BA49" i="69"/>
  <c r="AZ49" i="69"/>
  <c r="BK48" i="69"/>
  <c r="BJ48" i="69"/>
  <c r="BI48" i="69"/>
  <c r="BH48" i="69"/>
  <c r="BN48" i="69" s="1"/>
  <c r="BG48" i="69"/>
  <c r="BF48" i="69"/>
  <c r="BE48" i="69"/>
  <c r="BD48" i="69"/>
  <c r="BC48" i="69"/>
  <c r="BB48" i="69"/>
  <c r="BA48" i="69"/>
  <c r="AZ48" i="69"/>
  <c r="BL48" i="69" s="1"/>
  <c r="BK47" i="69"/>
  <c r="BJ47" i="69"/>
  <c r="BI47" i="69"/>
  <c r="BH47" i="69"/>
  <c r="BG47" i="69"/>
  <c r="BF47" i="69"/>
  <c r="BE47" i="69"/>
  <c r="BD47" i="69"/>
  <c r="BC47" i="69"/>
  <c r="BB47" i="69"/>
  <c r="BA47" i="69"/>
  <c r="AZ47" i="69"/>
  <c r="BL47" i="69" s="1"/>
  <c r="BK46" i="69"/>
  <c r="BJ46" i="69"/>
  <c r="BI46" i="69"/>
  <c r="BH46" i="69"/>
  <c r="BG46" i="69"/>
  <c r="BF46" i="69"/>
  <c r="BE46" i="69"/>
  <c r="BD46" i="69"/>
  <c r="BC46" i="69"/>
  <c r="BB46" i="69"/>
  <c r="BN46" i="69" s="1"/>
  <c r="BA46" i="69"/>
  <c r="AZ46" i="69"/>
  <c r="BN45" i="69"/>
  <c r="BK45" i="69"/>
  <c r="BJ45" i="69"/>
  <c r="BI45" i="69"/>
  <c r="BH45" i="69"/>
  <c r="BG45" i="69"/>
  <c r="BF45" i="69"/>
  <c r="BE45" i="69"/>
  <c r="BD45" i="69"/>
  <c r="BC45" i="69"/>
  <c r="BB45" i="69"/>
  <c r="BA45" i="69"/>
  <c r="BM45" i="69" s="1"/>
  <c r="BO45" i="69" s="1"/>
  <c r="AZ45" i="69"/>
  <c r="BL45" i="69" s="1"/>
  <c r="BK44" i="69"/>
  <c r="BJ44" i="69"/>
  <c r="BI44" i="69"/>
  <c r="BH44" i="69"/>
  <c r="BN44" i="69" s="1"/>
  <c r="BG44" i="69"/>
  <c r="BF44" i="69"/>
  <c r="BE44" i="69"/>
  <c r="BD44" i="69"/>
  <c r="BC44" i="69"/>
  <c r="BB44" i="69"/>
  <c r="BA44" i="69"/>
  <c r="AZ44" i="69"/>
  <c r="BL44" i="69" s="1"/>
  <c r="BK43" i="69"/>
  <c r="BJ43" i="69"/>
  <c r="BI43" i="69"/>
  <c r="BH43" i="69"/>
  <c r="BG43" i="69"/>
  <c r="BF43" i="69"/>
  <c r="BE43" i="69"/>
  <c r="BD43" i="69"/>
  <c r="BC43" i="69"/>
  <c r="BB43" i="69"/>
  <c r="BA43" i="69"/>
  <c r="AZ43" i="69"/>
  <c r="BL43" i="69" s="1"/>
  <c r="BK42" i="69"/>
  <c r="BJ42" i="69"/>
  <c r="BI42" i="69"/>
  <c r="BH42" i="69"/>
  <c r="BG42" i="69"/>
  <c r="BF42" i="69"/>
  <c r="BE42" i="69"/>
  <c r="BD42" i="69"/>
  <c r="BC42" i="69"/>
  <c r="BB42" i="69"/>
  <c r="BN42" i="69" s="1"/>
  <c r="BA42" i="69"/>
  <c r="AZ42" i="69"/>
  <c r="BL42" i="69" s="1"/>
  <c r="BK41" i="69"/>
  <c r="BJ41" i="69"/>
  <c r="BI41" i="69"/>
  <c r="BH41" i="69"/>
  <c r="BG41" i="69"/>
  <c r="BF41" i="69"/>
  <c r="BE41" i="69"/>
  <c r="BD41" i="69"/>
  <c r="BC41" i="69"/>
  <c r="BB41" i="69"/>
  <c r="BA41" i="69"/>
  <c r="AZ41" i="69"/>
  <c r="BK40" i="69"/>
  <c r="BJ40" i="69"/>
  <c r="BI40" i="69"/>
  <c r="BH40" i="69"/>
  <c r="BN40" i="69" s="1"/>
  <c r="BG40" i="69"/>
  <c r="BF40" i="69"/>
  <c r="BE40" i="69"/>
  <c r="BD40" i="69"/>
  <c r="BC40" i="69"/>
  <c r="BB40" i="69"/>
  <c r="BA40" i="69"/>
  <c r="AZ40" i="69"/>
  <c r="BL40" i="69" s="1"/>
  <c r="BK39" i="69"/>
  <c r="BJ39" i="69"/>
  <c r="BI39" i="69"/>
  <c r="BH39" i="69"/>
  <c r="BG39" i="69"/>
  <c r="BF39" i="69"/>
  <c r="BE39" i="69"/>
  <c r="BD39" i="69"/>
  <c r="BC39" i="69"/>
  <c r="BB39" i="69"/>
  <c r="BA39" i="69"/>
  <c r="AZ39" i="69"/>
  <c r="BL39" i="69" s="1"/>
  <c r="BK38" i="69"/>
  <c r="BJ38" i="69"/>
  <c r="BI38" i="69"/>
  <c r="BH38" i="69"/>
  <c r="BG38" i="69"/>
  <c r="BF38" i="69"/>
  <c r="BE38" i="69"/>
  <c r="BD38" i="69"/>
  <c r="BC38" i="69"/>
  <c r="BB38" i="69"/>
  <c r="BN38" i="69" s="1"/>
  <c r="BA38" i="69"/>
  <c r="AZ38" i="69"/>
  <c r="BN37" i="69"/>
  <c r="BK37" i="69"/>
  <c r="BJ37" i="69"/>
  <c r="BI37" i="69"/>
  <c r="BH37" i="69"/>
  <c r="BG37" i="69"/>
  <c r="BF37" i="69"/>
  <c r="BE37" i="69"/>
  <c r="BD37" i="69"/>
  <c r="BC37" i="69"/>
  <c r="BB37" i="69"/>
  <c r="BA37" i="69"/>
  <c r="BM37" i="69" s="1"/>
  <c r="BO37" i="69" s="1"/>
  <c r="AZ37" i="69"/>
  <c r="BL37" i="69" s="1"/>
  <c r="BK36" i="69"/>
  <c r="BJ36" i="69"/>
  <c r="BI36" i="69"/>
  <c r="BH36" i="69"/>
  <c r="BN36" i="69" s="1"/>
  <c r="BG36" i="69"/>
  <c r="BF36" i="69"/>
  <c r="BE36" i="69"/>
  <c r="BD36" i="69"/>
  <c r="BC36" i="69"/>
  <c r="BB36" i="69"/>
  <c r="BA36" i="69"/>
  <c r="AZ36" i="69"/>
  <c r="BL36" i="69" s="1"/>
  <c r="BK35" i="69"/>
  <c r="BJ35" i="69"/>
  <c r="BI35" i="69"/>
  <c r="BH35" i="69"/>
  <c r="BG35" i="69"/>
  <c r="BF35" i="69"/>
  <c r="BE35" i="69"/>
  <c r="BD35" i="69"/>
  <c r="BC35" i="69"/>
  <c r="BB35" i="69"/>
  <c r="BA35" i="69"/>
  <c r="AZ35" i="69"/>
  <c r="BL35" i="69" s="1"/>
  <c r="BK34" i="69"/>
  <c r="BJ34" i="69"/>
  <c r="BI34" i="69"/>
  <c r="BH34" i="69"/>
  <c r="BG34" i="69"/>
  <c r="BF34" i="69"/>
  <c r="BE34" i="69"/>
  <c r="BD34" i="69"/>
  <c r="BC34" i="69"/>
  <c r="BB34" i="69"/>
  <c r="BN34" i="69" s="1"/>
  <c r="BA34" i="69"/>
  <c r="AZ34" i="69"/>
  <c r="BL34" i="69" s="1"/>
  <c r="BK33" i="69"/>
  <c r="BJ33" i="69"/>
  <c r="BI33" i="69"/>
  <c r="BH33" i="69"/>
  <c r="BG33" i="69"/>
  <c r="BF33" i="69"/>
  <c r="BE33" i="69"/>
  <c r="BD33" i="69"/>
  <c r="BC33" i="69"/>
  <c r="BB33" i="69"/>
  <c r="BN33" i="69" s="1"/>
  <c r="BA33" i="69"/>
  <c r="AZ33" i="69"/>
  <c r="BK32" i="69"/>
  <c r="BJ32" i="69"/>
  <c r="BI32" i="69"/>
  <c r="BH32" i="69"/>
  <c r="BN32" i="69" s="1"/>
  <c r="BG32" i="69"/>
  <c r="BF32" i="69"/>
  <c r="BE32" i="69"/>
  <c r="BD32" i="69"/>
  <c r="BC32" i="69"/>
  <c r="BB32" i="69"/>
  <c r="BA32" i="69"/>
  <c r="AZ32" i="69"/>
  <c r="BL32" i="69" s="1"/>
  <c r="BK31" i="69"/>
  <c r="BJ31" i="69"/>
  <c r="BI31" i="69"/>
  <c r="BH31" i="69"/>
  <c r="BG31" i="69"/>
  <c r="BF31" i="69"/>
  <c r="BE31" i="69"/>
  <c r="BD31" i="69"/>
  <c r="BC31" i="69"/>
  <c r="BB31" i="69"/>
  <c r="BA31" i="69"/>
  <c r="AZ31" i="69"/>
  <c r="BL31" i="69" s="1"/>
  <c r="BK30" i="69"/>
  <c r="BJ30" i="69"/>
  <c r="BI30" i="69"/>
  <c r="BH30" i="69"/>
  <c r="BG30" i="69"/>
  <c r="BF30" i="69"/>
  <c r="BE30" i="69"/>
  <c r="BD30" i="69"/>
  <c r="BC30" i="69"/>
  <c r="BB30" i="69"/>
  <c r="BN30" i="69" s="1"/>
  <c r="BA30" i="69"/>
  <c r="AZ30" i="69"/>
  <c r="BN29" i="69"/>
  <c r="BK29" i="69"/>
  <c r="BJ29" i="69"/>
  <c r="BI29" i="69"/>
  <c r="BH29" i="69"/>
  <c r="BG29" i="69"/>
  <c r="BF29" i="69"/>
  <c r="BE29" i="69"/>
  <c r="BD29" i="69"/>
  <c r="BC29" i="69"/>
  <c r="BB29" i="69"/>
  <c r="BA29" i="69"/>
  <c r="BM29" i="69" s="1"/>
  <c r="BO29" i="69" s="1"/>
  <c r="AZ29" i="69"/>
  <c r="BL29" i="69" s="1"/>
  <c r="BK28" i="69"/>
  <c r="BJ28" i="69"/>
  <c r="BI28" i="69"/>
  <c r="BH28" i="69"/>
  <c r="BN28" i="69" s="1"/>
  <c r="BG28" i="69"/>
  <c r="BF28" i="69"/>
  <c r="BE28" i="69"/>
  <c r="BD28" i="69"/>
  <c r="BC28" i="69"/>
  <c r="BB28" i="69"/>
  <c r="BA28" i="69"/>
  <c r="AZ28" i="69"/>
  <c r="BL28" i="69" s="1"/>
  <c r="BK27" i="69"/>
  <c r="BJ27" i="69"/>
  <c r="BI27" i="69"/>
  <c r="BH27" i="69"/>
  <c r="BG27" i="69"/>
  <c r="BF27" i="69"/>
  <c r="BE27" i="69"/>
  <c r="BD27" i="69"/>
  <c r="BC27" i="69"/>
  <c r="BB27" i="69"/>
  <c r="BA27" i="69"/>
  <c r="AZ27" i="69"/>
  <c r="BL27" i="69" s="1"/>
  <c r="BK26" i="69"/>
  <c r="BJ26" i="69"/>
  <c r="BI26" i="69"/>
  <c r="BH26" i="69"/>
  <c r="BG26" i="69"/>
  <c r="BF26" i="69"/>
  <c r="BE26" i="69"/>
  <c r="BD26" i="69"/>
  <c r="BC26" i="69"/>
  <c r="BB26" i="69"/>
  <c r="BA26" i="69"/>
  <c r="AZ26" i="69"/>
  <c r="AZ54" i="69" s="1"/>
  <c r="BO25" i="69"/>
  <c r="BN23" i="69"/>
  <c r="BK23" i="69"/>
  <c r="BJ23" i="69"/>
  <c r="BI23" i="69"/>
  <c r="BH23" i="69"/>
  <c r="BG23" i="69"/>
  <c r="BF23" i="69"/>
  <c r="BE23" i="69"/>
  <c r="BD23" i="69"/>
  <c r="BC23" i="69"/>
  <c r="BB23" i="69"/>
  <c r="BA23" i="69"/>
  <c r="BM23" i="69" s="1"/>
  <c r="AZ23" i="69"/>
  <c r="BK22" i="69"/>
  <c r="BJ22" i="69"/>
  <c r="BI22" i="69"/>
  <c r="BH22" i="69"/>
  <c r="BG22" i="69"/>
  <c r="BF22" i="69"/>
  <c r="BE22" i="69"/>
  <c r="BN22" i="69" s="1"/>
  <c r="BD22" i="69"/>
  <c r="BC22" i="69"/>
  <c r="BB22" i="69"/>
  <c r="BA22" i="69"/>
  <c r="BM22" i="69" s="1"/>
  <c r="AZ22" i="69"/>
  <c r="BK21" i="69"/>
  <c r="BJ21" i="69"/>
  <c r="BI21" i="69"/>
  <c r="BH21" i="69"/>
  <c r="BG21" i="69"/>
  <c r="BM21" i="69" s="1"/>
  <c r="BF21" i="69"/>
  <c r="BE21" i="69"/>
  <c r="BD21" i="69"/>
  <c r="BC21" i="69"/>
  <c r="BB21" i="69"/>
  <c r="BA21" i="69"/>
  <c r="AZ21" i="69"/>
  <c r="BK20" i="69"/>
  <c r="BJ20" i="69"/>
  <c r="BI20" i="69"/>
  <c r="BH20" i="69"/>
  <c r="BG20" i="69"/>
  <c r="BM20" i="69" s="1"/>
  <c r="BF20" i="69"/>
  <c r="BE20" i="69"/>
  <c r="BD20" i="69"/>
  <c r="BC20" i="69"/>
  <c r="BB20" i="69"/>
  <c r="BA20" i="69"/>
  <c r="AZ20" i="69"/>
  <c r="BK19" i="69"/>
  <c r="BJ19" i="69"/>
  <c r="BI19" i="69"/>
  <c r="BH19" i="69"/>
  <c r="BG19" i="69"/>
  <c r="BF19" i="69"/>
  <c r="BE19" i="69"/>
  <c r="BD19" i="69"/>
  <c r="BC19" i="69"/>
  <c r="BB19" i="69"/>
  <c r="BN19" i="69" s="1"/>
  <c r="BA19" i="69"/>
  <c r="BM19" i="69" s="1"/>
  <c r="AZ19" i="69"/>
  <c r="BM18" i="69"/>
  <c r="BK18" i="69"/>
  <c r="BJ18" i="69"/>
  <c r="BI18" i="69"/>
  <c r="BH18" i="69"/>
  <c r="BG18" i="69"/>
  <c r="BF18" i="69"/>
  <c r="BE18" i="69"/>
  <c r="BN18" i="69" s="1"/>
  <c r="BD18" i="69"/>
  <c r="BC18" i="69"/>
  <c r="BB18" i="69"/>
  <c r="BA18" i="69"/>
  <c r="AZ18" i="69"/>
  <c r="BL18" i="69" s="1"/>
  <c r="BM17" i="69"/>
  <c r="BK17" i="69"/>
  <c r="BJ17" i="69"/>
  <c r="BI17" i="69"/>
  <c r="BH17" i="69"/>
  <c r="BG17" i="69"/>
  <c r="BF17" i="69"/>
  <c r="BE17" i="69"/>
  <c r="BN17" i="69" s="1"/>
  <c r="BD17" i="69"/>
  <c r="BC17" i="69"/>
  <c r="BB17" i="69"/>
  <c r="BA17" i="69"/>
  <c r="AZ17" i="69"/>
  <c r="BL17" i="69" s="1"/>
  <c r="BK16" i="69"/>
  <c r="BJ16" i="69"/>
  <c r="BI16" i="69"/>
  <c r="BH16" i="69"/>
  <c r="BG16" i="69"/>
  <c r="BF16" i="69"/>
  <c r="BE16" i="69"/>
  <c r="BD16" i="69"/>
  <c r="BC16" i="69"/>
  <c r="BB16" i="69"/>
  <c r="BN16" i="69" s="1"/>
  <c r="BA16" i="69"/>
  <c r="AZ16" i="69"/>
  <c r="BN15" i="69"/>
  <c r="BK15" i="69"/>
  <c r="BJ15" i="69"/>
  <c r="BI15" i="69"/>
  <c r="BH15" i="69"/>
  <c r="BG15" i="69"/>
  <c r="BF15" i="69"/>
  <c r="BE15" i="69"/>
  <c r="BD15" i="69"/>
  <c r="BC15" i="69"/>
  <c r="BB15" i="69"/>
  <c r="BA15" i="69"/>
  <c r="BM15" i="69" s="1"/>
  <c r="AZ15" i="69"/>
  <c r="BK14" i="69"/>
  <c r="BJ14" i="69"/>
  <c r="BI14" i="69"/>
  <c r="BH14" i="69"/>
  <c r="BG14" i="69"/>
  <c r="BF14" i="69"/>
  <c r="BE14" i="69"/>
  <c r="BN14" i="69" s="1"/>
  <c r="BD14" i="69"/>
  <c r="BC14" i="69"/>
  <c r="BB14" i="69"/>
  <c r="BA14" i="69"/>
  <c r="BM14" i="69" s="1"/>
  <c r="AZ14" i="69"/>
  <c r="BK13" i="69"/>
  <c r="BJ13" i="69"/>
  <c r="BI13" i="69"/>
  <c r="BH13" i="69"/>
  <c r="BG13" i="69"/>
  <c r="BM13" i="69" s="1"/>
  <c r="BF13" i="69"/>
  <c r="BE13" i="69"/>
  <c r="BD13" i="69"/>
  <c r="BC13" i="69"/>
  <c r="BB13" i="69"/>
  <c r="BA13" i="69"/>
  <c r="AZ13" i="69"/>
  <c r="BK12" i="69"/>
  <c r="BJ12" i="69"/>
  <c r="BI12" i="69"/>
  <c r="BH12" i="69"/>
  <c r="BG12" i="69"/>
  <c r="BM12" i="69" s="1"/>
  <c r="BF12" i="69"/>
  <c r="BE12" i="69"/>
  <c r="BD12" i="69"/>
  <c r="BC12" i="69"/>
  <c r="BB12" i="69"/>
  <c r="BA12" i="69"/>
  <c r="AZ12" i="69"/>
  <c r="BK11" i="69"/>
  <c r="BJ11" i="69"/>
  <c r="BI11" i="69"/>
  <c r="BH11" i="69"/>
  <c r="BG11" i="69"/>
  <c r="BF11" i="69"/>
  <c r="BE11" i="69"/>
  <c r="BD11" i="69"/>
  <c r="BC11" i="69"/>
  <c r="BB11" i="69"/>
  <c r="BN11" i="69" s="1"/>
  <c r="BA11" i="69"/>
  <c r="BM11" i="69" s="1"/>
  <c r="AZ11" i="69"/>
  <c r="BM10" i="69"/>
  <c r="BK10" i="69"/>
  <c r="BJ10" i="69"/>
  <c r="BI10" i="69"/>
  <c r="BH10" i="69"/>
  <c r="BH24" i="69" s="1"/>
  <c r="BG10" i="69"/>
  <c r="BF10" i="69"/>
  <c r="BE10" i="69"/>
  <c r="BD10" i="69"/>
  <c r="BC10" i="69"/>
  <c r="BB10" i="69"/>
  <c r="BA10" i="69"/>
  <c r="AZ10" i="69"/>
  <c r="BL10" i="69" s="1"/>
  <c r="BM9" i="69"/>
  <c r="BK9" i="69"/>
  <c r="BJ9" i="69"/>
  <c r="BI9" i="69"/>
  <c r="BH9" i="69"/>
  <c r="BG9" i="69"/>
  <c r="BF9" i="69"/>
  <c r="BE9" i="69"/>
  <c r="BN9" i="69" s="1"/>
  <c r="BD9" i="69"/>
  <c r="BC9" i="69"/>
  <c r="BB9" i="69"/>
  <c r="BA9" i="69"/>
  <c r="AZ9" i="69"/>
  <c r="BL9" i="69" s="1"/>
  <c r="BK8" i="69"/>
  <c r="BJ8" i="69"/>
  <c r="BI8" i="69"/>
  <c r="BH8" i="69"/>
  <c r="BG8" i="69"/>
  <c r="BF8" i="69"/>
  <c r="BE8" i="69"/>
  <c r="BD8" i="69"/>
  <c r="BC8" i="69"/>
  <c r="BC24" i="69" s="1"/>
  <c r="BC67" i="69" s="1"/>
  <c r="BC71" i="69" s="1"/>
  <c r="BB8" i="69"/>
  <c r="BN8" i="69" s="1"/>
  <c r="BA8" i="69"/>
  <c r="AZ8" i="69"/>
  <c r="BN7" i="69"/>
  <c r="BK7" i="69"/>
  <c r="BJ7" i="69"/>
  <c r="BI7" i="69"/>
  <c r="BH7" i="69"/>
  <c r="BG7" i="69"/>
  <c r="BF7" i="69"/>
  <c r="BE7" i="69"/>
  <c r="BD7" i="69"/>
  <c r="BC7" i="69"/>
  <c r="BB7" i="69"/>
  <c r="BA7" i="69"/>
  <c r="BM7" i="69" s="1"/>
  <c r="AZ7" i="69"/>
  <c r="BK6" i="69"/>
  <c r="BJ6" i="69"/>
  <c r="BI6" i="69"/>
  <c r="BI24" i="69" s="1"/>
  <c r="BH6" i="69"/>
  <c r="BG6" i="69"/>
  <c r="BF6" i="69"/>
  <c r="BE6" i="69"/>
  <c r="BD6" i="69"/>
  <c r="BD24" i="69" s="1"/>
  <c r="BC6" i="69"/>
  <c r="BB6" i="69"/>
  <c r="BB24" i="69" s="1"/>
  <c r="BA6" i="69"/>
  <c r="BA24" i="69" s="1"/>
  <c r="BA67" i="69" s="1"/>
  <c r="AZ6" i="69"/>
  <c r="AZ24" i="69" s="1"/>
  <c r="BJ85" i="56"/>
  <c r="BG85" i="56"/>
  <c r="BF85" i="56"/>
  <c r="BE85" i="56"/>
  <c r="BD85" i="56"/>
  <c r="BC85" i="56"/>
  <c r="BB85" i="56"/>
  <c r="BA85" i="56"/>
  <c r="AZ85" i="56"/>
  <c r="BJ83" i="56"/>
  <c r="BG83" i="56"/>
  <c r="BF83" i="56"/>
  <c r="BE83" i="56"/>
  <c r="BD83" i="56"/>
  <c r="BC83" i="56"/>
  <c r="BB83" i="56"/>
  <c r="BA83" i="56"/>
  <c r="BM83" i="56" s="1"/>
  <c r="AZ83" i="56"/>
  <c r="BJ81" i="56"/>
  <c r="BI81" i="56"/>
  <c r="BG81" i="56"/>
  <c r="BF81" i="56"/>
  <c r="BE81" i="56"/>
  <c r="BD81" i="56"/>
  <c r="BC81" i="56"/>
  <c r="BB81" i="56"/>
  <c r="BA81" i="56"/>
  <c r="BM81" i="56" s="1"/>
  <c r="AZ81" i="56"/>
  <c r="BO80" i="56"/>
  <c r="BM78" i="56"/>
  <c r="BO78" i="56" s="1"/>
  <c r="BK78" i="56"/>
  <c r="BJ78" i="56"/>
  <c r="BI78" i="56"/>
  <c r="BH78" i="56"/>
  <c r="BG78" i="56"/>
  <c r="BF78" i="56"/>
  <c r="BE78" i="56"/>
  <c r="BD78" i="56"/>
  <c r="BC78" i="56"/>
  <c r="BB78" i="56"/>
  <c r="BA78" i="56"/>
  <c r="AZ78" i="56"/>
  <c r="BL78" i="56" s="1"/>
  <c r="BM77" i="56"/>
  <c r="BK77" i="56"/>
  <c r="BJ77" i="56"/>
  <c r="BI77" i="56"/>
  <c r="BH77" i="56"/>
  <c r="BG77" i="56"/>
  <c r="BF77" i="56"/>
  <c r="BE77" i="56"/>
  <c r="BD77" i="56"/>
  <c r="BC77" i="56"/>
  <c r="BB77" i="56"/>
  <c r="BA77" i="56"/>
  <c r="AZ77" i="56"/>
  <c r="BL77" i="56" s="1"/>
  <c r="BK76" i="56"/>
  <c r="BJ76" i="56"/>
  <c r="BI76" i="56"/>
  <c r="BH76" i="56"/>
  <c r="BG76" i="56"/>
  <c r="BF76" i="56"/>
  <c r="BE76" i="56"/>
  <c r="BD76" i="56"/>
  <c r="BC76" i="56"/>
  <c r="BB76" i="56"/>
  <c r="BA76" i="56"/>
  <c r="BM76" i="56" s="1"/>
  <c r="AZ76" i="56"/>
  <c r="BK75" i="56"/>
  <c r="BJ75" i="56"/>
  <c r="BI75" i="56"/>
  <c r="BH75" i="56"/>
  <c r="BG75" i="56"/>
  <c r="BF75" i="56"/>
  <c r="BE75" i="56"/>
  <c r="BD75" i="56"/>
  <c r="BC75" i="56"/>
  <c r="BB75" i="56"/>
  <c r="BN75" i="56" s="1"/>
  <c r="BA75" i="56"/>
  <c r="BM75" i="56" s="1"/>
  <c r="AZ75" i="56"/>
  <c r="BM74" i="56"/>
  <c r="BK74" i="56"/>
  <c r="BJ74" i="56"/>
  <c r="BI74" i="56"/>
  <c r="BH74" i="56"/>
  <c r="BG74" i="56"/>
  <c r="BF74" i="56"/>
  <c r="BE74" i="56"/>
  <c r="BN74" i="56" s="1"/>
  <c r="BD74" i="56"/>
  <c r="BC74" i="56"/>
  <c r="BB74" i="56"/>
  <c r="BA74" i="56"/>
  <c r="AZ74" i="56"/>
  <c r="BL74" i="56" s="1"/>
  <c r="BK73" i="56"/>
  <c r="BJ73" i="56"/>
  <c r="BI73" i="56"/>
  <c r="BH73" i="56"/>
  <c r="BG73" i="56"/>
  <c r="BF73" i="56"/>
  <c r="BE73" i="56"/>
  <c r="BD73" i="56"/>
  <c r="BD79" i="56" s="1"/>
  <c r="BC73" i="56"/>
  <c r="BC79" i="56" s="1"/>
  <c r="BB73" i="56"/>
  <c r="BB79" i="56" s="1"/>
  <c r="BA73" i="56"/>
  <c r="BA79" i="56" s="1"/>
  <c r="AZ73" i="56"/>
  <c r="AZ79" i="56" s="1"/>
  <c r="BO72" i="56"/>
  <c r="BK70" i="56"/>
  <c r="BO70" i="56" s="1"/>
  <c r="BI70" i="56"/>
  <c r="BH70" i="56"/>
  <c r="BG70" i="56"/>
  <c r="BK69" i="56"/>
  <c r="BO69" i="56" s="1"/>
  <c r="BI69" i="56"/>
  <c r="BH69" i="56"/>
  <c r="BG69" i="56"/>
  <c r="BC69" i="56"/>
  <c r="BB69" i="56"/>
  <c r="BA69" i="56"/>
  <c r="AZ69" i="56"/>
  <c r="BK68" i="56"/>
  <c r="BO68" i="56" s="1"/>
  <c r="BI68" i="56"/>
  <c r="BH68" i="56" s="1"/>
  <c r="BG68" i="56"/>
  <c r="BO66" i="56"/>
  <c r="BK64" i="56"/>
  <c r="BJ64" i="56"/>
  <c r="BI64" i="56"/>
  <c r="BH64" i="56"/>
  <c r="BG64" i="56"/>
  <c r="BF64" i="56"/>
  <c r="BE64" i="56"/>
  <c r="BD64" i="56"/>
  <c r="BD65" i="56" s="1"/>
  <c r="BC64" i="56"/>
  <c r="BB64" i="56"/>
  <c r="BA64" i="56"/>
  <c r="BM64" i="56" s="1"/>
  <c r="BO64" i="56" s="1"/>
  <c r="AZ64" i="56"/>
  <c r="BL64" i="56" s="1"/>
  <c r="BK63" i="56"/>
  <c r="BJ63" i="56"/>
  <c r="BI63" i="56"/>
  <c r="BH63" i="56"/>
  <c r="BG63" i="56"/>
  <c r="BF63" i="56"/>
  <c r="BE63" i="56"/>
  <c r="BD63" i="56"/>
  <c r="BC63" i="56"/>
  <c r="BC65" i="56" s="1"/>
  <c r="BB63" i="56"/>
  <c r="BB65" i="56" s="1"/>
  <c r="BA63" i="56"/>
  <c r="BA65" i="56" s="1"/>
  <c r="AZ63" i="56"/>
  <c r="AZ65" i="56" s="1"/>
  <c r="BO62" i="56"/>
  <c r="BK60" i="56"/>
  <c r="BJ60" i="56"/>
  <c r="BI60" i="56"/>
  <c r="BH60" i="56"/>
  <c r="BG60" i="56"/>
  <c r="BF60" i="56"/>
  <c r="BE60" i="56"/>
  <c r="BD60" i="56"/>
  <c r="BC60" i="56"/>
  <c r="BB60" i="56"/>
  <c r="BN60" i="56" s="1"/>
  <c r="BA60" i="56"/>
  <c r="BM60" i="56" s="1"/>
  <c r="AZ60" i="56"/>
  <c r="BL60" i="56" s="1"/>
  <c r="BK59" i="56"/>
  <c r="BJ59" i="56"/>
  <c r="BI59" i="56"/>
  <c r="BH59" i="56"/>
  <c r="BG59" i="56"/>
  <c r="BF59" i="56"/>
  <c r="BE59" i="56"/>
  <c r="BD59" i="56"/>
  <c r="BC59" i="56"/>
  <c r="BB59" i="56"/>
  <c r="BA59" i="56"/>
  <c r="AZ59" i="56"/>
  <c r="BL59" i="56" s="1"/>
  <c r="BK58" i="56"/>
  <c r="BJ58" i="56"/>
  <c r="BI58" i="56"/>
  <c r="BH58" i="56"/>
  <c r="BG58" i="56"/>
  <c r="BF58" i="56"/>
  <c r="BE58" i="56"/>
  <c r="BD58" i="56"/>
  <c r="BC58" i="56"/>
  <c r="BB58" i="56"/>
  <c r="BN58" i="56" s="1"/>
  <c r="BA58" i="56"/>
  <c r="BM58" i="56" s="1"/>
  <c r="AZ58" i="56"/>
  <c r="BL58" i="56" s="1"/>
  <c r="BK57" i="56"/>
  <c r="BJ57" i="56"/>
  <c r="BI57" i="56"/>
  <c r="BH57" i="56"/>
  <c r="BG57" i="56"/>
  <c r="BF57" i="56"/>
  <c r="BE57" i="56"/>
  <c r="BD57" i="56"/>
  <c r="BC57" i="56"/>
  <c r="BB57" i="56"/>
  <c r="BA57" i="56"/>
  <c r="AZ57" i="56"/>
  <c r="AZ61" i="56" s="1"/>
  <c r="BK56" i="56"/>
  <c r="BJ56" i="56"/>
  <c r="BI56" i="56"/>
  <c r="BH56" i="56"/>
  <c r="BG56" i="56"/>
  <c r="BF56" i="56"/>
  <c r="BE56" i="56"/>
  <c r="BD56" i="56"/>
  <c r="BC56" i="56"/>
  <c r="BB56" i="56"/>
  <c r="BA56" i="56"/>
  <c r="AZ56" i="56"/>
  <c r="BL56" i="56" s="1"/>
  <c r="BO55" i="56"/>
  <c r="BN53" i="56"/>
  <c r="BK53" i="56"/>
  <c r="BJ53" i="56"/>
  <c r="BI53" i="56"/>
  <c r="BH53" i="56"/>
  <c r="BG53" i="56"/>
  <c r="BF53" i="56"/>
  <c r="BE53" i="56"/>
  <c r="BD53" i="56"/>
  <c r="BC53" i="56"/>
  <c r="BB53" i="56"/>
  <c r="BA53" i="56"/>
  <c r="BM53" i="56" s="1"/>
  <c r="BO53" i="56" s="1"/>
  <c r="AZ53" i="56"/>
  <c r="BL53" i="56" s="1"/>
  <c r="BK52" i="56"/>
  <c r="BJ52" i="56"/>
  <c r="BI52" i="56"/>
  <c r="BH52" i="56"/>
  <c r="BG52" i="56"/>
  <c r="BF52" i="56"/>
  <c r="BE52" i="56"/>
  <c r="BD52" i="56"/>
  <c r="BC52" i="56"/>
  <c r="BB52" i="56"/>
  <c r="BN52" i="56" s="1"/>
  <c r="BA52" i="56"/>
  <c r="AZ52" i="56"/>
  <c r="BN51" i="56"/>
  <c r="BK51" i="56"/>
  <c r="BJ51" i="56"/>
  <c r="BI51" i="56"/>
  <c r="BH51" i="56"/>
  <c r="BG51" i="56"/>
  <c r="BF51" i="56"/>
  <c r="BE51" i="56"/>
  <c r="BD51" i="56"/>
  <c r="BC51" i="56"/>
  <c r="BB51" i="56"/>
  <c r="BA51" i="56"/>
  <c r="BM51" i="56" s="1"/>
  <c r="BO51" i="56" s="1"/>
  <c r="AZ51" i="56"/>
  <c r="BL51" i="56" s="1"/>
  <c r="BK50" i="56"/>
  <c r="BJ50" i="56"/>
  <c r="BI50" i="56"/>
  <c r="BH50" i="56"/>
  <c r="BG50" i="56"/>
  <c r="BF50" i="56"/>
  <c r="BE50" i="56"/>
  <c r="BD50" i="56"/>
  <c r="BC50" i="56"/>
  <c r="BB50" i="56"/>
  <c r="BN50" i="56" s="1"/>
  <c r="BA50" i="56"/>
  <c r="AZ50" i="56"/>
  <c r="BN49" i="56"/>
  <c r="BK49" i="56"/>
  <c r="BJ49" i="56"/>
  <c r="BI49" i="56"/>
  <c r="BH49" i="56"/>
  <c r="BG49" i="56"/>
  <c r="BF49" i="56"/>
  <c r="BE49" i="56"/>
  <c r="BD49" i="56"/>
  <c r="BC49" i="56"/>
  <c r="BB49" i="56"/>
  <c r="BA49" i="56"/>
  <c r="BM49" i="56" s="1"/>
  <c r="BO49" i="56" s="1"/>
  <c r="AZ49" i="56"/>
  <c r="BL49" i="56" s="1"/>
  <c r="BK48" i="56"/>
  <c r="BJ48" i="56"/>
  <c r="BI48" i="56"/>
  <c r="BH48" i="56"/>
  <c r="BG48" i="56"/>
  <c r="BF48" i="56"/>
  <c r="BE48" i="56"/>
  <c r="BD48" i="56"/>
  <c r="BC48" i="56"/>
  <c r="BB48" i="56"/>
  <c r="BN48" i="56" s="1"/>
  <c r="BA48" i="56"/>
  <c r="AZ48" i="56"/>
  <c r="BN47" i="56"/>
  <c r="BK47" i="56"/>
  <c r="BJ47" i="56"/>
  <c r="BI47" i="56"/>
  <c r="BH47" i="56"/>
  <c r="BG47" i="56"/>
  <c r="BF47" i="56"/>
  <c r="BE47" i="56"/>
  <c r="BD47" i="56"/>
  <c r="BC47" i="56"/>
  <c r="BB47" i="56"/>
  <c r="BA47" i="56"/>
  <c r="BM47" i="56" s="1"/>
  <c r="BO47" i="56" s="1"/>
  <c r="AZ47" i="56"/>
  <c r="BL47" i="56" s="1"/>
  <c r="BK46" i="56"/>
  <c r="BJ46" i="56"/>
  <c r="BI46" i="56"/>
  <c r="BH46" i="56"/>
  <c r="BG46" i="56"/>
  <c r="BF46" i="56"/>
  <c r="BE46" i="56"/>
  <c r="BD46" i="56"/>
  <c r="BC46" i="56"/>
  <c r="BB46" i="56"/>
  <c r="BN46" i="56" s="1"/>
  <c r="BA46" i="56"/>
  <c r="AZ46" i="56"/>
  <c r="BN45" i="56"/>
  <c r="BK45" i="56"/>
  <c r="BJ45" i="56"/>
  <c r="BI45" i="56"/>
  <c r="BH45" i="56"/>
  <c r="BG45" i="56"/>
  <c r="BF45" i="56"/>
  <c r="BE45" i="56"/>
  <c r="BD45" i="56"/>
  <c r="BC45" i="56"/>
  <c r="BB45" i="56"/>
  <c r="BA45" i="56"/>
  <c r="BM45" i="56" s="1"/>
  <c r="BO45" i="56" s="1"/>
  <c r="AZ45" i="56"/>
  <c r="BL45" i="56" s="1"/>
  <c r="BK44" i="56"/>
  <c r="BJ44" i="56"/>
  <c r="BI44" i="56"/>
  <c r="BH44" i="56"/>
  <c r="BG44" i="56"/>
  <c r="BF44" i="56"/>
  <c r="BE44" i="56"/>
  <c r="BD44" i="56"/>
  <c r="BC44" i="56"/>
  <c r="BB44" i="56"/>
  <c r="BN44" i="56" s="1"/>
  <c r="BA44" i="56"/>
  <c r="AZ44" i="56"/>
  <c r="BN43" i="56"/>
  <c r="BK43" i="56"/>
  <c r="BJ43" i="56"/>
  <c r="BI43" i="56"/>
  <c r="BH43" i="56"/>
  <c r="BG43" i="56"/>
  <c r="BF43" i="56"/>
  <c r="BE43" i="56"/>
  <c r="BD43" i="56"/>
  <c r="BC43" i="56"/>
  <c r="BB43" i="56"/>
  <c r="BA43" i="56"/>
  <c r="BM43" i="56" s="1"/>
  <c r="BO43" i="56" s="1"/>
  <c r="AZ43" i="56"/>
  <c r="BL43" i="56" s="1"/>
  <c r="BK42" i="56"/>
  <c r="BJ42" i="56"/>
  <c r="BI42" i="56"/>
  <c r="BH42" i="56"/>
  <c r="BG42" i="56"/>
  <c r="BF42" i="56"/>
  <c r="BE42" i="56"/>
  <c r="BD42" i="56"/>
  <c r="BC42" i="56"/>
  <c r="BB42" i="56"/>
  <c r="BN42" i="56" s="1"/>
  <c r="BA42" i="56"/>
  <c r="AZ42" i="56"/>
  <c r="BK41" i="56"/>
  <c r="BJ41" i="56"/>
  <c r="BI41" i="56"/>
  <c r="BH41" i="56"/>
  <c r="BG41" i="56"/>
  <c r="BF41" i="56"/>
  <c r="BE41" i="56"/>
  <c r="BD41" i="56"/>
  <c r="BC41" i="56"/>
  <c r="BB41" i="56"/>
  <c r="BA41" i="56"/>
  <c r="BM41" i="56" s="1"/>
  <c r="BO41" i="56" s="1"/>
  <c r="AZ41" i="56"/>
  <c r="BL41" i="56" s="1"/>
  <c r="BK40" i="56"/>
  <c r="BJ40" i="56"/>
  <c r="BI40" i="56"/>
  <c r="BH40" i="56"/>
  <c r="BG40" i="56"/>
  <c r="BF40" i="56"/>
  <c r="BE40" i="56"/>
  <c r="BD40" i="56"/>
  <c r="BC40" i="56"/>
  <c r="BB40" i="56"/>
  <c r="BN40" i="56" s="1"/>
  <c r="BA40" i="56"/>
  <c r="AZ40" i="56"/>
  <c r="BN39" i="56"/>
  <c r="BK39" i="56"/>
  <c r="BJ39" i="56"/>
  <c r="BI39" i="56"/>
  <c r="BH39" i="56"/>
  <c r="BG39" i="56"/>
  <c r="BF39" i="56"/>
  <c r="BE39" i="56"/>
  <c r="BD39" i="56"/>
  <c r="BC39" i="56"/>
  <c r="BB39" i="56"/>
  <c r="BA39" i="56"/>
  <c r="BM39" i="56" s="1"/>
  <c r="BO39" i="56" s="1"/>
  <c r="AZ39" i="56"/>
  <c r="BL39" i="56" s="1"/>
  <c r="BK38" i="56"/>
  <c r="BJ38" i="56"/>
  <c r="BI38" i="56"/>
  <c r="BH38" i="56"/>
  <c r="BG38" i="56"/>
  <c r="BF38" i="56"/>
  <c r="BE38" i="56"/>
  <c r="BD38" i="56"/>
  <c r="BC38" i="56"/>
  <c r="BB38" i="56"/>
  <c r="BN38" i="56" s="1"/>
  <c r="BA38" i="56"/>
  <c r="AZ38" i="56"/>
  <c r="BN37" i="56"/>
  <c r="BK37" i="56"/>
  <c r="BJ37" i="56"/>
  <c r="BI37" i="56"/>
  <c r="BH37" i="56"/>
  <c r="BG37" i="56"/>
  <c r="BF37" i="56"/>
  <c r="BE37" i="56"/>
  <c r="BD37" i="56"/>
  <c r="BC37" i="56"/>
  <c r="BB37" i="56"/>
  <c r="BA37" i="56"/>
  <c r="BM37" i="56" s="1"/>
  <c r="BO37" i="56" s="1"/>
  <c r="AZ37" i="56"/>
  <c r="BL37" i="56" s="1"/>
  <c r="BK36" i="56"/>
  <c r="BJ36" i="56"/>
  <c r="BI36" i="56"/>
  <c r="BH36" i="56"/>
  <c r="BG36" i="56"/>
  <c r="BF36" i="56"/>
  <c r="BE36" i="56"/>
  <c r="BD36" i="56"/>
  <c r="BC36" i="56"/>
  <c r="BB36" i="56"/>
  <c r="BN36" i="56" s="1"/>
  <c r="BA36" i="56"/>
  <c r="AZ36" i="56"/>
  <c r="BN35" i="56"/>
  <c r="BK35" i="56"/>
  <c r="BJ35" i="56"/>
  <c r="BI35" i="56"/>
  <c r="BH35" i="56"/>
  <c r="BG35" i="56"/>
  <c r="BF35" i="56"/>
  <c r="BE35" i="56"/>
  <c r="BD35" i="56"/>
  <c r="BC35" i="56"/>
  <c r="BB35" i="56"/>
  <c r="BA35" i="56"/>
  <c r="BM35" i="56" s="1"/>
  <c r="BO35" i="56" s="1"/>
  <c r="AZ35" i="56"/>
  <c r="BL35" i="56" s="1"/>
  <c r="BK34" i="56"/>
  <c r="BJ34" i="56"/>
  <c r="BI34" i="56"/>
  <c r="BH34" i="56"/>
  <c r="BG34" i="56"/>
  <c r="BF34" i="56"/>
  <c r="BE34" i="56"/>
  <c r="BD34" i="56"/>
  <c r="BC34" i="56"/>
  <c r="BB34" i="56"/>
  <c r="BN34" i="56" s="1"/>
  <c r="BA34" i="56"/>
  <c r="AZ34" i="56"/>
  <c r="BN33" i="56"/>
  <c r="BK33" i="56"/>
  <c r="BJ33" i="56"/>
  <c r="BI33" i="56"/>
  <c r="BH33" i="56"/>
  <c r="BG33" i="56"/>
  <c r="BF33" i="56"/>
  <c r="BE33" i="56"/>
  <c r="BD33" i="56"/>
  <c r="BC33" i="56"/>
  <c r="BB33" i="56"/>
  <c r="BA33" i="56"/>
  <c r="BM33" i="56" s="1"/>
  <c r="BO33" i="56" s="1"/>
  <c r="AZ33" i="56"/>
  <c r="BL33" i="56" s="1"/>
  <c r="BK32" i="56"/>
  <c r="BJ32" i="56"/>
  <c r="BI32" i="56"/>
  <c r="BH32" i="56"/>
  <c r="BG32" i="56"/>
  <c r="BF32" i="56"/>
  <c r="BE32" i="56"/>
  <c r="BD32" i="56"/>
  <c r="BC32" i="56"/>
  <c r="BB32" i="56"/>
  <c r="BN32" i="56" s="1"/>
  <c r="BA32" i="56"/>
  <c r="AZ32" i="56"/>
  <c r="BN31" i="56"/>
  <c r="BK31" i="56"/>
  <c r="BJ31" i="56"/>
  <c r="BI31" i="56"/>
  <c r="BH31" i="56"/>
  <c r="BG31" i="56"/>
  <c r="BF31" i="56"/>
  <c r="BE31" i="56"/>
  <c r="BD31" i="56"/>
  <c r="BC31" i="56"/>
  <c r="BB31" i="56"/>
  <c r="BA31" i="56"/>
  <c r="BM31" i="56" s="1"/>
  <c r="BO31" i="56" s="1"/>
  <c r="AZ31" i="56"/>
  <c r="BL31" i="56" s="1"/>
  <c r="BK30" i="56"/>
  <c r="BJ30" i="56"/>
  <c r="BI30" i="56"/>
  <c r="BH30" i="56"/>
  <c r="BG30" i="56"/>
  <c r="BF30" i="56"/>
  <c r="BE30" i="56"/>
  <c r="BD30" i="56"/>
  <c r="BC30" i="56"/>
  <c r="BB30" i="56"/>
  <c r="BN30" i="56" s="1"/>
  <c r="BA30" i="56"/>
  <c r="AZ30" i="56"/>
  <c r="BN29" i="56"/>
  <c r="BK29" i="56"/>
  <c r="BJ29" i="56"/>
  <c r="BI29" i="56"/>
  <c r="BH29" i="56"/>
  <c r="BG29" i="56"/>
  <c r="BF29" i="56"/>
  <c r="BE29" i="56"/>
  <c r="BD29" i="56"/>
  <c r="BC29" i="56"/>
  <c r="BB29" i="56"/>
  <c r="BA29" i="56"/>
  <c r="BM29" i="56" s="1"/>
  <c r="BO29" i="56" s="1"/>
  <c r="AZ29" i="56"/>
  <c r="BL29" i="56" s="1"/>
  <c r="BK28" i="56"/>
  <c r="BJ28" i="56"/>
  <c r="BI28" i="56"/>
  <c r="BH28" i="56"/>
  <c r="BG28" i="56"/>
  <c r="BF28" i="56"/>
  <c r="BE28" i="56"/>
  <c r="BD28" i="56"/>
  <c r="BC28" i="56"/>
  <c r="BB28" i="56"/>
  <c r="BN28" i="56" s="1"/>
  <c r="BA28" i="56"/>
  <c r="AZ28" i="56"/>
  <c r="BN27" i="56"/>
  <c r="BK27" i="56"/>
  <c r="BJ27" i="56"/>
  <c r="BI27" i="56"/>
  <c r="BH27" i="56"/>
  <c r="BG27" i="56"/>
  <c r="BF27" i="56"/>
  <c r="BE27" i="56"/>
  <c r="BD27" i="56"/>
  <c r="BC27" i="56"/>
  <c r="BB27" i="56"/>
  <c r="BA27" i="56"/>
  <c r="BM27" i="56" s="1"/>
  <c r="BO27" i="56" s="1"/>
  <c r="AZ27" i="56"/>
  <c r="BL27" i="56" s="1"/>
  <c r="BK26" i="56"/>
  <c r="BJ26" i="56"/>
  <c r="BI26" i="56"/>
  <c r="BH26" i="56"/>
  <c r="BG26" i="56"/>
  <c r="BF26" i="56"/>
  <c r="BE26" i="56"/>
  <c r="BD26" i="56"/>
  <c r="BC26" i="56"/>
  <c r="BB26" i="56"/>
  <c r="BA26" i="56"/>
  <c r="AZ26" i="56"/>
  <c r="AZ54" i="56" s="1"/>
  <c r="BO25" i="56"/>
  <c r="BG24" i="56"/>
  <c r="BA24" i="56"/>
  <c r="BA67" i="56" s="1"/>
  <c r="BK23" i="56"/>
  <c r="BJ23" i="56"/>
  <c r="BM23" i="56" s="1"/>
  <c r="BI23" i="56"/>
  <c r="BH23" i="56"/>
  <c r="BG23" i="56"/>
  <c r="BF23" i="56"/>
  <c r="BE23" i="56"/>
  <c r="BD23" i="56"/>
  <c r="BC23" i="56"/>
  <c r="BB23" i="56"/>
  <c r="BN23" i="56" s="1"/>
  <c r="BA23" i="56"/>
  <c r="AZ23" i="56"/>
  <c r="BM22" i="56"/>
  <c r="BK22" i="56"/>
  <c r="BJ22" i="56"/>
  <c r="BI22" i="56"/>
  <c r="BH22" i="56"/>
  <c r="BG22" i="56"/>
  <c r="BF22" i="56"/>
  <c r="BE22" i="56"/>
  <c r="BN22" i="56" s="1"/>
  <c r="BD22" i="56"/>
  <c r="BC22" i="56"/>
  <c r="BB22" i="56"/>
  <c r="BA22" i="56"/>
  <c r="AZ22" i="56"/>
  <c r="BL22" i="56" s="1"/>
  <c r="BK21" i="56"/>
  <c r="BJ21" i="56"/>
  <c r="BM21" i="56" s="1"/>
  <c r="BI21" i="56"/>
  <c r="BH21" i="56"/>
  <c r="BG21" i="56"/>
  <c r="BF21" i="56"/>
  <c r="BE21" i="56"/>
  <c r="BD21" i="56"/>
  <c r="BC21" i="56"/>
  <c r="BB21" i="56"/>
  <c r="BA21" i="56"/>
  <c r="AZ21" i="56"/>
  <c r="BM20" i="56"/>
  <c r="BK20" i="56"/>
  <c r="BJ20" i="56"/>
  <c r="BI20" i="56"/>
  <c r="BH20" i="56"/>
  <c r="BG20" i="56"/>
  <c r="BF20" i="56"/>
  <c r="BE20" i="56"/>
  <c r="BN20" i="56" s="1"/>
  <c r="BD20" i="56"/>
  <c r="BC20" i="56"/>
  <c r="BB20" i="56"/>
  <c r="BA20" i="56"/>
  <c r="AZ20" i="56"/>
  <c r="BL20" i="56" s="1"/>
  <c r="BK19" i="56"/>
  <c r="BJ19" i="56"/>
  <c r="BM19" i="56" s="1"/>
  <c r="BI19" i="56"/>
  <c r="BH19" i="56"/>
  <c r="BG19" i="56"/>
  <c r="BF19" i="56"/>
  <c r="BE19" i="56"/>
  <c r="BD19" i="56"/>
  <c r="BC19" i="56"/>
  <c r="BB19" i="56"/>
  <c r="BA19" i="56"/>
  <c r="AZ19" i="56"/>
  <c r="BM18" i="56"/>
  <c r="BK18" i="56"/>
  <c r="BJ18" i="56"/>
  <c r="BI18" i="56"/>
  <c r="BH18" i="56"/>
  <c r="BG18" i="56"/>
  <c r="BF18" i="56"/>
  <c r="BE18" i="56"/>
  <c r="BN18" i="56" s="1"/>
  <c r="BD18" i="56"/>
  <c r="BC18" i="56"/>
  <c r="BB18" i="56"/>
  <c r="BA18" i="56"/>
  <c r="AZ18" i="56"/>
  <c r="BL18" i="56" s="1"/>
  <c r="BK17" i="56"/>
  <c r="BJ17" i="56"/>
  <c r="BM17" i="56" s="1"/>
  <c r="BI17" i="56"/>
  <c r="BH17" i="56"/>
  <c r="BG17" i="56"/>
  <c r="BF17" i="56"/>
  <c r="BE17" i="56"/>
  <c r="BD17" i="56"/>
  <c r="BC17" i="56"/>
  <c r="BB17" i="56"/>
  <c r="BA17" i="56"/>
  <c r="AZ17" i="56"/>
  <c r="BM16" i="56"/>
  <c r="BK16" i="56"/>
  <c r="BJ16" i="56"/>
  <c r="BI16" i="56"/>
  <c r="BH16" i="56"/>
  <c r="BG16" i="56"/>
  <c r="BF16" i="56"/>
  <c r="BE16" i="56"/>
  <c r="BN16" i="56" s="1"/>
  <c r="BD16" i="56"/>
  <c r="BC16" i="56"/>
  <c r="BB16" i="56"/>
  <c r="BA16" i="56"/>
  <c r="AZ16" i="56"/>
  <c r="BL16" i="56" s="1"/>
  <c r="BK15" i="56"/>
  <c r="BJ15" i="56"/>
  <c r="BM15" i="56" s="1"/>
  <c r="BI15" i="56"/>
  <c r="BH15" i="56"/>
  <c r="BG15" i="56"/>
  <c r="BF15" i="56"/>
  <c r="BE15" i="56"/>
  <c r="BD15" i="56"/>
  <c r="BC15" i="56"/>
  <c r="BB15" i="56"/>
  <c r="BN15" i="56" s="1"/>
  <c r="BA15" i="56"/>
  <c r="AZ15" i="56"/>
  <c r="BM14" i="56"/>
  <c r="BK14" i="56"/>
  <c r="BJ14" i="56"/>
  <c r="BI14" i="56"/>
  <c r="BH14" i="56"/>
  <c r="BG14" i="56"/>
  <c r="BF14" i="56"/>
  <c r="BE14" i="56"/>
  <c r="BN14" i="56" s="1"/>
  <c r="BD14" i="56"/>
  <c r="BC14" i="56"/>
  <c r="BB14" i="56"/>
  <c r="BA14" i="56"/>
  <c r="AZ14" i="56"/>
  <c r="BL14" i="56" s="1"/>
  <c r="BK13" i="56"/>
  <c r="BJ13" i="56"/>
  <c r="BM13" i="56" s="1"/>
  <c r="BI13" i="56"/>
  <c r="BH13" i="56"/>
  <c r="BG13" i="56"/>
  <c r="BF13" i="56"/>
  <c r="BE13" i="56"/>
  <c r="BD13" i="56"/>
  <c r="BC13" i="56"/>
  <c r="BB13" i="56"/>
  <c r="BA13" i="56"/>
  <c r="AZ13" i="56"/>
  <c r="BM12" i="56"/>
  <c r="BK12" i="56"/>
  <c r="BJ12" i="56"/>
  <c r="BI12" i="56"/>
  <c r="BH12" i="56"/>
  <c r="BG12" i="56"/>
  <c r="BF12" i="56"/>
  <c r="BE12" i="56"/>
  <c r="BN12" i="56" s="1"/>
  <c r="BD12" i="56"/>
  <c r="BC12" i="56"/>
  <c r="BB12" i="56"/>
  <c r="BA12" i="56"/>
  <c r="AZ12" i="56"/>
  <c r="BL12" i="56" s="1"/>
  <c r="BK11" i="56"/>
  <c r="BJ11" i="56"/>
  <c r="BM11" i="56" s="1"/>
  <c r="BI11" i="56"/>
  <c r="BH11" i="56"/>
  <c r="BG11" i="56"/>
  <c r="BF11" i="56"/>
  <c r="BE11" i="56"/>
  <c r="BD11" i="56"/>
  <c r="BC11" i="56"/>
  <c r="BB11" i="56"/>
  <c r="BN11" i="56" s="1"/>
  <c r="BA11" i="56"/>
  <c r="AZ11" i="56"/>
  <c r="BM10" i="56"/>
  <c r="BK10" i="56"/>
  <c r="BJ10" i="56"/>
  <c r="BI10" i="56"/>
  <c r="BH10" i="56"/>
  <c r="BG10" i="56"/>
  <c r="BF10" i="56"/>
  <c r="BE10" i="56"/>
  <c r="BD10" i="56"/>
  <c r="BC10" i="56"/>
  <c r="BB10" i="56"/>
  <c r="BA10" i="56"/>
  <c r="AZ10" i="56"/>
  <c r="BL10" i="56" s="1"/>
  <c r="BK9" i="56"/>
  <c r="BJ9" i="56"/>
  <c r="BM9" i="56" s="1"/>
  <c r="BI9" i="56"/>
  <c r="BH9" i="56"/>
  <c r="BG9" i="56"/>
  <c r="BF9" i="56"/>
  <c r="BE9" i="56"/>
  <c r="BD9" i="56"/>
  <c r="BC9" i="56"/>
  <c r="BB9" i="56"/>
  <c r="BN9" i="56" s="1"/>
  <c r="BA9" i="56"/>
  <c r="AZ9" i="56"/>
  <c r="BM8" i="56"/>
  <c r="BK8" i="56"/>
  <c r="BJ8" i="56"/>
  <c r="BI8" i="56"/>
  <c r="BH8" i="56"/>
  <c r="BG8" i="56"/>
  <c r="BF8" i="56"/>
  <c r="BE8" i="56"/>
  <c r="BN8" i="56" s="1"/>
  <c r="BD8" i="56"/>
  <c r="BC8" i="56"/>
  <c r="BB8" i="56"/>
  <c r="BA8" i="56"/>
  <c r="AZ8" i="56"/>
  <c r="BL8" i="56" s="1"/>
  <c r="BK7" i="56"/>
  <c r="BJ7" i="56"/>
  <c r="BM7" i="56" s="1"/>
  <c r="BI7" i="56"/>
  <c r="BH7" i="56"/>
  <c r="BG7" i="56"/>
  <c r="BF7" i="56"/>
  <c r="BE7" i="56"/>
  <c r="BD7" i="56"/>
  <c r="BC7" i="56"/>
  <c r="BB7" i="56"/>
  <c r="BA7" i="56"/>
  <c r="AZ7" i="56"/>
  <c r="BM6" i="56"/>
  <c r="BK6" i="56"/>
  <c r="BJ6" i="56"/>
  <c r="BI6" i="56"/>
  <c r="BI24" i="56" s="1"/>
  <c r="BH6" i="56"/>
  <c r="BG6" i="56"/>
  <c r="BF6" i="56"/>
  <c r="BE6" i="56"/>
  <c r="BN6" i="56" s="1"/>
  <c r="BD6" i="56"/>
  <c r="BD24" i="56" s="1"/>
  <c r="BC6" i="56"/>
  <c r="BC24" i="56" s="1"/>
  <c r="BB6" i="56"/>
  <c r="BA6" i="56"/>
  <c r="AZ6" i="56"/>
  <c r="AZ24" i="56" s="1"/>
  <c r="BJ85" i="59"/>
  <c r="BG85" i="59"/>
  <c r="BF85" i="59"/>
  <c r="BE85" i="59"/>
  <c r="BD85" i="59"/>
  <c r="BC85" i="59"/>
  <c r="BB85" i="59"/>
  <c r="BA85" i="59"/>
  <c r="BM85" i="59" s="1"/>
  <c r="AZ85" i="59"/>
  <c r="BJ83" i="59"/>
  <c r="BG83" i="59"/>
  <c r="BF83" i="59"/>
  <c r="BE83" i="59"/>
  <c r="BD83" i="59"/>
  <c r="BC83" i="59"/>
  <c r="BB83" i="59"/>
  <c r="BA83" i="59"/>
  <c r="BM83" i="59" s="1"/>
  <c r="AZ83" i="59"/>
  <c r="BJ81" i="59"/>
  <c r="BI81" i="59"/>
  <c r="BG81" i="59"/>
  <c r="BF81" i="59"/>
  <c r="BE81" i="59"/>
  <c r="BD81" i="59"/>
  <c r="BC81" i="59"/>
  <c r="BB81" i="59"/>
  <c r="BA81" i="59"/>
  <c r="BM81" i="59" s="1"/>
  <c r="AZ81" i="59"/>
  <c r="BL81" i="59" s="1"/>
  <c r="BO80" i="59"/>
  <c r="BG79" i="59"/>
  <c r="BA79" i="59"/>
  <c r="BM78" i="59"/>
  <c r="BO78" i="59" s="1"/>
  <c r="BK78" i="59"/>
  <c r="BJ78" i="59"/>
  <c r="BI78" i="59"/>
  <c r="BH78" i="59"/>
  <c r="BG78" i="59"/>
  <c r="BF78" i="59"/>
  <c r="BE78" i="59"/>
  <c r="BD78" i="59"/>
  <c r="BC78" i="59"/>
  <c r="BB78" i="59"/>
  <c r="BN78" i="59" s="1"/>
  <c r="BA78" i="59"/>
  <c r="AZ78" i="59"/>
  <c r="BL78" i="59" s="1"/>
  <c r="BM77" i="59"/>
  <c r="BO77" i="59" s="1"/>
  <c r="BK77" i="59"/>
  <c r="BJ77" i="59"/>
  <c r="BI77" i="59"/>
  <c r="BH77" i="59"/>
  <c r="BG77" i="59"/>
  <c r="BF77" i="59"/>
  <c r="BE77" i="59"/>
  <c r="BD77" i="59"/>
  <c r="BC77" i="59"/>
  <c r="BB77" i="59"/>
  <c r="BN77" i="59" s="1"/>
  <c r="BA77" i="59"/>
  <c r="AZ77" i="59"/>
  <c r="BL77" i="59" s="1"/>
  <c r="BM76" i="59"/>
  <c r="BO76" i="59" s="1"/>
  <c r="BK76" i="59"/>
  <c r="BJ76" i="59"/>
  <c r="BI76" i="59"/>
  <c r="BH76" i="59"/>
  <c r="BG76" i="59"/>
  <c r="BF76" i="59"/>
  <c r="BE76" i="59"/>
  <c r="BD76" i="59"/>
  <c r="BC76" i="59"/>
  <c r="BB76" i="59"/>
  <c r="BN76" i="59" s="1"/>
  <c r="BA76" i="59"/>
  <c r="AZ76" i="59"/>
  <c r="BL76" i="59" s="1"/>
  <c r="BM75" i="59"/>
  <c r="BO75" i="59" s="1"/>
  <c r="BK75" i="59"/>
  <c r="BJ75" i="59"/>
  <c r="BI75" i="59"/>
  <c r="BH75" i="59"/>
  <c r="BG75" i="59"/>
  <c r="BF75" i="59"/>
  <c r="BE75" i="59"/>
  <c r="BD75" i="59"/>
  <c r="BC75" i="59"/>
  <c r="BB75" i="59"/>
  <c r="BN75" i="59" s="1"/>
  <c r="BA75" i="59"/>
  <c r="AZ75" i="59"/>
  <c r="BL75" i="59" s="1"/>
  <c r="BM74" i="59"/>
  <c r="BO74" i="59" s="1"/>
  <c r="BK74" i="59"/>
  <c r="BJ74" i="59"/>
  <c r="BI74" i="59"/>
  <c r="BH74" i="59"/>
  <c r="BG74" i="59"/>
  <c r="BF74" i="59"/>
  <c r="BE74" i="59"/>
  <c r="BD74" i="59"/>
  <c r="BC74" i="59"/>
  <c r="BB74" i="59"/>
  <c r="BN74" i="59" s="1"/>
  <c r="BA74" i="59"/>
  <c r="AZ74" i="59"/>
  <c r="BL74" i="59" s="1"/>
  <c r="BM73" i="59"/>
  <c r="BK73" i="59"/>
  <c r="BJ73" i="59"/>
  <c r="BI73" i="59"/>
  <c r="BI79" i="59" s="1"/>
  <c r="BH73" i="59"/>
  <c r="BH79" i="59" s="1"/>
  <c r="BG73" i="59"/>
  <c r="BF73" i="59"/>
  <c r="BE73" i="59"/>
  <c r="BD73" i="59"/>
  <c r="BD79" i="59" s="1"/>
  <c r="BC73" i="59"/>
  <c r="BC79" i="59" s="1"/>
  <c r="BB73" i="59"/>
  <c r="BB79" i="59" s="1"/>
  <c r="BA73" i="59"/>
  <c r="AZ73" i="59"/>
  <c r="AZ79" i="59" s="1"/>
  <c r="BO72" i="59"/>
  <c r="BK70" i="59"/>
  <c r="BO70" i="59" s="1"/>
  <c r="BI70" i="59"/>
  <c r="BH70" i="59"/>
  <c r="BG70" i="59"/>
  <c r="BO69" i="59"/>
  <c r="BK69" i="59"/>
  <c r="BI69" i="59"/>
  <c r="BH69" i="59"/>
  <c r="BG69" i="59"/>
  <c r="BC69" i="59"/>
  <c r="BB69" i="59"/>
  <c r="BA69" i="59"/>
  <c r="AZ69" i="59"/>
  <c r="BK68" i="59"/>
  <c r="BO68" i="59" s="1"/>
  <c r="BI68" i="59"/>
  <c r="BH68" i="59"/>
  <c r="BG68" i="59"/>
  <c r="BO66" i="59"/>
  <c r="BK64" i="59"/>
  <c r="BJ64" i="59"/>
  <c r="BI64" i="59"/>
  <c r="BH64" i="59"/>
  <c r="BG64" i="59"/>
  <c r="BF64" i="59"/>
  <c r="BE64" i="59"/>
  <c r="BD64" i="59"/>
  <c r="BC64" i="59"/>
  <c r="BB64" i="59"/>
  <c r="BN64" i="59" s="1"/>
  <c r="BA64" i="59"/>
  <c r="AZ64" i="59"/>
  <c r="BL64" i="59" s="1"/>
  <c r="BK63" i="59"/>
  <c r="BJ63" i="59"/>
  <c r="BI63" i="59"/>
  <c r="BH63" i="59"/>
  <c r="BG63" i="59"/>
  <c r="BF63" i="59"/>
  <c r="BE63" i="59"/>
  <c r="BD63" i="59"/>
  <c r="BD65" i="59" s="1"/>
  <c r="BC63" i="59"/>
  <c r="BC65" i="59" s="1"/>
  <c r="BB63" i="59"/>
  <c r="BB65" i="59" s="1"/>
  <c r="BA63" i="59"/>
  <c r="BA65" i="59" s="1"/>
  <c r="AZ63" i="59"/>
  <c r="AZ65" i="59" s="1"/>
  <c r="BO62" i="59"/>
  <c r="BM60" i="59"/>
  <c r="BO60" i="59" s="1"/>
  <c r="BK60" i="59"/>
  <c r="BJ60" i="59"/>
  <c r="BI60" i="59"/>
  <c r="BH60" i="59"/>
  <c r="BG60" i="59"/>
  <c r="BF60" i="59"/>
  <c r="BE60" i="59"/>
  <c r="BD60" i="59"/>
  <c r="BC60" i="59"/>
  <c r="BB60" i="59"/>
  <c r="BN60" i="59" s="1"/>
  <c r="BA60" i="59"/>
  <c r="AZ60" i="59"/>
  <c r="BL60" i="59" s="1"/>
  <c r="BM59" i="59"/>
  <c r="BO59" i="59" s="1"/>
  <c r="BK59" i="59"/>
  <c r="BJ59" i="59"/>
  <c r="BI59" i="59"/>
  <c r="BH59" i="59"/>
  <c r="BG59" i="59"/>
  <c r="BF59" i="59"/>
  <c r="BE59" i="59"/>
  <c r="BD59" i="59"/>
  <c r="BC59" i="59"/>
  <c r="BB59" i="59"/>
  <c r="BN59" i="59" s="1"/>
  <c r="BA59" i="59"/>
  <c r="AZ59" i="59"/>
  <c r="BL59" i="59" s="1"/>
  <c r="BM58" i="59"/>
  <c r="BO58" i="59" s="1"/>
  <c r="BK58" i="59"/>
  <c r="BJ58" i="59"/>
  <c r="BI58" i="59"/>
  <c r="BH58" i="59"/>
  <c r="BG58" i="59"/>
  <c r="BF58" i="59"/>
  <c r="BE58" i="59"/>
  <c r="BD58" i="59"/>
  <c r="BC58" i="59"/>
  <c r="BB58" i="59"/>
  <c r="BN58" i="59" s="1"/>
  <c r="BA58" i="59"/>
  <c r="AZ58" i="59"/>
  <c r="BL58" i="59" s="1"/>
  <c r="BM57" i="59"/>
  <c r="BO57" i="59" s="1"/>
  <c r="BK57" i="59"/>
  <c r="BJ57" i="59"/>
  <c r="BI57" i="59"/>
  <c r="BH57" i="59"/>
  <c r="BG57" i="59"/>
  <c r="BF57" i="59"/>
  <c r="BE57" i="59"/>
  <c r="BD57" i="59"/>
  <c r="BC57" i="59"/>
  <c r="BB57" i="59"/>
  <c r="BN57" i="59" s="1"/>
  <c r="BA57" i="59"/>
  <c r="AZ57" i="59"/>
  <c r="BL57" i="59" s="1"/>
  <c r="BM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Z61" i="59" s="1"/>
  <c r="BO55" i="59"/>
  <c r="BK53" i="59"/>
  <c r="BJ53" i="59"/>
  <c r="BI53" i="59"/>
  <c r="BH53" i="59"/>
  <c r="BG53" i="59"/>
  <c r="BF53" i="59"/>
  <c r="BE53" i="59"/>
  <c r="BD53" i="59"/>
  <c r="BC53" i="59"/>
  <c r="BB53" i="59"/>
  <c r="BN53" i="59" s="1"/>
  <c r="BA53" i="59"/>
  <c r="AZ53" i="59"/>
  <c r="BL53" i="59" s="1"/>
  <c r="BK52" i="59"/>
  <c r="BJ52" i="59"/>
  <c r="BI52" i="59"/>
  <c r="BH52" i="59"/>
  <c r="BG52" i="59"/>
  <c r="BF52" i="59"/>
  <c r="BE52" i="59"/>
  <c r="BD52" i="59"/>
  <c r="BC52" i="59"/>
  <c r="BB52" i="59"/>
  <c r="BN52" i="59" s="1"/>
  <c r="BA52" i="59"/>
  <c r="AZ52" i="59"/>
  <c r="BL52" i="59" s="1"/>
  <c r="BK51" i="59"/>
  <c r="BJ51" i="59"/>
  <c r="BI51" i="59"/>
  <c r="BH51" i="59"/>
  <c r="BG51" i="59"/>
  <c r="BF51" i="59"/>
  <c r="BE51" i="59"/>
  <c r="BD51" i="59"/>
  <c r="BC51" i="59"/>
  <c r="BB51" i="59"/>
  <c r="BN51" i="59" s="1"/>
  <c r="BA51" i="59"/>
  <c r="AZ51" i="59"/>
  <c r="BL51" i="59" s="1"/>
  <c r="BK50" i="59"/>
  <c r="BJ50" i="59"/>
  <c r="BI50" i="59"/>
  <c r="BH50" i="59"/>
  <c r="BG50" i="59"/>
  <c r="BF50" i="59"/>
  <c r="BE50" i="59"/>
  <c r="BD50" i="59"/>
  <c r="BC50" i="59"/>
  <c r="BB50" i="59"/>
  <c r="BN50" i="59" s="1"/>
  <c r="BA50" i="59"/>
  <c r="AZ50" i="59"/>
  <c r="BL50" i="59" s="1"/>
  <c r="BK49" i="59"/>
  <c r="BJ49" i="59"/>
  <c r="BI49" i="59"/>
  <c r="BH49" i="59"/>
  <c r="BG49" i="59"/>
  <c r="BF49" i="59"/>
  <c r="BE49" i="59"/>
  <c r="BD49" i="59"/>
  <c r="BC49" i="59"/>
  <c r="BB49" i="59"/>
  <c r="BN49" i="59" s="1"/>
  <c r="BA49" i="59"/>
  <c r="AZ49" i="59"/>
  <c r="BL49" i="59" s="1"/>
  <c r="BK48" i="59"/>
  <c r="BJ48" i="59"/>
  <c r="BI48" i="59"/>
  <c r="BH48" i="59"/>
  <c r="BG48" i="59"/>
  <c r="BF48" i="59"/>
  <c r="BE48" i="59"/>
  <c r="BD48" i="59"/>
  <c r="BC48" i="59"/>
  <c r="BB48" i="59"/>
  <c r="BN48" i="59" s="1"/>
  <c r="BA48" i="59"/>
  <c r="AZ48" i="59"/>
  <c r="BL48" i="59" s="1"/>
  <c r="BK47" i="59"/>
  <c r="BJ47" i="59"/>
  <c r="BI47" i="59"/>
  <c r="BH47" i="59"/>
  <c r="BG47" i="59"/>
  <c r="BF47" i="59"/>
  <c r="BE47" i="59"/>
  <c r="BD47" i="59"/>
  <c r="BC47" i="59"/>
  <c r="BB47" i="59"/>
  <c r="BN47" i="59" s="1"/>
  <c r="BA47" i="59"/>
  <c r="AZ47" i="59"/>
  <c r="BL47" i="59" s="1"/>
  <c r="BK46" i="59"/>
  <c r="BJ46" i="59"/>
  <c r="BI46" i="59"/>
  <c r="BH46" i="59"/>
  <c r="BG46" i="59"/>
  <c r="BF46" i="59"/>
  <c r="BE46" i="59"/>
  <c r="BD46" i="59"/>
  <c r="BC46" i="59"/>
  <c r="BB46" i="59"/>
  <c r="BN46" i="59" s="1"/>
  <c r="BA46" i="59"/>
  <c r="AZ46" i="59"/>
  <c r="BL46" i="59" s="1"/>
  <c r="BK45" i="59"/>
  <c r="BJ45" i="59"/>
  <c r="BI45" i="59"/>
  <c r="BH45" i="59"/>
  <c r="BG45" i="59"/>
  <c r="BF45" i="59"/>
  <c r="BE45" i="59"/>
  <c r="BD45" i="59"/>
  <c r="BC45" i="59"/>
  <c r="BB45" i="59"/>
  <c r="BN45" i="59" s="1"/>
  <c r="BA45" i="59"/>
  <c r="AZ45" i="59"/>
  <c r="BL45" i="59" s="1"/>
  <c r="BK44" i="59"/>
  <c r="BJ44" i="59"/>
  <c r="BI44" i="59"/>
  <c r="BH44" i="59"/>
  <c r="BG44" i="59"/>
  <c r="BF44" i="59"/>
  <c r="BE44" i="59"/>
  <c r="BD44" i="59"/>
  <c r="BC44" i="59"/>
  <c r="BB44" i="59"/>
  <c r="BN44" i="59" s="1"/>
  <c r="BA44" i="59"/>
  <c r="AZ44" i="59"/>
  <c r="BL44" i="59" s="1"/>
  <c r="BK43" i="59"/>
  <c r="BJ43" i="59"/>
  <c r="BI43" i="59"/>
  <c r="BH43" i="59"/>
  <c r="BG43" i="59"/>
  <c r="BF43" i="59"/>
  <c r="BE43" i="59"/>
  <c r="BD43" i="59"/>
  <c r="BC43" i="59"/>
  <c r="BB43" i="59"/>
  <c r="BN43" i="59" s="1"/>
  <c r="BA43" i="59"/>
  <c r="AZ43" i="59"/>
  <c r="BL43" i="59" s="1"/>
  <c r="BK42" i="59"/>
  <c r="BJ42" i="59"/>
  <c r="BI42" i="59"/>
  <c r="BH42" i="59"/>
  <c r="BG42" i="59"/>
  <c r="BF42" i="59"/>
  <c r="BE42" i="59"/>
  <c r="BD42" i="59"/>
  <c r="BC42" i="59"/>
  <c r="BB42" i="59"/>
  <c r="BN42" i="59" s="1"/>
  <c r="BA42" i="59"/>
  <c r="AZ42" i="59"/>
  <c r="BL42" i="59" s="1"/>
  <c r="BK41" i="59"/>
  <c r="BJ41" i="59"/>
  <c r="BI41" i="59"/>
  <c r="BH41" i="59"/>
  <c r="BG41" i="59"/>
  <c r="BF41" i="59"/>
  <c r="BE41" i="59"/>
  <c r="BD41" i="59"/>
  <c r="BC41" i="59"/>
  <c r="BB41" i="59"/>
  <c r="BN41" i="59" s="1"/>
  <c r="BA41" i="59"/>
  <c r="AZ41" i="59"/>
  <c r="BL41" i="59" s="1"/>
  <c r="BK40" i="59"/>
  <c r="BJ40" i="59"/>
  <c r="BI40" i="59"/>
  <c r="BH40" i="59"/>
  <c r="BG40" i="59"/>
  <c r="BF40" i="59"/>
  <c r="BE40" i="59"/>
  <c r="BD40" i="59"/>
  <c r="BC40" i="59"/>
  <c r="BB40" i="59"/>
  <c r="BN40" i="59" s="1"/>
  <c r="BA40" i="59"/>
  <c r="AZ40" i="59"/>
  <c r="BL40" i="59" s="1"/>
  <c r="BK39" i="59"/>
  <c r="BJ39" i="59"/>
  <c r="BI39" i="59"/>
  <c r="BH39" i="59"/>
  <c r="BG39" i="59"/>
  <c r="BF39" i="59"/>
  <c r="BE39" i="59"/>
  <c r="BD39" i="59"/>
  <c r="BC39" i="59"/>
  <c r="BB39" i="59"/>
  <c r="BN39" i="59" s="1"/>
  <c r="BA39" i="59"/>
  <c r="AZ39" i="59"/>
  <c r="BL39" i="59" s="1"/>
  <c r="BK38" i="59"/>
  <c r="BJ38" i="59"/>
  <c r="BI38" i="59"/>
  <c r="BH38" i="59"/>
  <c r="BG38" i="59"/>
  <c r="BF38" i="59"/>
  <c r="BE38" i="59"/>
  <c r="BD38" i="59"/>
  <c r="BC38" i="59"/>
  <c r="BB38" i="59"/>
  <c r="BN38" i="59" s="1"/>
  <c r="BA38" i="59"/>
  <c r="AZ38" i="59"/>
  <c r="BL38" i="59" s="1"/>
  <c r="BK37" i="59"/>
  <c r="BJ37" i="59"/>
  <c r="BI37" i="59"/>
  <c r="BH37" i="59"/>
  <c r="BG37" i="59"/>
  <c r="BF37" i="59"/>
  <c r="BE37" i="59"/>
  <c r="BD37" i="59"/>
  <c r="BC37" i="59"/>
  <c r="BB37" i="59"/>
  <c r="BN37" i="59" s="1"/>
  <c r="BA37" i="59"/>
  <c r="AZ37" i="59"/>
  <c r="BL37" i="59" s="1"/>
  <c r="BK36" i="59"/>
  <c r="BJ36" i="59"/>
  <c r="BI36" i="59"/>
  <c r="BH36" i="59"/>
  <c r="BG36" i="59"/>
  <c r="BF36" i="59"/>
  <c r="BE36" i="59"/>
  <c r="BD36" i="59"/>
  <c r="BC36" i="59"/>
  <c r="BB36" i="59"/>
  <c r="BN36" i="59" s="1"/>
  <c r="BA36" i="59"/>
  <c r="AZ36" i="59"/>
  <c r="BL36" i="59" s="1"/>
  <c r="BK35" i="59"/>
  <c r="BJ35" i="59"/>
  <c r="BI35" i="59"/>
  <c r="BH35" i="59"/>
  <c r="BG35" i="59"/>
  <c r="BF35" i="59"/>
  <c r="BE35" i="59"/>
  <c r="BD35" i="59"/>
  <c r="BC35" i="59"/>
  <c r="BB35" i="59"/>
  <c r="BN35" i="59" s="1"/>
  <c r="BA35" i="59"/>
  <c r="AZ35" i="59"/>
  <c r="BL35" i="59" s="1"/>
  <c r="BK34" i="59"/>
  <c r="BJ34" i="59"/>
  <c r="BI34" i="59"/>
  <c r="BH34" i="59"/>
  <c r="BG34" i="59"/>
  <c r="BF34" i="59"/>
  <c r="BE34" i="59"/>
  <c r="BD34" i="59"/>
  <c r="BC34" i="59"/>
  <c r="BB34" i="59"/>
  <c r="BN34" i="59" s="1"/>
  <c r="BA34" i="59"/>
  <c r="AZ34" i="59"/>
  <c r="BL34" i="59" s="1"/>
  <c r="BK33" i="59"/>
  <c r="BJ33" i="59"/>
  <c r="BI33" i="59"/>
  <c r="BH33" i="59"/>
  <c r="BG33" i="59"/>
  <c r="BF33" i="59"/>
  <c r="BE33" i="59"/>
  <c r="BD33" i="59"/>
  <c r="BC33" i="59"/>
  <c r="BB33" i="59"/>
  <c r="BN33" i="59" s="1"/>
  <c r="BA33" i="59"/>
  <c r="AZ33" i="59"/>
  <c r="BL33" i="59" s="1"/>
  <c r="BK32" i="59"/>
  <c r="BJ32" i="59"/>
  <c r="BI32" i="59"/>
  <c r="BH32" i="59"/>
  <c r="BG32" i="59"/>
  <c r="BF32" i="59"/>
  <c r="BE32" i="59"/>
  <c r="BD32" i="59"/>
  <c r="BC32" i="59"/>
  <c r="BB32" i="59"/>
  <c r="BN32" i="59" s="1"/>
  <c r="BA32" i="59"/>
  <c r="AZ32" i="59"/>
  <c r="BL32" i="59" s="1"/>
  <c r="BK31" i="59"/>
  <c r="BJ31" i="59"/>
  <c r="BI31" i="59"/>
  <c r="BH31" i="59"/>
  <c r="BG31" i="59"/>
  <c r="BF31" i="59"/>
  <c r="BE31" i="59"/>
  <c r="BD31" i="59"/>
  <c r="BC31" i="59"/>
  <c r="BB31" i="59"/>
  <c r="BN31" i="59" s="1"/>
  <c r="BA31" i="59"/>
  <c r="AZ31" i="59"/>
  <c r="BL31" i="59" s="1"/>
  <c r="BK30" i="59"/>
  <c r="BJ30" i="59"/>
  <c r="BI30" i="59"/>
  <c r="BH30" i="59"/>
  <c r="BG30" i="59"/>
  <c r="BF30" i="59"/>
  <c r="BE30" i="59"/>
  <c r="BD30" i="59"/>
  <c r="BC30" i="59"/>
  <c r="BB30" i="59"/>
  <c r="BN30" i="59" s="1"/>
  <c r="BA30" i="59"/>
  <c r="AZ30" i="59"/>
  <c r="BL30" i="59" s="1"/>
  <c r="BK29" i="59"/>
  <c r="BJ29" i="59"/>
  <c r="BI29" i="59"/>
  <c r="BH29" i="59"/>
  <c r="BG29" i="59"/>
  <c r="BF29" i="59"/>
  <c r="BE29" i="59"/>
  <c r="BD29" i="59"/>
  <c r="BC29" i="59"/>
  <c r="BB29" i="59"/>
  <c r="BN29" i="59" s="1"/>
  <c r="BA29" i="59"/>
  <c r="AZ29" i="59"/>
  <c r="BL29" i="59" s="1"/>
  <c r="BK28" i="59"/>
  <c r="BJ28" i="59"/>
  <c r="BI28" i="59"/>
  <c r="BH28" i="59"/>
  <c r="BG28" i="59"/>
  <c r="BF28" i="59"/>
  <c r="BE28" i="59"/>
  <c r="BD28" i="59"/>
  <c r="BC28" i="59"/>
  <c r="BB28" i="59"/>
  <c r="BN28" i="59" s="1"/>
  <c r="BA28" i="59"/>
  <c r="AZ28" i="59"/>
  <c r="BL28" i="59" s="1"/>
  <c r="BK27" i="59"/>
  <c r="BJ27" i="59"/>
  <c r="BI27" i="59"/>
  <c r="BH27" i="59"/>
  <c r="BG27" i="59"/>
  <c r="BF27" i="59"/>
  <c r="BE27" i="59"/>
  <c r="BD27" i="59"/>
  <c r="BC27" i="59"/>
  <c r="BB27" i="59"/>
  <c r="BN27" i="59" s="1"/>
  <c r="BA27" i="59"/>
  <c r="AZ27" i="59"/>
  <c r="BL27" i="59" s="1"/>
  <c r="BK26" i="59"/>
  <c r="BJ26" i="59"/>
  <c r="BI26" i="59"/>
  <c r="BH26" i="59"/>
  <c r="BG26" i="59"/>
  <c r="BF26" i="59"/>
  <c r="BE26" i="59"/>
  <c r="BD26" i="59"/>
  <c r="BD54" i="59" s="1"/>
  <c r="BC26" i="59"/>
  <c r="BC54" i="59" s="1"/>
  <c r="BB26" i="59"/>
  <c r="BB54" i="59" s="1"/>
  <c r="BA26" i="59"/>
  <c r="BA54" i="59" s="1"/>
  <c r="AZ26" i="59"/>
  <c r="AZ54" i="59" s="1"/>
  <c r="BO25" i="59"/>
  <c r="BG24" i="59"/>
  <c r="BG67" i="59" s="1"/>
  <c r="BG71" i="59" s="1"/>
  <c r="BA24" i="59"/>
  <c r="BA67" i="59" s="1"/>
  <c r="BA71" i="59" s="1"/>
  <c r="BM23" i="59"/>
  <c r="BO23" i="59" s="1"/>
  <c r="BK23" i="59"/>
  <c r="BJ23" i="59"/>
  <c r="BI23" i="59"/>
  <c r="BH23" i="59"/>
  <c r="BG23" i="59"/>
  <c r="BF23" i="59"/>
  <c r="BE23" i="59"/>
  <c r="BD23" i="59"/>
  <c r="BC23" i="59"/>
  <c r="BB23" i="59"/>
  <c r="BN23" i="59" s="1"/>
  <c r="BA23" i="59"/>
  <c r="AZ23" i="59"/>
  <c r="BL23" i="59" s="1"/>
  <c r="BM22" i="59"/>
  <c r="BO22" i="59" s="1"/>
  <c r="BK22" i="59"/>
  <c r="BJ22" i="59"/>
  <c r="BI22" i="59"/>
  <c r="BH22" i="59"/>
  <c r="BG22" i="59"/>
  <c r="BF22" i="59"/>
  <c r="BE22" i="59"/>
  <c r="BD22" i="59"/>
  <c r="BC22" i="59"/>
  <c r="BB22" i="59"/>
  <c r="BN22" i="59" s="1"/>
  <c r="BA22" i="59"/>
  <c r="AZ22" i="59"/>
  <c r="BL22" i="59" s="1"/>
  <c r="BM21" i="59"/>
  <c r="BO21" i="59" s="1"/>
  <c r="BK21" i="59"/>
  <c r="BJ21" i="59"/>
  <c r="BI21" i="59"/>
  <c r="BH21" i="59"/>
  <c r="BG21" i="59"/>
  <c r="BF21" i="59"/>
  <c r="BE21" i="59"/>
  <c r="BD21" i="59"/>
  <c r="BC21" i="59"/>
  <c r="BB21" i="59"/>
  <c r="BN21" i="59" s="1"/>
  <c r="BA21" i="59"/>
  <c r="AZ21" i="59"/>
  <c r="BL21" i="59" s="1"/>
  <c r="BM20" i="59"/>
  <c r="BO20" i="59" s="1"/>
  <c r="BK20" i="59"/>
  <c r="BJ20" i="59"/>
  <c r="BI20" i="59"/>
  <c r="BH20" i="59"/>
  <c r="BG20" i="59"/>
  <c r="BF20" i="59"/>
  <c r="BE20" i="59"/>
  <c r="BD20" i="59"/>
  <c r="BC20" i="59"/>
  <c r="BB20" i="59"/>
  <c r="BN20" i="59" s="1"/>
  <c r="BA20" i="59"/>
  <c r="AZ20" i="59"/>
  <c r="BL20" i="59" s="1"/>
  <c r="BM19" i="59"/>
  <c r="BO19" i="59" s="1"/>
  <c r="BK19" i="59"/>
  <c r="BJ19" i="59"/>
  <c r="BI19" i="59"/>
  <c r="BH19" i="59"/>
  <c r="BG19" i="59"/>
  <c r="BF19" i="59"/>
  <c r="BE19" i="59"/>
  <c r="BD19" i="59"/>
  <c r="BC19" i="59"/>
  <c r="BB19" i="59"/>
  <c r="BN19" i="59" s="1"/>
  <c r="BA19" i="59"/>
  <c r="AZ19" i="59"/>
  <c r="BL19" i="59" s="1"/>
  <c r="BM18" i="59"/>
  <c r="BO18" i="59" s="1"/>
  <c r="BK18" i="59"/>
  <c r="BJ18" i="59"/>
  <c r="BI18" i="59"/>
  <c r="BH18" i="59"/>
  <c r="BG18" i="59"/>
  <c r="BF18" i="59"/>
  <c r="BE18" i="59"/>
  <c r="BD18" i="59"/>
  <c r="BC18" i="59"/>
  <c r="BB18" i="59"/>
  <c r="BN18" i="59" s="1"/>
  <c r="BA18" i="59"/>
  <c r="AZ18" i="59"/>
  <c r="BL18" i="59" s="1"/>
  <c r="BM17" i="59"/>
  <c r="BO17" i="59" s="1"/>
  <c r="BK17" i="59"/>
  <c r="BJ17" i="59"/>
  <c r="BI17" i="59"/>
  <c r="BH17" i="59"/>
  <c r="BG17" i="59"/>
  <c r="BF17" i="59"/>
  <c r="BE17" i="59"/>
  <c r="BD17" i="59"/>
  <c r="BC17" i="59"/>
  <c r="BB17" i="59"/>
  <c r="BN17" i="59" s="1"/>
  <c r="BA17" i="59"/>
  <c r="AZ17" i="59"/>
  <c r="BL17" i="59" s="1"/>
  <c r="BM16" i="59"/>
  <c r="BO16" i="59" s="1"/>
  <c r="BK16" i="59"/>
  <c r="BJ16" i="59"/>
  <c r="BI16" i="59"/>
  <c r="BH16" i="59"/>
  <c r="BG16" i="59"/>
  <c r="BF16" i="59"/>
  <c r="BE16" i="59"/>
  <c r="BD16" i="59"/>
  <c r="BC16" i="59"/>
  <c r="BB16" i="59"/>
  <c r="BN16" i="59" s="1"/>
  <c r="BA16" i="59"/>
  <c r="AZ16" i="59"/>
  <c r="BL16" i="59" s="1"/>
  <c r="BM15" i="59"/>
  <c r="BO15" i="59" s="1"/>
  <c r="BK15" i="59"/>
  <c r="BJ15" i="59"/>
  <c r="BI15" i="59"/>
  <c r="BH15" i="59"/>
  <c r="BG15" i="59"/>
  <c r="BF15" i="59"/>
  <c r="BE15" i="59"/>
  <c r="BD15" i="59"/>
  <c r="BC15" i="59"/>
  <c r="BB15" i="59"/>
  <c r="BN15" i="59" s="1"/>
  <c r="BA15" i="59"/>
  <c r="AZ15" i="59"/>
  <c r="BL15" i="59" s="1"/>
  <c r="BM14" i="59"/>
  <c r="BO14" i="59" s="1"/>
  <c r="BK14" i="59"/>
  <c r="BJ14" i="59"/>
  <c r="BI14" i="59"/>
  <c r="BH14" i="59"/>
  <c r="BG14" i="59"/>
  <c r="BF14" i="59"/>
  <c r="BE14" i="59"/>
  <c r="BD14" i="59"/>
  <c r="BC14" i="59"/>
  <c r="BB14" i="59"/>
  <c r="BN14" i="59" s="1"/>
  <c r="BA14" i="59"/>
  <c r="AZ14" i="59"/>
  <c r="BL14" i="59" s="1"/>
  <c r="BM13" i="59"/>
  <c r="BO13" i="59" s="1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BL13" i="59" s="1"/>
  <c r="BM12" i="59"/>
  <c r="BO12" i="59" s="1"/>
  <c r="BK12" i="59"/>
  <c r="BJ12" i="59"/>
  <c r="BI12" i="59"/>
  <c r="BH12" i="59"/>
  <c r="BG12" i="59"/>
  <c r="BF12" i="59"/>
  <c r="BE12" i="59"/>
  <c r="BD12" i="59"/>
  <c r="BC12" i="59"/>
  <c r="BB12" i="59"/>
  <c r="BN12" i="59" s="1"/>
  <c r="BA12" i="59"/>
  <c r="AZ12" i="59"/>
  <c r="BL12" i="59" s="1"/>
  <c r="BM11" i="59"/>
  <c r="BO11" i="59" s="1"/>
  <c r="BK11" i="59"/>
  <c r="BJ11" i="59"/>
  <c r="BI11" i="59"/>
  <c r="BH11" i="59"/>
  <c r="BG11" i="59"/>
  <c r="BF11" i="59"/>
  <c r="BE11" i="59"/>
  <c r="BD11" i="59"/>
  <c r="BC11" i="59"/>
  <c r="BB11" i="59"/>
  <c r="BN11" i="59" s="1"/>
  <c r="BA11" i="59"/>
  <c r="AZ11" i="59"/>
  <c r="BL11" i="59" s="1"/>
  <c r="BM10" i="59"/>
  <c r="BO10" i="59" s="1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BL10" i="59" s="1"/>
  <c r="BM9" i="59"/>
  <c r="BO9" i="59" s="1"/>
  <c r="BK9" i="59"/>
  <c r="BJ9" i="59"/>
  <c r="BI9" i="59"/>
  <c r="BH9" i="59"/>
  <c r="BG9" i="59"/>
  <c r="BF9" i="59"/>
  <c r="BE9" i="59"/>
  <c r="BD9" i="59"/>
  <c r="BC9" i="59"/>
  <c r="BB9" i="59"/>
  <c r="BN9" i="59" s="1"/>
  <c r="BA9" i="59"/>
  <c r="AZ9" i="59"/>
  <c r="BL9" i="59" s="1"/>
  <c r="BM8" i="59"/>
  <c r="BO8" i="59" s="1"/>
  <c r="BK8" i="59"/>
  <c r="BJ8" i="59"/>
  <c r="BI8" i="59"/>
  <c r="BH8" i="59"/>
  <c r="BG8" i="59"/>
  <c r="BF8" i="59"/>
  <c r="BE8" i="59"/>
  <c r="BD8" i="59"/>
  <c r="BC8" i="59"/>
  <c r="BB8" i="59"/>
  <c r="BA8" i="59"/>
  <c r="AZ8" i="59"/>
  <c r="BL8" i="59" s="1"/>
  <c r="BM7" i="59"/>
  <c r="BO7" i="59" s="1"/>
  <c r="BK7" i="59"/>
  <c r="BJ7" i="59"/>
  <c r="BI7" i="59"/>
  <c r="BH7" i="59"/>
  <c r="BG7" i="59"/>
  <c r="BF7" i="59"/>
  <c r="BE7" i="59"/>
  <c r="BD7" i="59"/>
  <c r="BC7" i="59"/>
  <c r="BB7" i="59"/>
  <c r="BN7" i="59" s="1"/>
  <c r="BA7" i="59"/>
  <c r="AZ7" i="59"/>
  <c r="BL7" i="59" s="1"/>
  <c r="BM6" i="59"/>
  <c r="BK6" i="59"/>
  <c r="BJ6" i="59"/>
  <c r="BI6" i="59"/>
  <c r="BI24" i="59" s="1"/>
  <c r="BI67" i="59" s="1"/>
  <c r="BI71" i="59" s="1"/>
  <c r="BH6" i="59"/>
  <c r="BG6" i="59"/>
  <c r="BF6" i="59"/>
  <c r="BE6" i="59"/>
  <c r="BD6" i="59"/>
  <c r="BD24" i="59" s="1"/>
  <c r="BC6" i="59"/>
  <c r="BC24" i="59" s="1"/>
  <c r="BC67" i="59" s="1"/>
  <c r="BC71" i="59" s="1"/>
  <c r="BB6" i="59"/>
  <c r="BB24" i="59" s="1"/>
  <c r="BA6" i="59"/>
  <c r="AZ6" i="59"/>
  <c r="AZ24" i="59" s="1"/>
  <c r="BJ85" i="58"/>
  <c r="BG85" i="58"/>
  <c r="BF85" i="58"/>
  <c r="BD85" i="58"/>
  <c r="BC85" i="58"/>
  <c r="BB85" i="58"/>
  <c r="BA85" i="58"/>
  <c r="BM85" i="58" s="1"/>
  <c r="AZ85" i="58"/>
  <c r="BJ83" i="58"/>
  <c r="BG83" i="58"/>
  <c r="BF83" i="58"/>
  <c r="BD83" i="58"/>
  <c r="BC83" i="58"/>
  <c r="BB83" i="58"/>
  <c r="BA83" i="58"/>
  <c r="BM83" i="58" s="1"/>
  <c r="AZ83" i="58"/>
  <c r="BJ81" i="58"/>
  <c r="BI81" i="58"/>
  <c r="BG81" i="58"/>
  <c r="BF81" i="58"/>
  <c r="BC81" i="58"/>
  <c r="BB81" i="58"/>
  <c r="BA81" i="58"/>
  <c r="AZ81" i="58"/>
  <c r="BL81" i="58" s="1"/>
  <c r="BO80" i="58"/>
  <c r="BH79" i="58"/>
  <c r="BG79" i="58"/>
  <c r="BM78" i="58"/>
  <c r="BK78" i="58"/>
  <c r="BJ78" i="58"/>
  <c r="BI78" i="58"/>
  <c r="BH78" i="58"/>
  <c r="BG78" i="58"/>
  <c r="BF78" i="58"/>
  <c r="BE78" i="58"/>
  <c r="BN78" i="58" s="1"/>
  <c r="BD78" i="58"/>
  <c r="BC78" i="58"/>
  <c r="BB78" i="58"/>
  <c r="BA78" i="58"/>
  <c r="AZ78" i="58"/>
  <c r="BL78" i="58" s="1"/>
  <c r="BK77" i="58"/>
  <c r="BJ77" i="58"/>
  <c r="BI77" i="58"/>
  <c r="BH77" i="58"/>
  <c r="BG77" i="58"/>
  <c r="BF77" i="58"/>
  <c r="BE77" i="58"/>
  <c r="BD77" i="58"/>
  <c r="BC77" i="58"/>
  <c r="BB77" i="58"/>
  <c r="BN77" i="58" s="1"/>
  <c r="BA77" i="58"/>
  <c r="AZ77" i="58"/>
  <c r="BM76" i="58"/>
  <c r="BK76" i="58"/>
  <c r="BJ76" i="58"/>
  <c r="BI76" i="58"/>
  <c r="BH76" i="58"/>
  <c r="BG76" i="58"/>
  <c r="BF76" i="58"/>
  <c r="BE76" i="58"/>
  <c r="BN76" i="58" s="1"/>
  <c r="BD76" i="58"/>
  <c r="BC76" i="58"/>
  <c r="BB76" i="58"/>
  <c r="BA76" i="58"/>
  <c r="AZ76" i="58"/>
  <c r="BL76" i="58" s="1"/>
  <c r="BK75" i="58"/>
  <c r="BJ75" i="58"/>
  <c r="BI75" i="58"/>
  <c r="BH75" i="58"/>
  <c r="BG75" i="58"/>
  <c r="BF75" i="58"/>
  <c r="BE75" i="58"/>
  <c r="BD75" i="58"/>
  <c r="BC75" i="58"/>
  <c r="BB75" i="58"/>
  <c r="BN75" i="58" s="1"/>
  <c r="BA75" i="58"/>
  <c r="BM75" i="58" s="1"/>
  <c r="AZ75" i="58"/>
  <c r="BM74" i="58"/>
  <c r="BK74" i="58"/>
  <c r="BJ74" i="58"/>
  <c r="BI74" i="58"/>
  <c r="BH74" i="58"/>
  <c r="BG74" i="58"/>
  <c r="BF74" i="58"/>
  <c r="BE74" i="58"/>
  <c r="BN74" i="58" s="1"/>
  <c r="BD74" i="58"/>
  <c r="BC74" i="58"/>
  <c r="BB74" i="58"/>
  <c r="BA74" i="58"/>
  <c r="AZ74" i="58"/>
  <c r="BL74" i="58" s="1"/>
  <c r="BK73" i="58"/>
  <c r="BK79" i="58" s="1"/>
  <c r="BJ73" i="58"/>
  <c r="BI73" i="58"/>
  <c r="BH73" i="58"/>
  <c r="BG73" i="58"/>
  <c r="BF73" i="58"/>
  <c r="BE73" i="58"/>
  <c r="BD73" i="58"/>
  <c r="BD79" i="58" s="1"/>
  <c r="BC73" i="58"/>
  <c r="BC79" i="58" s="1"/>
  <c r="BB73" i="58"/>
  <c r="BA73" i="58"/>
  <c r="BA79" i="58" s="1"/>
  <c r="AZ73" i="58"/>
  <c r="AZ79" i="58" s="1"/>
  <c r="BO72" i="58"/>
  <c r="BK70" i="58"/>
  <c r="BO70" i="58" s="1"/>
  <c r="BI70" i="58"/>
  <c r="BH70" i="58"/>
  <c r="BG70" i="58"/>
  <c r="BK69" i="58"/>
  <c r="BO69" i="58" s="1"/>
  <c r="BI69" i="58"/>
  <c r="BH69" i="58"/>
  <c r="BG69" i="58"/>
  <c r="BC69" i="58"/>
  <c r="BB69" i="58"/>
  <c r="BA69" i="58"/>
  <c r="AZ69" i="58"/>
  <c r="BK68" i="58"/>
  <c r="BO68" i="58" s="1"/>
  <c r="BI68" i="58"/>
  <c r="BH68" i="58" s="1"/>
  <c r="BG68" i="58"/>
  <c r="BO66" i="58"/>
  <c r="BK64" i="58"/>
  <c r="BJ64" i="58"/>
  <c r="BI64" i="58"/>
  <c r="BH64" i="58"/>
  <c r="BG64" i="58"/>
  <c r="BF64" i="58"/>
  <c r="BE64" i="58"/>
  <c r="BD64" i="58"/>
  <c r="BD65" i="58" s="1"/>
  <c r="BC64" i="58"/>
  <c r="BB64" i="58"/>
  <c r="BA64" i="58"/>
  <c r="BM64" i="58" s="1"/>
  <c r="AZ64" i="58"/>
  <c r="BL64" i="58" s="1"/>
  <c r="BK63" i="58"/>
  <c r="BJ63" i="58"/>
  <c r="BI63" i="58"/>
  <c r="BH63" i="58"/>
  <c r="BG63" i="58"/>
  <c r="BF63" i="58"/>
  <c r="BE63" i="58"/>
  <c r="BD63" i="58"/>
  <c r="BC63" i="58"/>
  <c r="BC65" i="58" s="1"/>
  <c r="BB63" i="58"/>
  <c r="BB65" i="58" s="1"/>
  <c r="BA63" i="58"/>
  <c r="BM63" i="58" s="1"/>
  <c r="AZ63" i="58"/>
  <c r="AZ65" i="58" s="1"/>
  <c r="BO62" i="58"/>
  <c r="BI61" i="58"/>
  <c r="BK60" i="58"/>
  <c r="BJ60" i="58"/>
  <c r="BI60" i="58"/>
  <c r="BH60" i="58"/>
  <c r="BG60" i="58"/>
  <c r="BF60" i="58"/>
  <c r="BE60" i="58"/>
  <c r="BD60" i="58"/>
  <c r="BC60" i="58"/>
  <c r="BB60" i="58"/>
  <c r="BN60" i="58" s="1"/>
  <c r="BA60" i="58"/>
  <c r="BM60" i="58" s="1"/>
  <c r="AZ60" i="58"/>
  <c r="BL60" i="58" s="1"/>
  <c r="BO60" i="58" s="1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BL59" i="58" s="1"/>
  <c r="BK58" i="58"/>
  <c r="BJ58" i="58"/>
  <c r="BI58" i="58"/>
  <c r="BH58" i="58"/>
  <c r="BG58" i="58"/>
  <c r="BF58" i="58"/>
  <c r="BE58" i="58"/>
  <c r="BD58" i="58"/>
  <c r="BC58" i="58"/>
  <c r="BB58" i="58"/>
  <c r="BN58" i="58" s="1"/>
  <c r="BA58" i="58"/>
  <c r="BM58" i="58" s="1"/>
  <c r="BO58" i="58" s="1"/>
  <c r="AZ58" i="58"/>
  <c r="BL58" i="58" s="1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Z61" i="58" s="1"/>
  <c r="BK56" i="58"/>
  <c r="BJ56" i="58"/>
  <c r="BI56" i="58"/>
  <c r="BH56" i="58"/>
  <c r="BG56" i="58"/>
  <c r="BF56" i="58"/>
  <c r="BE56" i="58"/>
  <c r="BD56" i="58"/>
  <c r="BD61" i="58" s="1"/>
  <c r="BC56" i="58"/>
  <c r="BC61" i="58" s="1"/>
  <c r="BB56" i="58"/>
  <c r="BB61" i="58" s="1"/>
  <c r="BA56" i="58"/>
  <c r="BA61" i="58" s="1"/>
  <c r="AZ56" i="58"/>
  <c r="BL56" i="58" s="1"/>
  <c r="BO55" i="58"/>
  <c r="BI54" i="58"/>
  <c r="BN53" i="58"/>
  <c r="BK53" i="58"/>
  <c r="BJ53" i="58"/>
  <c r="BI53" i="58"/>
  <c r="BH53" i="58"/>
  <c r="BG53" i="58"/>
  <c r="BF53" i="58"/>
  <c r="BE53" i="58"/>
  <c r="BD53" i="58"/>
  <c r="BC53" i="58"/>
  <c r="BB53" i="58"/>
  <c r="BA53" i="58"/>
  <c r="BM53" i="58" s="1"/>
  <c r="AZ53" i="58"/>
  <c r="BL53" i="58" s="1"/>
  <c r="BK52" i="58"/>
  <c r="BJ52" i="58"/>
  <c r="BI52" i="58"/>
  <c r="BH52" i="58"/>
  <c r="BG52" i="58"/>
  <c r="BF52" i="58"/>
  <c r="BE52" i="58"/>
  <c r="BD52" i="58"/>
  <c r="BC52" i="58"/>
  <c r="BB52" i="58"/>
  <c r="BN52" i="58" s="1"/>
  <c r="BA52" i="58"/>
  <c r="AZ52" i="58"/>
  <c r="BN51" i="58"/>
  <c r="BK51" i="58"/>
  <c r="BJ51" i="58"/>
  <c r="BI51" i="58"/>
  <c r="BH51" i="58"/>
  <c r="BG51" i="58"/>
  <c r="BF51" i="58"/>
  <c r="BE51" i="58"/>
  <c r="BD51" i="58"/>
  <c r="BC51" i="58"/>
  <c r="BB51" i="58"/>
  <c r="BA51" i="58"/>
  <c r="BM51" i="58" s="1"/>
  <c r="AZ51" i="58"/>
  <c r="BL51" i="58" s="1"/>
  <c r="BK50" i="58"/>
  <c r="BJ50" i="58"/>
  <c r="BI50" i="58"/>
  <c r="BH50" i="58"/>
  <c r="BG50" i="58"/>
  <c r="BF50" i="58"/>
  <c r="BE50" i="58"/>
  <c r="BD50" i="58"/>
  <c r="BC50" i="58"/>
  <c r="BB50" i="58"/>
  <c r="BN50" i="58" s="1"/>
  <c r="BA50" i="58"/>
  <c r="AZ50" i="58"/>
  <c r="BN49" i="58"/>
  <c r="BK49" i="58"/>
  <c r="BJ49" i="58"/>
  <c r="BI49" i="58"/>
  <c r="BH49" i="58"/>
  <c r="BG49" i="58"/>
  <c r="BF49" i="58"/>
  <c r="BE49" i="58"/>
  <c r="BD49" i="58"/>
  <c r="BC49" i="58"/>
  <c r="BB49" i="58"/>
  <c r="BA49" i="58"/>
  <c r="BM49" i="58" s="1"/>
  <c r="AZ49" i="58"/>
  <c r="BL49" i="58" s="1"/>
  <c r="BK48" i="58"/>
  <c r="BJ48" i="58"/>
  <c r="BI48" i="58"/>
  <c r="BH48" i="58"/>
  <c r="BG48" i="58"/>
  <c r="BF48" i="58"/>
  <c r="BE48" i="58"/>
  <c r="BD48" i="58"/>
  <c r="BC48" i="58"/>
  <c r="BB48" i="58"/>
  <c r="BN48" i="58" s="1"/>
  <c r="BA48" i="58"/>
  <c r="AZ48" i="58"/>
  <c r="BN47" i="58"/>
  <c r="BK47" i="58"/>
  <c r="BJ47" i="58"/>
  <c r="BI47" i="58"/>
  <c r="BH47" i="58"/>
  <c r="BG47" i="58"/>
  <c r="BF47" i="58"/>
  <c r="BE47" i="58"/>
  <c r="BD47" i="58"/>
  <c r="BC47" i="58"/>
  <c r="BB47" i="58"/>
  <c r="BA47" i="58"/>
  <c r="BM47" i="58" s="1"/>
  <c r="BO47" i="58" s="1"/>
  <c r="AZ47" i="58"/>
  <c r="BL47" i="58" s="1"/>
  <c r="BK46" i="58"/>
  <c r="BJ46" i="58"/>
  <c r="BI46" i="58"/>
  <c r="BH46" i="58"/>
  <c r="BG46" i="58"/>
  <c r="BF46" i="58"/>
  <c r="BE46" i="58"/>
  <c r="BD46" i="58"/>
  <c r="BC46" i="58"/>
  <c r="BB46" i="58"/>
  <c r="BN46" i="58" s="1"/>
  <c r="BA46" i="58"/>
  <c r="AZ46" i="58"/>
  <c r="BN45" i="58"/>
  <c r="BK45" i="58"/>
  <c r="BJ45" i="58"/>
  <c r="BI45" i="58"/>
  <c r="BH45" i="58"/>
  <c r="BG45" i="58"/>
  <c r="BF45" i="58"/>
  <c r="BE45" i="58"/>
  <c r="BD45" i="58"/>
  <c r="BC45" i="58"/>
  <c r="BB45" i="58"/>
  <c r="BA45" i="58"/>
  <c r="BM45" i="58" s="1"/>
  <c r="AZ45" i="58"/>
  <c r="BL45" i="58" s="1"/>
  <c r="BK44" i="58"/>
  <c r="BJ44" i="58"/>
  <c r="BI44" i="58"/>
  <c r="BH44" i="58"/>
  <c r="BG44" i="58"/>
  <c r="BF44" i="58"/>
  <c r="BE44" i="58"/>
  <c r="BD44" i="58"/>
  <c r="BC44" i="58"/>
  <c r="BB44" i="58"/>
  <c r="BN44" i="58" s="1"/>
  <c r="BA44" i="58"/>
  <c r="AZ44" i="58"/>
  <c r="BN43" i="58"/>
  <c r="BK43" i="58"/>
  <c r="BJ43" i="58"/>
  <c r="BI43" i="58"/>
  <c r="BH43" i="58"/>
  <c r="BG43" i="58"/>
  <c r="BF43" i="58"/>
  <c r="BE43" i="58"/>
  <c r="BD43" i="58"/>
  <c r="BC43" i="58"/>
  <c r="BB43" i="58"/>
  <c r="BA43" i="58"/>
  <c r="BM43" i="58" s="1"/>
  <c r="AZ43" i="58"/>
  <c r="BL43" i="58" s="1"/>
  <c r="BK42" i="58"/>
  <c r="BJ42" i="58"/>
  <c r="BI42" i="58"/>
  <c r="BH42" i="58"/>
  <c r="BG42" i="58"/>
  <c r="BF42" i="58"/>
  <c r="BE42" i="58"/>
  <c r="BD42" i="58"/>
  <c r="BC42" i="58"/>
  <c r="BB42" i="58"/>
  <c r="BN42" i="58" s="1"/>
  <c r="BA42" i="58"/>
  <c r="AZ42" i="58"/>
  <c r="BK41" i="58"/>
  <c r="BJ41" i="58"/>
  <c r="BI41" i="58"/>
  <c r="BH41" i="58"/>
  <c r="BN41" i="58" s="1"/>
  <c r="BG41" i="58"/>
  <c r="BF41" i="58"/>
  <c r="BE41" i="58"/>
  <c r="BD41" i="58"/>
  <c r="BC41" i="58"/>
  <c r="BB41" i="58"/>
  <c r="BA41" i="58"/>
  <c r="BM41" i="58" s="1"/>
  <c r="AZ41" i="58"/>
  <c r="BL41" i="58" s="1"/>
  <c r="BK40" i="58"/>
  <c r="BJ40" i="58"/>
  <c r="BI40" i="58"/>
  <c r="BH40" i="58"/>
  <c r="BH54" i="58" s="1"/>
  <c r="BG40" i="58"/>
  <c r="BF40" i="58"/>
  <c r="BE40" i="58"/>
  <c r="BD40" i="58"/>
  <c r="BC40" i="58"/>
  <c r="BB40" i="58"/>
  <c r="BA40" i="58"/>
  <c r="AZ40" i="58"/>
  <c r="BN39" i="58"/>
  <c r="BK39" i="58"/>
  <c r="BJ39" i="58"/>
  <c r="BI39" i="58"/>
  <c r="BH39" i="58"/>
  <c r="BG39" i="58"/>
  <c r="BF39" i="58"/>
  <c r="BE39" i="58"/>
  <c r="BD39" i="58"/>
  <c r="BC39" i="58"/>
  <c r="BB39" i="58"/>
  <c r="BA39" i="58"/>
  <c r="BM39" i="58" s="1"/>
  <c r="BO39" i="58" s="1"/>
  <c r="AZ39" i="58"/>
  <c r="BL39" i="58" s="1"/>
  <c r="BK38" i="58"/>
  <c r="BJ38" i="58"/>
  <c r="BI38" i="58"/>
  <c r="BH38" i="58"/>
  <c r="BG38" i="58"/>
  <c r="BF38" i="58"/>
  <c r="BE38" i="58"/>
  <c r="BD38" i="58"/>
  <c r="BC38" i="58"/>
  <c r="BB38" i="58"/>
  <c r="BN38" i="58" s="1"/>
  <c r="BA38" i="58"/>
  <c r="AZ38" i="58"/>
  <c r="BN37" i="58"/>
  <c r="BK37" i="58"/>
  <c r="BJ37" i="58"/>
  <c r="BI37" i="58"/>
  <c r="BH37" i="58"/>
  <c r="BG37" i="58"/>
  <c r="BF37" i="58"/>
  <c r="BE37" i="58"/>
  <c r="BD37" i="58"/>
  <c r="BC37" i="58"/>
  <c r="BB37" i="58"/>
  <c r="BA37" i="58"/>
  <c r="BM37" i="58" s="1"/>
  <c r="AZ37" i="58"/>
  <c r="BL37" i="58" s="1"/>
  <c r="BK36" i="58"/>
  <c r="BJ36" i="58"/>
  <c r="BI36" i="58"/>
  <c r="BH36" i="58"/>
  <c r="BG36" i="58"/>
  <c r="BF36" i="58"/>
  <c r="BE36" i="58"/>
  <c r="BD36" i="58"/>
  <c r="BC36" i="58"/>
  <c r="BB36" i="58"/>
  <c r="BN36" i="58" s="1"/>
  <c r="BA36" i="58"/>
  <c r="AZ36" i="58"/>
  <c r="BN35" i="58"/>
  <c r="BK35" i="58"/>
  <c r="BJ35" i="58"/>
  <c r="BI35" i="58"/>
  <c r="BH35" i="58"/>
  <c r="BG35" i="58"/>
  <c r="BF35" i="58"/>
  <c r="BE35" i="58"/>
  <c r="BD35" i="58"/>
  <c r="BC35" i="58"/>
  <c r="BB35" i="58"/>
  <c r="BA35" i="58"/>
  <c r="BM35" i="58" s="1"/>
  <c r="AZ35" i="58"/>
  <c r="BL35" i="58" s="1"/>
  <c r="BK34" i="58"/>
  <c r="BJ34" i="58"/>
  <c r="BI34" i="58"/>
  <c r="BH34" i="58"/>
  <c r="BG34" i="58"/>
  <c r="BF34" i="58"/>
  <c r="BE34" i="58"/>
  <c r="BD34" i="58"/>
  <c r="BC34" i="58"/>
  <c r="BB34" i="58"/>
  <c r="BN34" i="58" s="1"/>
  <c r="BA34" i="58"/>
  <c r="AZ34" i="58"/>
  <c r="BN33" i="58"/>
  <c r="BK33" i="58"/>
  <c r="BJ33" i="58"/>
  <c r="BI33" i="58"/>
  <c r="BH33" i="58"/>
  <c r="BG33" i="58"/>
  <c r="BF33" i="58"/>
  <c r="BE33" i="58"/>
  <c r="BD33" i="58"/>
  <c r="BC33" i="58"/>
  <c r="BB33" i="58"/>
  <c r="BA33" i="58"/>
  <c r="BM33" i="58" s="1"/>
  <c r="AZ33" i="58"/>
  <c r="BL33" i="58" s="1"/>
  <c r="BK32" i="58"/>
  <c r="BJ32" i="58"/>
  <c r="BI32" i="58"/>
  <c r="BH32" i="58"/>
  <c r="BG32" i="58"/>
  <c r="BF32" i="58"/>
  <c r="BE32" i="58"/>
  <c r="BD32" i="58"/>
  <c r="BC32" i="58"/>
  <c r="BB32" i="58"/>
  <c r="BN32" i="58" s="1"/>
  <c r="BA32" i="58"/>
  <c r="AZ32" i="58"/>
  <c r="BN31" i="58"/>
  <c r="BK31" i="58"/>
  <c r="BJ31" i="58"/>
  <c r="BI31" i="58"/>
  <c r="BH31" i="58"/>
  <c r="BG31" i="58"/>
  <c r="BF31" i="58"/>
  <c r="BE31" i="58"/>
  <c r="BD31" i="58"/>
  <c r="BC31" i="58"/>
  <c r="BB31" i="58"/>
  <c r="BA31" i="58"/>
  <c r="BM31" i="58" s="1"/>
  <c r="BO31" i="58" s="1"/>
  <c r="AZ31" i="58"/>
  <c r="BL31" i="58" s="1"/>
  <c r="BK30" i="58"/>
  <c r="BJ30" i="58"/>
  <c r="BI30" i="58"/>
  <c r="BH30" i="58"/>
  <c r="BG30" i="58"/>
  <c r="BF30" i="58"/>
  <c r="BE30" i="58"/>
  <c r="BD30" i="58"/>
  <c r="BC30" i="58"/>
  <c r="BB30" i="58"/>
  <c r="BN30" i="58" s="1"/>
  <c r="BA30" i="58"/>
  <c r="AZ30" i="58"/>
  <c r="BN29" i="58"/>
  <c r="BK29" i="58"/>
  <c r="BJ29" i="58"/>
  <c r="BI29" i="58"/>
  <c r="BH29" i="58"/>
  <c r="BG29" i="58"/>
  <c r="BF29" i="58"/>
  <c r="BE29" i="58"/>
  <c r="BD29" i="58"/>
  <c r="BC29" i="58"/>
  <c r="BB29" i="58"/>
  <c r="BA29" i="58"/>
  <c r="BM29" i="58" s="1"/>
  <c r="AZ29" i="58"/>
  <c r="BL29" i="58" s="1"/>
  <c r="BK28" i="58"/>
  <c r="BJ28" i="58"/>
  <c r="BI28" i="58"/>
  <c r="BH28" i="58"/>
  <c r="BG28" i="58"/>
  <c r="BF28" i="58"/>
  <c r="BE28" i="58"/>
  <c r="BD28" i="58"/>
  <c r="BC28" i="58"/>
  <c r="BB28" i="58"/>
  <c r="BN28" i="58" s="1"/>
  <c r="BA28" i="58"/>
  <c r="AZ28" i="58"/>
  <c r="BN27" i="58"/>
  <c r="BK27" i="58"/>
  <c r="BJ27" i="58"/>
  <c r="BI27" i="58"/>
  <c r="BH27" i="58"/>
  <c r="BG27" i="58"/>
  <c r="BF27" i="58"/>
  <c r="BE27" i="58"/>
  <c r="BD27" i="58"/>
  <c r="BC27" i="58"/>
  <c r="BB27" i="58"/>
  <c r="BA27" i="58"/>
  <c r="BM27" i="58" s="1"/>
  <c r="AZ27" i="58"/>
  <c r="BL27" i="58" s="1"/>
  <c r="BK26" i="58"/>
  <c r="BJ26" i="58"/>
  <c r="BI26" i="58"/>
  <c r="BH26" i="58"/>
  <c r="BG26" i="58"/>
  <c r="BG54" i="58" s="1"/>
  <c r="BF26" i="58"/>
  <c r="BE26" i="58"/>
  <c r="BD26" i="58"/>
  <c r="BD54" i="58" s="1"/>
  <c r="BC26" i="58"/>
  <c r="BC54" i="58" s="1"/>
  <c r="BB26" i="58"/>
  <c r="BA26" i="58"/>
  <c r="BA54" i="58" s="1"/>
  <c r="AZ26" i="58"/>
  <c r="AZ54" i="58" s="1"/>
  <c r="BO25" i="58"/>
  <c r="BJ23" i="58"/>
  <c r="BI23" i="58"/>
  <c r="BH23" i="58"/>
  <c r="BG23" i="58"/>
  <c r="BF23" i="58"/>
  <c r="BC23" i="58"/>
  <c r="BB23" i="58"/>
  <c r="BA23" i="58"/>
  <c r="AZ23" i="58"/>
  <c r="BL23" i="58" s="1"/>
  <c r="BK22" i="58"/>
  <c r="BJ22" i="58"/>
  <c r="BM22" i="58" s="1"/>
  <c r="BI22" i="58"/>
  <c r="BH22" i="58"/>
  <c r="BG22" i="58"/>
  <c r="BF22" i="58"/>
  <c r="BE22" i="58"/>
  <c r="BD22" i="58"/>
  <c r="BC22" i="58"/>
  <c r="BB22" i="58"/>
  <c r="BN22" i="58" s="1"/>
  <c r="BA22" i="58"/>
  <c r="AZ22" i="58"/>
  <c r="BM21" i="58"/>
  <c r="BK21" i="58"/>
  <c r="BJ21" i="58"/>
  <c r="BI21" i="58"/>
  <c r="BH21" i="58"/>
  <c r="BG21" i="58"/>
  <c r="BF21" i="58"/>
  <c r="BE21" i="58"/>
  <c r="BN21" i="58" s="1"/>
  <c r="BD21" i="58"/>
  <c r="BC21" i="58"/>
  <c r="BB21" i="58"/>
  <c r="BA21" i="58"/>
  <c r="AZ21" i="58"/>
  <c r="BL21" i="58" s="1"/>
  <c r="BK20" i="58"/>
  <c r="BJ20" i="58"/>
  <c r="BM20" i="58" s="1"/>
  <c r="BI20" i="58"/>
  <c r="BH20" i="58"/>
  <c r="BG20" i="58"/>
  <c r="BF20" i="58"/>
  <c r="BE20" i="58"/>
  <c r="BD20" i="58"/>
  <c r="BC20" i="58"/>
  <c r="BB20" i="58"/>
  <c r="BA20" i="58"/>
  <c r="AZ20" i="58"/>
  <c r="BM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BL19" i="58" s="1"/>
  <c r="BK18" i="58"/>
  <c r="BJ18" i="58"/>
  <c r="BM18" i="58" s="1"/>
  <c r="BI18" i="58"/>
  <c r="BH18" i="58"/>
  <c r="BG18" i="58"/>
  <c r="BF18" i="58"/>
  <c r="BE18" i="58"/>
  <c r="BD18" i="58"/>
  <c r="BC18" i="58"/>
  <c r="BB18" i="58"/>
  <c r="BA18" i="58"/>
  <c r="AZ18" i="58"/>
  <c r="BM17" i="58"/>
  <c r="BK17" i="58"/>
  <c r="BJ17" i="58"/>
  <c r="BI17" i="58"/>
  <c r="BH17" i="58"/>
  <c r="BG17" i="58"/>
  <c r="BF17" i="58"/>
  <c r="BE17" i="58"/>
  <c r="BN17" i="58" s="1"/>
  <c r="BD17" i="58"/>
  <c r="BC17" i="58"/>
  <c r="BB17" i="58"/>
  <c r="BA17" i="58"/>
  <c r="AZ17" i="58"/>
  <c r="BL17" i="58" s="1"/>
  <c r="BK16" i="58"/>
  <c r="BJ16" i="58"/>
  <c r="BM16" i="58" s="1"/>
  <c r="BI16" i="58"/>
  <c r="BH16" i="58"/>
  <c r="BG16" i="58"/>
  <c r="BF16" i="58"/>
  <c r="BE16" i="58"/>
  <c r="BD16" i="58"/>
  <c r="BC16" i="58"/>
  <c r="BB16" i="58"/>
  <c r="BN16" i="58" s="1"/>
  <c r="BA16" i="58"/>
  <c r="AZ16" i="58"/>
  <c r="BM15" i="58"/>
  <c r="BK15" i="58"/>
  <c r="BJ15" i="58"/>
  <c r="BI15" i="58"/>
  <c r="BH15" i="58"/>
  <c r="BG15" i="58"/>
  <c r="BF15" i="58"/>
  <c r="BE15" i="58"/>
  <c r="BN15" i="58" s="1"/>
  <c r="BD15" i="58"/>
  <c r="BC15" i="58"/>
  <c r="BB15" i="58"/>
  <c r="BA15" i="58"/>
  <c r="AZ15" i="58"/>
  <c r="BL15" i="58" s="1"/>
  <c r="BK14" i="58"/>
  <c r="BJ14" i="58"/>
  <c r="BM14" i="58" s="1"/>
  <c r="BI14" i="58"/>
  <c r="BH14" i="58"/>
  <c r="BG14" i="58"/>
  <c r="BF14" i="58"/>
  <c r="BE14" i="58"/>
  <c r="BD14" i="58"/>
  <c r="BC14" i="58"/>
  <c r="BB14" i="58"/>
  <c r="BN14" i="58" s="1"/>
  <c r="BA14" i="58"/>
  <c r="AZ14" i="58"/>
  <c r="BM13" i="58"/>
  <c r="BK13" i="58"/>
  <c r="BJ13" i="58"/>
  <c r="BI13" i="58"/>
  <c r="BH13" i="58"/>
  <c r="BG13" i="58"/>
  <c r="BF13" i="58"/>
  <c r="BE13" i="58"/>
  <c r="BD13" i="58"/>
  <c r="BC13" i="58"/>
  <c r="BB13" i="58"/>
  <c r="BA13" i="58"/>
  <c r="AZ13" i="58"/>
  <c r="BL13" i="58" s="1"/>
  <c r="BK12" i="58"/>
  <c r="BJ12" i="58"/>
  <c r="BM12" i="58" s="1"/>
  <c r="BI12" i="58"/>
  <c r="BH12" i="58"/>
  <c r="BG12" i="58"/>
  <c r="BF12" i="58"/>
  <c r="BE12" i="58"/>
  <c r="BD12" i="58"/>
  <c r="BC12" i="58"/>
  <c r="BB12" i="58"/>
  <c r="BN12" i="58" s="1"/>
  <c r="BA12" i="58"/>
  <c r="AZ12" i="58"/>
  <c r="BM11" i="58"/>
  <c r="BK11" i="58"/>
  <c r="BJ11" i="58"/>
  <c r="BI11" i="58"/>
  <c r="BH11" i="58"/>
  <c r="BG11" i="58"/>
  <c r="BF11" i="58"/>
  <c r="BE11" i="58"/>
  <c r="BN11" i="58" s="1"/>
  <c r="BD11" i="58"/>
  <c r="BC11" i="58"/>
  <c r="BB11" i="58"/>
  <c r="BA11" i="58"/>
  <c r="AZ11" i="58"/>
  <c r="BL11" i="58" s="1"/>
  <c r="BK10" i="58"/>
  <c r="BJ10" i="58"/>
  <c r="BI10" i="58"/>
  <c r="BH10" i="58"/>
  <c r="BG10" i="58"/>
  <c r="BF10" i="58"/>
  <c r="BC10" i="58"/>
  <c r="BB10" i="58"/>
  <c r="BA10" i="58"/>
  <c r="AZ10" i="58"/>
  <c r="BM9" i="58"/>
  <c r="BK9" i="58"/>
  <c r="BJ9" i="58"/>
  <c r="BI9" i="58"/>
  <c r="BH9" i="58"/>
  <c r="BG9" i="58"/>
  <c r="BF9" i="58"/>
  <c r="BE9" i="58"/>
  <c r="BN9" i="58" s="1"/>
  <c r="BD9" i="58"/>
  <c r="BC9" i="58"/>
  <c r="BB9" i="58"/>
  <c r="BA9" i="58"/>
  <c r="AZ9" i="58"/>
  <c r="BL9" i="58" s="1"/>
  <c r="BN8" i="58"/>
  <c r="BK8" i="58"/>
  <c r="BJ8" i="58"/>
  <c r="BI8" i="58"/>
  <c r="BH8" i="58"/>
  <c r="BG8" i="58"/>
  <c r="BF8" i="58"/>
  <c r="BE8" i="58"/>
  <c r="BD8" i="58"/>
  <c r="BC8" i="58"/>
  <c r="BB8" i="58"/>
  <c r="BA8" i="58"/>
  <c r="BM8" i="58" s="1"/>
  <c r="AZ8" i="58"/>
  <c r="BK7" i="58"/>
  <c r="BJ7" i="58"/>
  <c r="BI7" i="58"/>
  <c r="BH7" i="58"/>
  <c r="BG7" i="58"/>
  <c r="BF7" i="58"/>
  <c r="BE7" i="58"/>
  <c r="BN7" i="58" s="1"/>
  <c r="BD7" i="58"/>
  <c r="BM7" i="58" s="1"/>
  <c r="BC7" i="58"/>
  <c r="BB7" i="58"/>
  <c r="BA7" i="58"/>
  <c r="AZ7" i="58"/>
  <c r="BK6" i="58"/>
  <c r="BJ6" i="58"/>
  <c r="BI6" i="58"/>
  <c r="BH6" i="58"/>
  <c r="BG6" i="58"/>
  <c r="BG24" i="58" s="1"/>
  <c r="BF6" i="58"/>
  <c r="BE6" i="58"/>
  <c r="BD6" i="58"/>
  <c r="BC6" i="58"/>
  <c r="BC24" i="58" s="1"/>
  <c r="BC67" i="58" s="1"/>
  <c r="BC71" i="58" s="1"/>
  <c r="BB6" i="58"/>
  <c r="BA6" i="58"/>
  <c r="AZ6" i="58"/>
  <c r="AZ24" i="58" s="1"/>
  <c r="AZ67" i="58" s="1"/>
  <c r="AZ71" i="58" s="1"/>
  <c r="BJ85" i="57"/>
  <c r="BG85" i="57"/>
  <c r="BF85" i="57"/>
  <c r="BE85" i="57"/>
  <c r="BD85" i="57"/>
  <c r="BC85" i="57"/>
  <c r="BB85" i="57"/>
  <c r="BA85" i="57"/>
  <c r="BM85" i="57" s="1"/>
  <c r="AZ85" i="57"/>
  <c r="BJ83" i="57"/>
  <c r="BG83" i="57"/>
  <c r="BF83" i="57"/>
  <c r="BE83" i="57"/>
  <c r="BD83" i="57"/>
  <c r="BC83" i="57"/>
  <c r="BB83" i="57"/>
  <c r="BA83" i="57"/>
  <c r="AZ83" i="57"/>
  <c r="BJ81" i="57"/>
  <c r="BI81" i="57"/>
  <c r="BG81" i="57"/>
  <c r="BF81" i="57"/>
  <c r="BE81" i="57"/>
  <c r="BD81" i="57"/>
  <c r="BC81" i="57"/>
  <c r="BB81" i="57"/>
  <c r="BA81" i="57"/>
  <c r="BM81" i="57" s="1"/>
  <c r="AZ81" i="57"/>
  <c r="BL81" i="57" s="1"/>
  <c r="BO80" i="57"/>
  <c r="BK78" i="57"/>
  <c r="BJ78" i="57"/>
  <c r="BI78" i="57"/>
  <c r="BH78" i="57"/>
  <c r="BG78" i="57"/>
  <c r="BF78" i="57"/>
  <c r="BE78" i="57"/>
  <c r="BD78" i="57"/>
  <c r="BC78" i="57"/>
  <c r="BB78" i="57"/>
  <c r="BN78" i="57" s="1"/>
  <c r="BA78" i="57"/>
  <c r="AZ78" i="57"/>
  <c r="BK77" i="57"/>
  <c r="BJ77" i="57"/>
  <c r="BI77" i="57"/>
  <c r="BH77" i="57"/>
  <c r="BG77" i="57"/>
  <c r="BF77" i="57"/>
  <c r="BE77" i="57"/>
  <c r="BN77" i="57" s="1"/>
  <c r="BD77" i="57"/>
  <c r="BC77" i="57"/>
  <c r="BB77" i="57"/>
  <c r="BA77" i="57"/>
  <c r="BM77" i="57" s="1"/>
  <c r="AZ77" i="57"/>
  <c r="BM76" i="57"/>
  <c r="BK76" i="57"/>
  <c r="BJ76" i="57"/>
  <c r="BI76" i="57"/>
  <c r="BH76" i="57"/>
  <c r="BG76" i="57"/>
  <c r="BF76" i="57"/>
  <c r="BE76" i="57"/>
  <c r="BN76" i="57" s="1"/>
  <c r="BD76" i="57"/>
  <c r="BC76" i="57"/>
  <c r="BB76" i="57"/>
  <c r="BA76" i="57"/>
  <c r="AZ76" i="57"/>
  <c r="BL76" i="57" s="1"/>
  <c r="BK75" i="57"/>
  <c r="BJ75" i="57"/>
  <c r="BI75" i="57"/>
  <c r="BH75" i="57"/>
  <c r="BG75" i="57"/>
  <c r="BM75" i="57" s="1"/>
  <c r="BF75" i="57"/>
  <c r="BE75" i="57"/>
  <c r="BD75" i="57"/>
  <c r="BC75" i="57"/>
  <c r="BB75" i="57"/>
  <c r="BA75" i="57"/>
  <c r="AZ75" i="57"/>
  <c r="BK74" i="57"/>
  <c r="BJ74" i="57"/>
  <c r="BI74" i="57"/>
  <c r="BH74" i="57"/>
  <c r="BG74" i="57"/>
  <c r="BM74" i="57" s="1"/>
  <c r="BF74" i="57"/>
  <c r="BE74" i="57"/>
  <c r="BD74" i="57"/>
  <c r="BC74" i="57"/>
  <c r="BB74" i="57"/>
  <c r="BN74" i="57" s="1"/>
  <c r="BA74" i="57"/>
  <c r="AZ74" i="57"/>
  <c r="BN73" i="57"/>
  <c r="BK73" i="57"/>
  <c r="BJ73" i="57"/>
  <c r="BI73" i="57"/>
  <c r="BH73" i="57"/>
  <c r="BG73" i="57"/>
  <c r="BF73" i="57"/>
  <c r="BE73" i="57"/>
  <c r="BD73" i="57"/>
  <c r="BD79" i="57" s="1"/>
  <c r="BC73" i="57"/>
  <c r="BB73" i="57"/>
  <c r="BB79" i="57" s="1"/>
  <c r="BA73" i="57"/>
  <c r="AZ73" i="57"/>
  <c r="AZ79" i="57" s="1"/>
  <c r="BO72" i="57"/>
  <c r="BK70" i="57"/>
  <c r="BO70" i="57" s="1"/>
  <c r="BI70" i="57"/>
  <c r="BH70" i="57" s="1"/>
  <c r="BG70" i="57"/>
  <c r="BK69" i="57"/>
  <c r="BO69" i="57" s="1"/>
  <c r="BI69" i="57"/>
  <c r="BH69" i="57"/>
  <c r="BG69" i="57"/>
  <c r="BC69" i="57"/>
  <c r="BB69" i="57"/>
  <c r="BA69" i="57"/>
  <c r="AZ69" i="57"/>
  <c r="BK68" i="57"/>
  <c r="BO68" i="57" s="1"/>
  <c r="BI68" i="57"/>
  <c r="BH68" i="57"/>
  <c r="BG68" i="57"/>
  <c r="BO66" i="57"/>
  <c r="BA65" i="57"/>
  <c r="AZ65" i="57"/>
  <c r="BK64" i="57"/>
  <c r="BJ64" i="57"/>
  <c r="BI64" i="57"/>
  <c r="BH64" i="57"/>
  <c r="BG64" i="57"/>
  <c r="BF64" i="57"/>
  <c r="BE64" i="57"/>
  <c r="BD64" i="57"/>
  <c r="BC64" i="57"/>
  <c r="BB64" i="57"/>
  <c r="BN64" i="57" s="1"/>
  <c r="BA64" i="57"/>
  <c r="BM64" i="57" s="1"/>
  <c r="BO64" i="57" s="1"/>
  <c r="AZ64" i="57"/>
  <c r="BL64" i="57" s="1"/>
  <c r="BK63" i="57"/>
  <c r="BJ63" i="57"/>
  <c r="BI63" i="57"/>
  <c r="BH63" i="57"/>
  <c r="BG63" i="57"/>
  <c r="BF63" i="57"/>
  <c r="BE63" i="57"/>
  <c r="BD63" i="57"/>
  <c r="BD65" i="57" s="1"/>
  <c r="BC63" i="57"/>
  <c r="BC65" i="57" s="1"/>
  <c r="BB63" i="57"/>
  <c r="BB65" i="57" s="1"/>
  <c r="BA63" i="57"/>
  <c r="AZ63" i="57"/>
  <c r="BO62" i="57"/>
  <c r="BK60" i="57"/>
  <c r="BJ60" i="57"/>
  <c r="BI60" i="57"/>
  <c r="BH60" i="57"/>
  <c r="BG60" i="57"/>
  <c r="BF60" i="57"/>
  <c r="BE60" i="57"/>
  <c r="BD60" i="57"/>
  <c r="BC60" i="57"/>
  <c r="BB60" i="57"/>
  <c r="BN60" i="57" s="1"/>
  <c r="BA60" i="57"/>
  <c r="BM60" i="57" s="1"/>
  <c r="AZ60" i="57"/>
  <c r="BL60" i="57" s="1"/>
  <c r="BO60" i="57" s="1"/>
  <c r="BM59" i="57"/>
  <c r="BK59" i="57"/>
  <c r="BJ59" i="57"/>
  <c r="BI59" i="57"/>
  <c r="BH59" i="57"/>
  <c r="BG59" i="57"/>
  <c r="BF59" i="57"/>
  <c r="BE59" i="57"/>
  <c r="BD59" i="57"/>
  <c r="BC59" i="57"/>
  <c r="BB59" i="57"/>
  <c r="BA59" i="57"/>
  <c r="AZ59" i="57"/>
  <c r="BL59" i="57" s="1"/>
  <c r="BK58" i="57"/>
  <c r="BJ58" i="57"/>
  <c r="BI58" i="57"/>
  <c r="BH58" i="57"/>
  <c r="BG58" i="57"/>
  <c r="BF58" i="57"/>
  <c r="BE58" i="57"/>
  <c r="BD58" i="57"/>
  <c r="BC58" i="57"/>
  <c r="BB58" i="57"/>
  <c r="BA58" i="57"/>
  <c r="AZ58" i="57"/>
  <c r="BL58" i="57" s="1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BK56" i="57"/>
  <c r="BJ56" i="57"/>
  <c r="BI56" i="57"/>
  <c r="BH56" i="57"/>
  <c r="BG56" i="57"/>
  <c r="BF56" i="57"/>
  <c r="BE56" i="57"/>
  <c r="BD56" i="57"/>
  <c r="BC56" i="57"/>
  <c r="BB56" i="57"/>
  <c r="BA56" i="57"/>
  <c r="BM56" i="57" s="1"/>
  <c r="AZ56" i="57"/>
  <c r="BO55" i="57"/>
  <c r="BN53" i="57"/>
  <c r="BK53" i="57"/>
  <c r="BJ53" i="57"/>
  <c r="BI53" i="57"/>
  <c r="BH53" i="57"/>
  <c r="BG53" i="57"/>
  <c r="BF53" i="57"/>
  <c r="BE53" i="57"/>
  <c r="BD53" i="57"/>
  <c r="BC53" i="57"/>
  <c r="BB53" i="57"/>
  <c r="BA53" i="57"/>
  <c r="BM53" i="57" s="1"/>
  <c r="BO53" i="57" s="1"/>
  <c r="AZ53" i="57"/>
  <c r="BL53" i="57" s="1"/>
  <c r="BK52" i="57"/>
  <c r="BJ52" i="57"/>
  <c r="BI52" i="57"/>
  <c r="BH52" i="57"/>
  <c r="BN52" i="57" s="1"/>
  <c r="BG52" i="57"/>
  <c r="BF52" i="57"/>
  <c r="BE52" i="57"/>
  <c r="BD52" i="57"/>
  <c r="BC52" i="57"/>
  <c r="BB52" i="57"/>
  <c r="BA52" i="57"/>
  <c r="AZ52" i="57"/>
  <c r="BL52" i="57" s="1"/>
  <c r="BK51" i="57"/>
  <c r="BJ51" i="57"/>
  <c r="BI51" i="57"/>
  <c r="BH51" i="57"/>
  <c r="BG51" i="57"/>
  <c r="BF51" i="57"/>
  <c r="BE51" i="57"/>
  <c r="BD51" i="57"/>
  <c r="BC51" i="57"/>
  <c r="BB51" i="57"/>
  <c r="BA51" i="57"/>
  <c r="AZ51" i="57"/>
  <c r="BL51" i="57" s="1"/>
  <c r="BK50" i="57"/>
  <c r="BJ50" i="57"/>
  <c r="BI50" i="57"/>
  <c r="BH50" i="57"/>
  <c r="BG50" i="57"/>
  <c r="BF50" i="57"/>
  <c r="BE50" i="57"/>
  <c r="BD50" i="57"/>
  <c r="BC50" i="57"/>
  <c r="BB50" i="57"/>
  <c r="BN50" i="57" s="1"/>
  <c r="BA50" i="57"/>
  <c r="AZ50" i="57"/>
  <c r="BL50" i="57" s="1"/>
  <c r="BK49" i="57"/>
  <c r="BJ49" i="57"/>
  <c r="BI49" i="57"/>
  <c r="BH49" i="57"/>
  <c r="BG49" i="57"/>
  <c r="BF49" i="57"/>
  <c r="BE49" i="57"/>
  <c r="BD49" i="57"/>
  <c r="BC49" i="57"/>
  <c r="BB49" i="57"/>
  <c r="BN49" i="57" s="1"/>
  <c r="BA49" i="57"/>
  <c r="AZ49" i="57"/>
  <c r="BK48" i="57"/>
  <c r="BJ48" i="57"/>
  <c r="BI48" i="57"/>
  <c r="BH48" i="57"/>
  <c r="BN48" i="57" s="1"/>
  <c r="BG48" i="57"/>
  <c r="BF48" i="57"/>
  <c r="BE48" i="57"/>
  <c r="BD48" i="57"/>
  <c r="BC48" i="57"/>
  <c r="BB48" i="57"/>
  <c r="BA48" i="57"/>
  <c r="AZ48" i="57"/>
  <c r="BL48" i="57" s="1"/>
  <c r="BK47" i="57"/>
  <c r="BJ47" i="57"/>
  <c r="BI47" i="57"/>
  <c r="BH47" i="57"/>
  <c r="BG47" i="57"/>
  <c r="BF47" i="57"/>
  <c r="BE47" i="57"/>
  <c r="BD47" i="57"/>
  <c r="BC47" i="57"/>
  <c r="BB47" i="57"/>
  <c r="BA47" i="57"/>
  <c r="AZ47" i="57"/>
  <c r="BL47" i="57" s="1"/>
  <c r="BK46" i="57"/>
  <c r="BJ46" i="57"/>
  <c r="BI46" i="57"/>
  <c r="BH46" i="57"/>
  <c r="BG46" i="57"/>
  <c r="BF46" i="57"/>
  <c r="BE46" i="57"/>
  <c r="BD46" i="57"/>
  <c r="BC46" i="57"/>
  <c r="BB46" i="57"/>
  <c r="BN46" i="57" s="1"/>
  <c r="BA46" i="57"/>
  <c r="AZ46" i="57"/>
  <c r="BN45" i="57"/>
  <c r="BK45" i="57"/>
  <c r="BJ45" i="57"/>
  <c r="BI45" i="57"/>
  <c r="BH45" i="57"/>
  <c r="BG45" i="57"/>
  <c r="BF45" i="57"/>
  <c r="BE45" i="57"/>
  <c r="BD45" i="57"/>
  <c r="BC45" i="57"/>
  <c r="BB45" i="57"/>
  <c r="BA45" i="57"/>
  <c r="BM45" i="57" s="1"/>
  <c r="BO45" i="57" s="1"/>
  <c r="AZ45" i="57"/>
  <c r="BL45" i="57" s="1"/>
  <c r="BK44" i="57"/>
  <c r="BJ44" i="57"/>
  <c r="BI44" i="57"/>
  <c r="BH44" i="57"/>
  <c r="BN44" i="57" s="1"/>
  <c r="BG44" i="57"/>
  <c r="BF44" i="57"/>
  <c r="BE44" i="57"/>
  <c r="BD44" i="57"/>
  <c r="BC44" i="57"/>
  <c r="BB44" i="57"/>
  <c r="BA44" i="57"/>
  <c r="AZ44" i="57"/>
  <c r="BL44" i="57" s="1"/>
  <c r="BK43" i="57"/>
  <c r="BJ43" i="57"/>
  <c r="BI43" i="57"/>
  <c r="BH43" i="57"/>
  <c r="BG43" i="57"/>
  <c r="BF43" i="57"/>
  <c r="BE43" i="57"/>
  <c r="BD43" i="57"/>
  <c r="BC43" i="57"/>
  <c r="BB43" i="57"/>
  <c r="BA43" i="57"/>
  <c r="AZ43" i="57"/>
  <c r="BL43" i="57" s="1"/>
  <c r="BK42" i="57"/>
  <c r="BJ42" i="57"/>
  <c r="BI42" i="57"/>
  <c r="BH42" i="57"/>
  <c r="BG42" i="57"/>
  <c r="BF42" i="57"/>
  <c r="BE42" i="57"/>
  <c r="BD42" i="57"/>
  <c r="BC42" i="57"/>
  <c r="BB42" i="57"/>
  <c r="BN42" i="57" s="1"/>
  <c r="BA42" i="57"/>
  <c r="AZ42" i="57"/>
  <c r="BL42" i="57" s="1"/>
  <c r="BK41" i="57"/>
  <c r="BJ41" i="57"/>
  <c r="BI41" i="57"/>
  <c r="BH41" i="57"/>
  <c r="BG41" i="57"/>
  <c r="BF41" i="57"/>
  <c r="BE41" i="57"/>
  <c r="BD41" i="57"/>
  <c r="BC41" i="57"/>
  <c r="BB41" i="57"/>
  <c r="BN41" i="57" s="1"/>
  <c r="BA41" i="57"/>
  <c r="AZ41" i="57"/>
  <c r="BK40" i="57"/>
  <c r="BJ40" i="57"/>
  <c r="BI40" i="57"/>
  <c r="BH40" i="57"/>
  <c r="BN40" i="57" s="1"/>
  <c r="BG40" i="57"/>
  <c r="BF40" i="57"/>
  <c r="BE40" i="57"/>
  <c r="BD40" i="57"/>
  <c r="BC40" i="57"/>
  <c r="BB40" i="57"/>
  <c r="BA40" i="57"/>
  <c r="AZ40" i="57"/>
  <c r="BL40" i="57" s="1"/>
  <c r="BK39" i="57"/>
  <c r="BJ39" i="57"/>
  <c r="BI39" i="57"/>
  <c r="BH39" i="57"/>
  <c r="BG39" i="57"/>
  <c r="BF39" i="57"/>
  <c r="BE39" i="57"/>
  <c r="BD39" i="57"/>
  <c r="BC39" i="57"/>
  <c r="BB39" i="57"/>
  <c r="BA39" i="57"/>
  <c r="AZ39" i="57"/>
  <c r="BL39" i="57" s="1"/>
  <c r="BK38" i="57"/>
  <c r="BJ38" i="57"/>
  <c r="BI38" i="57"/>
  <c r="BH38" i="57"/>
  <c r="BG38" i="57"/>
  <c r="BF38" i="57"/>
  <c r="BE38" i="57"/>
  <c r="BD38" i="57"/>
  <c r="BC38" i="57"/>
  <c r="BB38" i="57"/>
  <c r="BN38" i="57" s="1"/>
  <c r="BA38" i="57"/>
  <c r="AZ38" i="57"/>
  <c r="BN37" i="57"/>
  <c r="BK37" i="57"/>
  <c r="BJ37" i="57"/>
  <c r="BI37" i="57"/>
  <c r="BH37" i="57"/>
  <c r="BG37" i="57"/>
  <c r="BF37" i="57"/>
  <c r="BE37" i="57"/>
  <c r="BD37" i="57"/>
  <c r="BC37" i="57"/>
  <c r="BB37" i="57"/>
  <c r="BA37" i="57"/>
  <c r="BM37" i="57" s="1"/>
  <c r="BO37" i="57" s="1"/>
  <c r="AZ37" i="57"/>
  <c r="BL37" i="57" s="1"/>
  <c r="BK36" i="57"/>
  <c r="BJ36" i="57"/>
  <c r="BI36" i="57"/>
  <c r="BH36" i="57"/>
  <c r="BN36" i="57" s="1"/>
  <c r="BG36" i="57"/>
  <c r="BF36" i="57"/>
  <c r="BE36" i="57"/>
  <c r="BD36" i="57"/>
  <c r="BC36" i="57"/>
  <c r="BB36" i="57"/>
  <c r="BA36" i="57"/>
  <c r="AZ36" i="57"/>
  <c r="BL36" i="57" s="1"/>
  <c r="BK35" i="57"/>
  <c r="BJ35" i="57"/>
  <c r="BI35" i="57"/>
  <c r="BH35" i="57"/>
  <c r="BG35" i="57"/>
  <c r="BF35" i="57"/>
  <c r="BE35" i="57"/>
  <c r="BD35" i="57"/>
  <c r="BC35" i="57"/>
  <c r="BB35" i="57"/>
  <c r="BA35" i="57"/>
  <c r="AZ35" i="57"/>
  <c r="BL35" i="57" s="1"/>
  <c r="BK34" i="57"/>
  <c r="BJ34" i="57"/>
  <c r="BI34" i="57"/>
  <c r="BH34" i="57"/>
  <c r="BG34" i="57"/>
  <c r="BF34" i="57"/>
  <c r="BE34" i="57"/>
  <c r="BD34" i="57"/>
  <c r="BC34" i="57"/>
  <c r="BB34" i="57"/>
  <c r="BN34" i="57" s="1"/>
  <c r="BA34" i="57"/>
  <c r="AZ34" i="57"/>
  <c r="BL34" i="57" s="1"/>
  <c r="BK33" i="57"/>
  <c r="BJ33" i="57"/>
  <c r="BI33" i="57"/>
  <c r="BH33" i="57"/>
  <c r="BG33" i="57"/>
  <c r="BF33" i="57"/>
  <c r="BE33" i="57"/>
  <c r="BD33" i="57"/>
  <c r="BC33" i="57"/>
  <c r="BB33" i="57"/>
  <c r="BN33" i="57" s="1"/>
  <c r="BA33" i="57"/>
  <c r="AZ33" i="57"/>
  <c r="BK32" i="57"/>
  <c r="BJ32" i="57"/>
  <c r="BI32" i="57"/>
  <c r="BH32" i="57"/>
  <c r="BN32" i="57" s="1"/>
  <c r="BG32" i="57"/>
  <c r="BF32" i="57"/>
  <c r="BE32" i="57"/>
  <c r="BD32" i="57"/>
  <c r="BC32" i="57"/>
  <c r="BB32" i="57"/>
  <c r="BA32" i="57"/>
  <c r="AZ32" i="57"/>
  <c r="BL32" i="57" s="1"/>
  <c r="BK31" i="57"/>
  <c r="BJ31" i="57"/>
  <c r="BI31" i="57"/>
  <c r="BH31" i="57"/>
  <c r="BG31" i="57"/>
  <c r="BF31" i="57"/>
  <c r="BE31" i="57"/>
  <c r="BD31" i="57"/>
  <c r="BC31" i="57"/>
  <c r="BB31" i="57"/>
  <c r="BA31" i="57"/>
  <c r="AZ31" i="57"/>
  <c r="BL31" i="57" s="1"/>
  <c r="BK30" i="57"/>
  <c r="BJ30" i="57"/>
  <c r="BI30" i="57"/>
  <c r="BH30" i="57"/>
  <c r="BG30" i="57"/>
  <c r="BF30" i="57"/>
  <c r="BE30" i="57"/>
  <c r="BD30" i="57"/>
  <c r="BC30" i="57"/>
  <c r="BB30" i="57"/>
  <c r="BN30" i="57" s="1"/>
  <c r="BA30" i="57"/>
  <c r="AZ30" i="57"/>
  <c r="BN29" i="57"/>
  <c r="BK29" i="57"/>
  <c r="BJ29" i="57"/>
  <c r="BI29" i="57"/>
  <c r="BH29" i="57"/>
  <c r="BG29" i="57"/>
  <c r="BF29" i="57"/>
  <c r="BE29" i="57"/>
  <c r="BD29" i="57"/>
  <c r="BC29" i="57"/>
  <c r="BB29" i="57"/>
  <c r="BA29" i="57"/>
  <c r="BM29" i="57" s="1"/>
  <c r="BO29" i="57" s="1"/>
  <c r="AZ29" i="57"/>
  <c r="BL29" i="57" s="1"/>
  <c r="BK28" i="57"/>
  <c r="BJ28" i="57"/>
  <c r="BI28" i="57"/>
  <c r="BH28" i="57"/>
  <c r="BN28" i="57" s="1"/>
  <c r="BG28" i="57"/>
  <c r="BF28" i="57"/>
  <c r="BE28" i="57"/>
  <c r="BD28" i="57"/>
  <c r="BC28" i="57"/>
  <c r="BB28" i="57"/>
  <c r="BA28" i="57"/>
  <c r="AZ28" i="57"/>
  <c r="BL28" i="57" s="1"/>
  <c r="BK27" i="57"/>
  <c r="BJ27" i="57"/>
  <c r="BI27" i="57"/>
  <c r="BH27" i="57"/>
  <c r="BG27" i="57"/>
  <c r="BF27" i="57"/>
  <c r="BE27" i="57"/>
  <c r="BD27" i="57"/>
  <c r="BC27" i="57"/>
  <c r="BB27" i="57"/>
  <c r="BA27" i="57"/>
  <c r="AZ27" i="57"/>
  <c r="BL27" i="57" s="1"/>
  <c r="BK26" i="57"/>
  <c r="BJ26" i="57"/>
  <c r="BI26" i="57"/>
  <c r="BH26" i="57"/>
  <c r="BG26" i="57"/>
  <c r="BF26" i="57"/>
  <c r="BE26" i="57"/>
  <c r="BD26" i="57"/>
  <c r="BC26" i="57"/>
  <c r="BB26" i="57"/>
  <c r="BA26" i="57"/>
  <c r="AZ26" i="57"/>
  <c r="AZ54" i="57" s="1"/>
  <c r="BO25" i="57"/>
  <c r="BN23" i="57"/>
  <c r="BK23" i="57"/>
  <c r="BJ23" i="57"/>
  <c r="BI23" i="57"/>
  <c r="BH23" i="57"/>
  <c r="BG23" i="57"/>
  <c r="BF23" i="57"/>
  <c r="BE23" i="57"/>
  <c r="BD23" i="57"/>
  <c r="BC23" i="57"/>
  <c r="BB23" i="57"/>
  <c r="BA23" i="57"/>
  <c r="BM23" i="57" s="1"/>
  <c r="AZ23" i="57"/>
  <c r="BK22" i="57"/>
  <c r="BJ22" i="57"/>
  <c r="BI22" i="57"/>
  <c r="BH22" i="57"/>
  <c r="BG22" i="57"/>
  <c r="BF22" i="57"/>
  <c r="BE22" i="57"/>
  <c r="BN22" i="57" s="1"/>
  <c r="BD22" i="57"/>
  <c r="BC22" i="57"/>
  <c r="BB22" i="57"/>
  <c r="BA22" i="57"/>
  <c r="BM22" i="57" s="1"/>
  <c r="AZ22" i="57"/>
  <c r="BK21" i="57"/>
  <c r="BJ21" i="57"/>
  <c r="BI21" i="57"/>
  <c r="BH21" i="57"/>
  <c r="BG21" i="57"/>
  <c r="BM21" i="57" s="1"/>
  <c r="BF21" i="57"/>
  <c r="BE21" i="57"/>
  <c r="BD21" i="57"/>
  <c r="BC21" i="57"/>
  <c r="BB21" i="57"/>
  <c r="BA21" i="57"/>
  <c r="AZ21" i="57"/>
  <c r="BK20" i="57"/>
  <c r="BJ20" i="57"/>
  <c r="BI20" i="57"/>
  <c r="BH20" i="57"/>
  <c r="BG20" i="57"/>
  <c r="BM20" i="57" s="1"/>
  <c r="BF20" i="57"/>
  <c r="BE20" i="57"/>
  <c r="BD20" i="57"/>
  <c r="BC20" i="57"/>
  <c r="BB20" i="57"/>
  <c r="BA20" i="57"/>
  <c r="AZ20" i="57"/>
  <c r="BK19" i="57"/>
  <c r="BJ19" i="57"/>
  <c r="BI19" i="57"/>
  <c r="BH19" i="57"/>
  <c r="BG19" i="57"/>
  <c r="BF19" i="57"/>
  <c r="BE19" i="57"/>
  <c r="BD19" i="57"/>
  <c r="BC19" i="57"/>
  <c r="BB19" i="57"/>
  <c r="BN19" i="57" s="1"/>
  <c r="BA19" i="57"/>
  <c r="BM19" i="57" s="1"/>
  <c r="AZ19" i="57"/>
  <c r="BM18" i="57"/>
  <c r="BK18" i="57"/>
  <c r="BJ18" i="57"/>
  <c r="BI18" i="57"/>
  <c r="BH18" i="57"/>
  <c r="BG18" i="57"/>
  <c r="BF18" i="57"/>
  <c r="BE18" i="57"/>
  <c r="BN18" i="57" s="1"/>
  <c r="BD18" i="57"/>
  <c r="BC18" i="57"/>
  <c r="BB18" i="57"/>
  <c r="BA18" i="57"/>
  <c r="AZ18" i="57"/>
  <c r="BL18" i="57" s="1"/>
  <c r="BM17" i="57"/>
  <c r="BK17" i="57"/>
  <c r="BJ17" i="57"/>
  <c r="BI17" i="57"/>
  <c r="BH17" i="57"/>
  <c r="BG17" i="57"/>
  <c r="BF17" i="57"/>
  <c r="BE17" i="57"/>
  <c r="BN17" i="57" s="1"/>
  <c r="BD17" i="57"/>
  <c r="BC17" i="57"/>
  <c r="BB17" i="57"/>
  <c r="BA17" i="57"/>
  <c r="AZ17" i="57"/>
  <c r="BL17" i="57" s="1"/>
  <c r="BK16" i="57"/>
  <c r="BJ16" i="57"/>
  <c r="BI16" i="57"/>
  <c r="BH16" i="57"/>
  <c r="BG16" i="57"/>
  <c r="BF16" i="57"/>
  <c r="BE16" i="57"/>
  <c r="BD16" i="57"/>
  <c r="BC16" i="57"/>
  <c r="BB16" i="57"/>
  <c r="BN16" i="57" s="1"/>
  <c r="BA16" i="57"/>
  <c r="AZ16" i="57"/>
  <c r="BN15" i="57"/>
  <c r="BK15" i="57"/>
  <c r="BJ15" i="57"/>
  <c r="BI15" i="57"/>
  <c r="BH15" i="57"/>
  <c r="BG15" i="57"/>
  <c r="BF15" i="57"/>
  <c r="BE15" i="57"/>
  <c r="BD15" i="57"/>
  <c r="BC15" i="57"/>
  <c r="BB15" i="57"/>
  <c r="BA15" i="57"/>
  <c r="BM15" i="57" s="1"/>
  <c r="AZ15" i="57"/>
  <c r="BK14" i="57"/>
  <c r="BJ14" i="57"/>
  <c r="BI14" i="57"/>
  <c r="BH14" i="57"/>
  <c r="BG14" i="57"/>
  <c r="BF14" i="57"/>
  <c r="BE14" i="57"/>
  <c r="BN14" i="57" s="1"/>
  <c r="BD14" i="57"/>
  <c r="BC14" i="57"/>
  <c r="BB14" i="57"/>
  <c r="BA14" i="57"/>
  <c r="BM14" i="57" s="1"/>
  <c r="AZ14" i="57"/>
  <c r="BK13" i="57"/>
  <c r="BJ13" i="57"/>
  <c r="BI13" i="57"/>
  <c r="BH13" i="57"/>
  <c r="BH24" i="57" s="1"/>
  <c r="BG13" i="57"/>
  <c r="BM13" i="57" s="1"/>
  <c r="BF13" i="57"/>
  <c r="BE13" i="57"/>
  <c r="BD13" i="57"/>
  <c r="BC13" i="57"/>
  <c r="BB13" i="57"/>
  <c r="BA13" i="57"/>
  <c r="AZ13" i="57"/>
  <c r="BK12" i="57"/>
  <c r="BJ12" i="57"/>
  <c r="BI12" i="57"/>
  <c r="BH12" i="57"/>
  <c r="BG12" i="57"/>
  <c r="BM12" i="57" s="1"/>
  <c r="BF12" i="57"/>
  <c r="BE12" i="57"/>
  <c r="BD12" i="57"/>
  <c r="BC12" i="57"/>
  <c r="BB12" i="57"/>
  <c r="BA12" i="57"/>
  <c r="AZ12" i="57"/>
  <c r="BK11" i="57"/>
  <c r="BJ11" i="57"/>
  <c r="BI11" i="57"/>
  <c r="BH11" i="57"/>
  <c r="BG11" i="57"/>
  <c r="BF11" i="57"/>
  <c r="BE11" i="57"/>
  <c r="BD11" i="57"/>
  <c r="BC11" i="57"/>
  <c r="BB11" i="57"/>
  <c r="BN11" i="57" s="1"/>
  <c r="BA11" i="57"/>
  <c r="BM11" i="57" s="1"/>
  <c r="AZ11" i="57"/>
  <c r="BM10" i="57"/>
  <c r="BK10" i="57"/>
  <c r="BJ10" i="57"/>
  <c r="BI10" i="57"/>
  <c r="BH10" i="57"/>
  <c r="BG10" i="57"/>
  <c r="BF10" i="57"/>
  <c r="BE10" i="57"/>
  <c r="BN10" i="57" s="1"/>
  <c r="BD10" i="57"/>
  <c r="BC10" i="57"/>
  <c r="BB10" i="57"/>
  <c r="BA10" i="57"/>
  <c r="AZ10" i="57"/>
  <c r="BL10" i="57" s="1"/>
  <c r="BM9" i="57"/>
  <c r="BK9" i="57"/>
  <c r="BJ9" i="57"/>
  <c r="BI9" i="57"/>
  <c r="BH9" i="57"/>
  <c r="BG9" i="57"/>
  <c r="BF9" i="57"/>
  <c r="BE9" i="57"/>
  <c r="BN9" i="57" s="1"/>
  <c r="BD9" i="57"/>
  <c r="BC9" i="57"/>
  <c r="BB9" i="57"/>
  <c r="BA9" i="57"/>
  <c r="AZ9" i="57"/>
  <c r="BL9" i="57" s="1"/>
  <c r="BK8" i="57"/>
  <c r="BJ8" i="57"/>
  <c r="BI8" i="57"/>
  <c r="BH8" i="57"/>
  <c r="BG8" i="57"/>
  <c r="BF8" i="57"/>
  <c r="BE8" i="57"/>
  <c r="BD8" i="57"/>
  <c r="BC8" i="57"/>
  <c r="BC24" i="57" s="1"/>
  <c r="BC67" i="57" s="1"/>
  <c r="BC71" i="57" s="1"/>
  <c r="BB8" i="57"/>
  <c r="BN8" i="57" s="1"/>
  <c r="BA8" i="57"/>
  <c r="AZ8" i="57"/>
  <c r="BN7" i="57"/>
  <c r="BK7" i="57"/>
  <c r="BJ7" i="57"/>
  <c r="BI7" i="57"/>
  <c r="BH7" i="57"/>
  <c r="BG7" i="57"/>
  <c r="BF7" i="57"/>
  <c r="BE7" i="57"/>
  <c r="BD7" i="57"/>
  <c r="BC7" i="57"/>
  <c r="BB7" i="57"/>
  <c r="BA7" i="57"/>
  <c r="BM7" i="57" s="1"/>
  <c r="AZ7" i="57"/>
  <c r="BK6" i="57"/>
  <c r="BJ6" i="57"/>
  <c r="BI6" i="57"/>
  <c r="BI24" i="57" s="1"/>
  <c r="BH6" i="57"/>
  <c r="BG6" i="57"/>
  <c r="BF6" i="57"/>
  <c r="BE6" i="57"/>
  <c r="BN6" i="57" s="1"/>
  <c r="BD6" i="57"/>
  <c r="BD24" i="57" s="1"/>
  <c r="BC6" i="57"/>
  <c r="BB6" i="57"/>
  <c r="BB24" i="57" s="1"/>
  <c r="BA6" i="57"/>
  <c r="BA24" i="57" s="1"/>
  <c r="BA67" i="57" s="1"/>
  <c r="BA71" i="57" s="1"/>
  <c r="AZ6" i="57"/>
  <c r="AZ24" i="57" s="1"/>
  <c r="BA71" i="69" l="1"/>
  <c r="BA71" i="56"/>
  <c r="BN21" i="56"/>
  <c r="BH24" i="56"/>
  <c r="BN13" i="56"/>
  <c r="BH24" i="59"/>
  <c r="BH67" i="59" s="1"/>
  <c r="BH71" i="59" s="1"/>
  <c r="BN13" i="59"/>
  <c r="BN13" i="58"/>
  <c r="BH24" i="58"/>
  <c r="BN41" i="69"/>
  <c r="BN10" i="69"/>
  <c r="BN6" i="69"/>
  <c r="BK24" i="56"/>
  <c r="BN19" i="56"/>
  <c r="BN17" i="56"/>
  <c r="BN41" i="56"/>
  <c r="BN10" i="56"/>
  <c r="BN8" i="59"/>
  <c r="BN10" i="59"/>
  <c r="BN40" i="58"/>
  <c r="BN19" i="58"/>
  <c r="BN20" i="58"/>
  <c r="BN18" i="58"/>
  <c r="AN67" i="60"/>
  <c r="AR67" i="60"/>
  <c r="AV67" i="60"/>
  <c r="AP67" i="60"/>
  <c r="AM67" i="60"/>
  <c r="AT67" i="60"/>
  <c r="AY81" i="60"/>
  <c r="BB61" i="60"/>
  <c r="BB30" i="60"/>
  <c r="BB27" i="60"/>
  <c r="BB35" i="60"/>
  <c r="BB43" i="60"/>
  <c r="BB47" i="60"/>
  <c r="AZ28" i="60"/>
  <c r="BB28" i="60" s="1"/>
  <c r="AY29" i="60"/>
  <c r="AZ32" i="60"/>
  <c r="BB32" i="60" s="1"/>
  <c r="AY33" i="60"/>
  <c r="AZ36" i="60"/>
  <c r="BB36" i="60" s="1"/>
  <c r="AY37" i="60"/>
  <c r="AY41" i="60"/>
  <c r="AZ44" i="60"/>
  <c r="BB44" i="60" s="1"/>
  <c r="AY45" i="60"/>
  <c r="AZ48" i="60"/>
  <c r="BB48" i="60" s="1"/>
  <c r="AY49" i="60"/>
  <c r="AZ52" i="60"/>
  <c r="BB52" i="60" s="1"/>
  <c r="AY53" i="60"/>
  <c r="BB38" i="60"/>
  <c r="BB42" i="60"/>
  <c r="BB51" i="60"/>
  <c r="AY26" i="60"/>
  <c r="BB26" i="60" s="1"/>
  <c r="AZ29" i="60"/>
  <c r="BB29" i="60" s="1"/>
  <c r="AY30" i="60"/>
  <c r="AZ33" i="60"/>
  <c r="AY34" i="60"/>
  <c r="BB34" i="60" s="1"/>
  <c r="AZ37" i="60"/>
  <c r="BB37" i="60" s="1"/>
  <c r="AY38" i="60"/>
  <c r="AZ41" i="60"/>
  <c r="AY42" i="60"/>
  <c r="AZ45" i="60"/>
  <c r="BB45" i="60" s="1"/>
  <c r="AY46" i="60"/>
  <c r="BB46" i="60" s="1"/>
  <c r="AZ49" i="60"/>
  <c r="AY50" i="60"/>
  <c r="BB50" i="60" s="1"/>
  <c r="AZ53" i="60"/>
  <c r="BB53" i="60" s="1"/>
  <c r="BB11" i="60"/>
  <c r="BB12" i="60"/>
  <c r="BB14" i="60"/>
  <c r="BB15" i="60"/>
  <c r="BB16" i="60"/>
  <c r="BB18" i="60"/>
  <c r="BB20" i="60"/>
  <c r="BB22" i="60"/>
  <c r="BO11" i="69"/>
  <c r="BO14" i="69"/>
  <c r="BO74" i="69"/>
  <c r="BO7" i="69"/>
  <c r="BO21" i="69"/>
  <c r="BO12" i="69"/>
  <c r="BO13" i="69"/>
  <c r="BO23" i="69"/>
  <c r="BI67" i="69"/>
  <c r="BI71" i="69" s="1"/>
  <c r="BO9" i="69"/>
  <c r="BO17" i="69"/>
  <c r="BG24" i="69"/>
  <c r="BH67" i="69"/>
  <c r="BH71" i="69" s="1"/>
  <c r="AZ61" i="69"/>
  <c r="BL57" i="69"/>
  <c r="BO77" i="69"/>
  <c r="BB67" i="69"/>
  <c r="BB71" i="69" s="1"/>
  <c r="BO10" i="69"/>
  <c r="BO18" i="69"/>
  <c r="BN27" i="69"/>
  <c r="BM32" i="69"/>
  <c r="BO32" i="69" s="1"/>
  <c r="BN35" i="69"/>
  <c r="BM40" i="69"/>
  <c r="BO40" i="69" s="1"/>
  <c r="BN43" i="69"/>
  <c r="BM48" i="69"/>
  <c r="BO48" i="69" s="1"/>
  <c r="BN51" i="69"/>
  <c r="BM58" i="69"/>
  <c r="BO58" i="69" s="1"/>
  <c r="BO59" i="69"/>
  <c r="BM73" i="69"/>
  <c r="BO73" i="69" s="1"/>
  <c r="BO81" i="69"/>
  <c r="BM8" i="69"/>
  <c r="BO8" i="69" s="1"/>
  <c r="BL13" i="69"/>
  <c r="BM16" i="69"/>
  <c r="BO16" i="69" s="1"/>
  <c r="BL21" i="69"/>
  <c r="BN26" i="69"/>
  <c r="BL30" i="69"/>
  <c r="BL33" i="69"/>
  <c r="BL38" i="69"/>
  <c r="BL41" i="69"/>
  <c r="BL46" i="69"/>
  <c r="BL49" i="69"/>
  <c r="BL63" i="69"/>
  <c r="BN63" i="69"/>
  <c r="BO76" i="69"/>
  <c r="AZ67" i="69"/>
  <c r="AZ71" i="69" s="1"/>
  <c r="BD67" i="69"/>
  <c r="BD71" i="69" s="1"/>
  <c r="BM6" i="69"/>
  <c r="BN12" i="69"/>
  <c r="BN13" i="69"/>
  <c r="BL14" i="69"/>
  <c r="BN20" i="69"/>
  <c r="BN21" i="69"/>
  <c r="BL22" i="69"/>
  <c r="BO22" i="69" s="1"/>
  <c r="BM28" i="69"/>
  <c r="BO28" i="69" s="1"/>
  <c r="BN31" i="69"/>
  <c r="BM33" i="69"/>
  <c r="BO33" i="69" s="1"/>
  <c r="BM36" i="69"/>
  <c r="BO36" i="69" s="1"/>
  <c r="BN39" i="69"/>
  <c r="BM41" i="69"/>
  <c r="BM44" i="69"/>
  <c r="BO44" i="69" s="1"/>
  <c r="BN47" i="69"/>
  <c r="BM49" i="69"/>
  <c r="BO49" i="69" s="1"/>
  <c r="BM52" i="69"/>
  <c r="BO52" i="69" s="1"/>
  <c r="BL56" i="69"/>
  <c r="BO56" i="69" s="1"/>
  <c r="BM63" i="69"/>
  <c r="BO63" i="69" s="1"/>
  <c r="BN75" i="69"/>
  <c r="BM78" i="69"/>
  <c r="BN59" i="69"/>
  <c r="BL75" i="69"/>
  <c r="BO75" i="69" s="1"/>
  <c r="BL8" i="69"/>
  <c r="BL12" i="69"/>
  <c r="BL16" i="69"/>
  <c r="BL20" i="69"/>
  <c r="BO20" i="69" s="1"/>
  <c r="BL26" i="69"/>
  <c r="BM27" i="69"/>
  <c r="BO27" i="69" s="1"/>
  <c r="BM31" i="69"/>
  <c r="BO31" i="69" s="1"/>
  <c r="BM35" i="69"/>
  <c r="BO35" i="69" s="1"/>
  <c r="BM39" i="69"/>
  <c r="BO39" i="69" s="1"/>
  <c r="BM43" i="69"/>
  <c r="BO43" i="69" s="1"/>
  <c r="BM47" i="69"/>
  <c r="BO47" i="69" s="1"/>
  <c r="BM51" i="69"/>
  <c r="BO51" i="69" s="1"/>
  <c r="BM57" i="69"/>
  <c r="BO57" i="69" s="1"/>
  <c r="BN58" i="69"/>
  <c r="BL74" i="69"/>
  <c r="BL78" i="69"/>
  <c r="BK24" i="69"/>
  <c r="BL7" i="69"/>
  <c r="BL11" i="69"/>
  <c r="BL15" i="69"/>
  <c r="BO15" i="69" s="1"/>
  <c r="BL19" i="69"/>
  <c r="BO19" i="69" s="1"/>
  <c r="BL23" i="69"/>
  <c r="BM30" i="69"/>
  <c r="BM34" i="69"/>
  <c r="BO34" i="69" s="1"/>
  <c r="BM38" i="69"/>
  <c r="BO38" i="69" s="1"/>
  <c r="BM42" i="69"/>
  <c r="BO42" i="69" s="1"/>
  <c r="BM46" i="69"/>
  <c r="BM50" i="69"/>
  <c r="BO50" i="69" s="1"/>
  <c r="BN57" i="69"/>
  <c r="BL77" i="69"/>
  <c r="BM83" i="69"/>
  <c r="BL6" i="69"/>
  <c r="BM26" i="69"/>
  <c r="BO26" i="69" s="1"/>
  <c r="BN56" i="69"/>
  <c r="BL73" i="69"/>
  <c r="BN7" i="56"/>
  <c r="BB24" i="56"/>
  <c r="BB67" i="56" s="1"/>
  <c r="BB71" i="56" s="1"/>
  <c r="BO75" i="56"/>
  <c r="AZ67" i="56"/>
  <c r="AZ71" i="56" s="1"/>
  <c r="BH67" i="56"/>
  <c r="BH71" i="56" s="1"/>
  <c r="BO60" i="56"/>
  <c r="BO8" i="56"/>
  <c r="BO11" i="56"/>
  <c r="BO19" i="56"/>
  <c r="BD67" i="56"/>
  <c r="BD71" i="56" s="1"/>
  <c r="BO58" i="56"/>
  <c r="BO12" i="56"/>
  <c r="BO16" i="56"/>
  <c r="BO18" i="56"/>
  <c r="BM63" i="56"/>
  <c r="BO77" i="56"/>
  <c r="BI67" i="56"/>
  <c r="BI71" i="56" s="1"/>
  <c r="BL57" i="56"/>
  <c r="BN76" i="56"/>
  <c r="BL7" i="56"/>
  <c r="BO7" i="56" s="1"/>
  <c r="BL9" i="56"/>
  <c r="BO9" i="56" s="1"/>
  <c r="BL11" i="56"/>
  <c r="BL13" i="56"/>
  <c r="BO13" i="56" s="1"/>
  <c r="BL15" i="56"/>
  <c r="BO15" i="56" s="1"/>
  <c r="BL17" i="56"/>
  <c r="BO17" i="56" s="1"/>
  <c r="BL19" i="56"/>
  <c r="BL21" i="56"/>
  <c r="BO21" i="56" s="1"/>
  <c r="BL23" i="56"/>
  <c r="BO23" i="56" s="1"/>
  <c r="BN26" i="56"/>
  <c r="BL28" i="56"/>
  <c r="BL30" i="56"/>
  <c r="BL32" i="56"/>
  <c r="BL34" i="56"/>
  <c r="BL36" i="56"/>
  <c r="BL38" i="56"/>
  <c r="BL40" i="56"/>
  <c r="BL42" i="56"/>
  <c r="BL44" i="56"/>
  <c r="BL46" i="56"/>
  <c r="BL48" i="56"/>
  <c r="BL50" i="56"/>
  <c r="BL52" i="56"/>
  <c r="BG67" i="56"/>
  <c r="BG71" i="56" s="1"/>
  <c r="BM57" i="56"/>
  <c r="BO57" i="56" s="1"/>
  <c r="BM59" i="56"/>
  <c r="BO59" i="56" s="1"/>
  <c r="BM73" i="56"/>
  <c r="BL75" i="56"/>
  <c r="BN77" i="56"/>
  <c r="BM85" i="56"/>
  <c r="BO10" i="56"/>
  <c r="BO14" i="56"/>
  <c r="BO20" i="56"/>
  <c r="BO22" i="56"/>
  <c r="BO74" i="56"/>
  <c r="BC67" i="56"/>
  <c r="BC71" i="56" s="1"/>
  <c r="BM28" i="56"/>
  <c r="BO28" i="56" s="1"/>
  <c r="BM30" i="56"/>
  <c r="BO30" i="56" s="1"/>
  <c r="BM32" i="56"/>
  <c r="BO32" i="56" s="1"/>
  <c r="BM34" i="56"/>
  <c r="BM36" i="56"/>
  <c r="BO36" i="56" s="1"/>
  <c r="BM38" i="56"/>
  <c r="BO38" i="56" s="1"/>
  <c r="BM40" i="56"/>
  <c r="BO40" i="56" s="1"/>
  <c r="BM42" i="56"/>
  <c r="BM44" i="56"/>
  <c r="BO44" i="56" s="1"/>
  <c r="BM46" i="56"/>
  <c r="BO46" i="56" s="1"/>
  <c r="BM48" i="56"/>
  <c r="BO48" i="56" s="1"/>
  <c r="BM50" i="56"/>
  <c r="BM52" i="56"/>
  <c r="BO52" i="56" s="1"/>
  <c r="BN57" i="56"/>
  <c r="BN59" i="56"/>
  <c r="BL63" i="56"/>
  <c r="BN64" i="56"/>
  <c r="BN73" i="56"/>
  <c r="BL76" i="56"/>
  <c r="BO76" i="56" s="1"/>
  <c r="BN78" i="56"/>
  <c r="BL81" i="56"/>
  <c r="BO81" i="56" s="1"/>
  <c r="BL26" i="56"/>
  <c r="BM56" i="56"/>
  <c r="BO56" i="56" s="1"/>
  <c r="BN63" i="56"/>
  <c r="BL6" i="56"/>
  <c r="BO6" i="56" s="1"/>
  <c r="BM26" i="56"/>
  <c r="BO26" i="56" s="1"/>
  <c r="BN56" i="56"/>
  <c r="BL73" i="56"/>
  <c r="BB67" i="59"/>
  <c r="BB71" i="59" s="1"/>
  <c r="BL26" i="59"/>
  <c r="BK67" i="59"/>
  <c r="BN26" i="59"/>
  <c r="BM28" i="59"/>
  <c r="BO28" i="59" s="1"/>
  <c r="BM30" i="59"/>
  <c r="BO30" i="59" s="1"/>
  <c r="BM32" i="59"/>
  <c r="BO32" i="59" s="1"/>
  <c r="BM34" i="59"/>
  <c r="BO34" i="59" s="1"/>
  <c r="BM36" i="59"/>
  <c r="BO36" i="59" s="1"/>
  <c r="BM38" i="59"/>
  <c r="BO38" i="59" s="1"/>
  <c r="BM40" i="59"/>
  <c r="BO40" i="59" s="1"/>
  <c r="BM42" i="59"/>
  <c r="BO42" i="59" s="1"/>
  <c r="BM44" i="59"/>
  <c r="BO44" i="59" s="1"/>
  <c r="BM46" i="59"/>
  <c r="BO46" i="59" s="1"/>
  <c r="BM48" i="59"/>
  <c r="BO48" i="59" s="1"/>
  <c r="BM50" i="59"/>
  <c r="BO50" i="59" s="1"/>
  <c r="BM52" i="59"/>
  <c r="BO52" i="59" s="1"/>
  <c r="BM64" i="59"/>
  <c r="BO64" i="59" s="1"/>
  <c r="BO81" i="59"/>
  <c r="AZ67" i="59"/>
  <c r="AZ71" i="59" s="1"/>
  <c r="BD67" i="59"/>
  <c r="BD71" i="59" s="1"/>
  <c r="BL63" i="59"/>
  <c r="BM27" i="59"/>
  <c r="BO27" i="59" s="1"/>
  <c r="BM29" i="59"/>
  <c r="BO29" i="59" s="1"/>
  <c r="BM31" i="59"/>
  <c r="BO31" i="59" s="1"/>
  <c r="BM33" i="59"/>
  <c r="BO33" i="59" s="1"/>
  <c r="BM35" i="59"/>
  <c r="BO35" i="59" s="1"/>
  <c r="BM37" i="59"/>
  <c r="BO37" i="59" s="1"/>
  <c r="BM39" i="59"/>
  <c r="BO39" i="59" s="1"/>
  <c r="BM41" i="59"/>
  <c r="BO41" i="59" s="1"/>
  <c r="BM43" i="59"/>
  <c r="BO43" i="59" s="1"/>
  <c r="BM45" i="59"/>
  <c r="BO45" i="59" s="1"/>
  <c r="BM47" i="59"/>
  <c r="BO47" i="59" s="1"/>
  <c r="BM49" i="59"/>
  <c r="BO49" i="59" s="1"/>
  <c r="BM51" i="59"/>
  <c r="BO51" i="59" s="1"/>
  <c r="BM53" i="59"/>
  <c r="BO53" i="59" s="1"/>
  <c r="BN63" i="59"/>
  <c r="BK79" i="59"/>
  <c r="BL6" i="59"/>
  <c r="BO6" i="59" s="1"/>
  <c r="BM26" i="59"/>
  <c r="BO26" i="59" s="1"/>
  <c r="BN56" i="59"/>
  <c r="BL73" i="59"/>
  <c r="BO73" i="59" s="1"/>
  <c r="BN6" i="59"/>
  <c r="BL56" i="59"/>
  <c r="BO56" i="59" s="1"/>
  <c r="BM63" i="59"/>
  <c r="BN73" i="59"/>
  <c r="BO11" i="58"/>
  <c r="BO15" i="58"/>
  <c r="BO16" i="58"/>
  <c r="BA65" i="58"/>
  <c r="BO8" i="58"/>
  <c r="BO41" i="58"/>
  <c r="BO64" i="58"/>
  <c r="BO76" i="58"/>
  <c r="BM6" i="58"/>
  <c r="BO6" i="58" s="1"/>
  <c r="BB24" i="58"/>
  <c r="BB67" i="58" s="1"/>
  <c r="BB71" i="58" s="1"/>
  <c r="BO13" i="58"/>
  <c r="BO17" i="58"/>
  <c r="BO18" i="58"/>
  <c r="BO21" i="58"/>
  <c r="BA24" i="58"/>
  <c r="BA67" i="58" s="1"/>
  <c r="BA71" i="58" s="1"/>
  <c r="BO27" i="58"/>
  <c r="BO35" i="58"/>
  <c r="BO43" i="58"/>
  <c r="BO51" i="58"/>
  <c r="BB79" i="58"/>
  <c r="BN73" i="58"/>
  <c r="BO78" i="58"/>
  <c r="BO19" i="58"/>
  <c r="BO74" i="58"/>
  <c r="BL6" i="58"/>
  <c r="BO9" i="58"/>
  <c r="BO33" i="58"/>
  <c r="BO49" i="58"/>
  <c r="BN6" i="58"/>
  <c r="BL7" i="58"/>
  <c r="BO7" i="58" s="1"/>
  <c r="BB54" i="58"/>
  <c r="BN26" i="58"/>
  <c r="BO29" i="58"/>
  <c r="BO37" i="58"/>
  <c r="BO45" i="58"/>
  <c r="BO53" i="58"/>
  <c r="BM77" i="58"/>
  <c r="BL57" i="58"/>
  <c r="BI24" i="58"/>
  <c r="BI67" i="58" s="1"/>
  <c r="BI71" i="58" s="1"/>
  <c r="BL12" i="58"/>
  <c r="BO12" i="58" s="1"/>
  <c r="BL14" i="58"/>
  <c r="BO14" i="58" s="1"/>
  <c r="BL16" i="58"/>
  <c r="BL18" i="58"/>
  <c r="BL20" i="58"/>
  <c r="BO20" i="58" s="1"/>
  <c r="BL22" i="58"/>
  <c r="BO22" i="58" s="1"/>
  <c r="BL28" i="58"/>
  <c r="BL30" i="58"/>
  <c r="BL32" i="58"/>
  <c r="BL34" i="58"/>
  <c r="BL36" i="58"/>
  <c r="BL38" i="58"/>
  <c r="BL40" i="58"/>
  <c r="BL42" i="58"/>
  <c r="BL44" i="58"/>
  <c r="BL46" i="58"/>
  <c r="BL48" i="58"/>
  <c r="BL50" i="58"/>
  <c r="BL52" i="58"/>
  <c r="BG61" i="58"/>
  <c r="BG67" i="58" s="1"/>
  <c r="BG71" i="58" s="1"/>
  <c r="BM57" i="58"/>
  <c r="BO57" i="58" s="1"/>
  <c r="BM59" i="58"/>
  <c r="BO59" i="58" s="1"/>
  <c r="BM73" i="58"/>
  <c r="BL75" i="58"/>
  <c r="BO75" i="58" s="1"/>
  <c r="BL77" i="58"/>
  <c r="BL8" i="58"/>
  <c r="BL10" i="58"/>
  <c r="BM28" i="58"/>
  <c r="BO28" i="58" s="1"/>
  <c r="BM30" i="58"/>
  <c r="BM32" i="58"/>
  <c r="BM34" i="58"/>
  <c r="BO34" i="58" s="1"/>
  <c r="BM36" i="58"/>
  <c r="BO36" i="58" s="1"/>
  <c r="BM38" i="58"/>
  <c r="BM40" i="58"/>
  <c r="BM42" i="58"/>
  <c r="BO42" i="58" s="1"/>
  <c r="BM44" i="58"/>
  <c r="BO44" i="58" s="1"/>
  <c r="BM46" i="58"/>
  <c r="BM48" i="58"/>
  <c r="BM50" i="58"/>
  <c r="BO50" i="58" s="1"/>
  <c r="BM52" i="58"/>
  <c r="BO52" i="58" s="1"/>
  <c r="BH61" i="58"/>
  <c r="BN57" i="58"/>
  <c r="BN59" i="58"/>
  <c r="BH67" i="58"/>
  <c r="BH71" i="58" s="1"/>
  <c r="BL63" i="58"/>
  <c r="BO63" i="58" s="1"/>
  <c r="BN64" i="58"/>
  <c r="BL26" i="58"/>
  <c r="BM56" i="58"/>
  <c r="BO56" i="58" s="1"/>
  <c r="BN63" i="58"/>
  <c r="BM26" i="58"/>
  <c r="BN56" i="58"/>
  <c r="BL73" i="58"/>
  <c r="BO14" i="57"/>
  <c r="BO56" i="57"/>
  <c r="BO22" i="57"/>
  <c r="BO9" i="57"/>
  <c r="BO17" i="57"/>
  <c r="BG24" i="57"/>
  <c r="AZ61" i="57"/>
  <c r="AZ67" i="57" s="1"/>
  <c r="AZ71" i="57" s="1"/>
  <c r="BL57" i="57"/>
  <c r="BB67" i="57"/>
  <c r="BB71" i="57" s="1"/>
  <c r="BO10" i="57"/>
  <c r="BO18" i="57"/>
  <c r="BN27" i="57"/>
  <c r="BM32" i="57"/>
  <c r="BO32" i="57" s="1"/>
  <c r="BN35" i="57"/>
  <c r="BM40" i="57"/>
  <c r="BO40" i="57" s="1"/>
  <c r="BN43" i="57"/>
  <c r="BM48" i="57"/>
  <c r="BO48" i="57" s="1"/>
  <c r="BN51" i="57"/>
  <c r="BM58" i="57"/>
  <c r="BO58" i="57" s="1"/>
  <c r="BO59" i="57"/>
  <c r="BM73" i="57"/>
  <c r="BO73" i="57" s="1"/>
  <c r="BA79" i="57"/>
  <c r="BO81" i="57"/>
  <c r="BM8" i="57"/>
  <c r="BL13" i="57"/>
  <c r="BO13" i="57" s="1"/>
  <c r="BM16" i="57"/>
  <c r="BO16" i="57" s="1"/>
  <c r="BL21" i="57"/>
  <c r="BO21" i="57" s="1"/>
  <c r="BN26" i="57"/>
  <c r="BL30" i="57"/>
  <c r="BL33" i="57"/>
  <c r="BL38" i="57"/>
  <c r="BL41" i="57"/>
  <c r="BL46" i="57"/>
  <c r="BL49" i="57"/>
  <c r="BL63" i="57"/>
  <c r="BN63" i="57"/>
  <c r="BO76" i="57"/>
  <c r="BD67" i="57"/>
  <c r="BD71" i="57" s="1"/>
  <c r="BM6" i="57"/>
  <c r="BN12" i="57"/>
  <c r="BN13" i="57"/>
  <c r="BL14" i="57"/>
  <c r="BN20" i="57"/>
  <c r="BN21" i="57"/>
  <c r="BL22" i="57"/>
  <c r="BM28" i="57"/>
  <c r="BO28" i="57" s="1"/>
  <c r="BN31" i="57"/>
  <c r="BM33" i="57"/>
  <c r="BM36" i="57"/>
  <c r="BO36" i="57" s="1"/>
  <c r="BN39" i="57"/>
  <c r="BM41" i="57"/>
  <c r="BO41" i="57" s="1"/>
  <c r="BM44" i="57"/>
  <c r="BO44" i="57" s="1"/>
  <c r="BN47" i="57"/>
  <c r="BM49" i="57"/>
  <c r="BM52" i="57"/>
  <c r="BO52" i="57" s="1"/>
  <c r="BL56" i="57"/>
  <c r="BM63" i="57"/>
  <c r="BC79" i="57"/>
  <c r="BN75" i="57"/>
  <c r="BM78" i="57"/>
  <c r="BN59" i="57"/>
  <c r="BL75" i="57"/>
  <c r="BO75" i="57" s="1"/>
  <c r="BL8" i="57"/>
  <c r="BL12" i="57"/>
  <c r="BO12" i="57" s="1"/>
  <c r="BL16" i="57"/>
  <c r="BL20" i="57"/>
  <c r="BO20" i="57" s="1"/>
  <c r="BL26" i="57"/>
  <c r="BM27" i="57"/>
  <c r="BO27" i="57" s="1"/>
  <c r="BM31" i="57"/>
  <c r="BO31" i="57" s="1"/>
  <c r="BM35" i="57"/>
  <c r="BO35" i="57" s="1"/>
  <c r="BM39" i="57"/>
  <c r="BO39" i="57" s="1"/>
  <c r="BM43" i="57"/>
  <c r="BO43" i="57" s="1"/>
  <c r="BM47" i="57"/>
  <c r="BO47" i="57" s="1"/>
  <c r="BM51" i="57"/>
  <c r="BO51" i="57" s="1"/>
  <c r="BH67" i="57"/>
  <c r="BH71" i="57" s="1"/>
  <c r="BM57" i="57"/>
  <c r="BO57" i="57" s="1"/>
  <c r="BN58" i="57"/>
  <c r="BL74" i="57"/>
  <c r="BO74" i="57" s="1"/>
  <c r="BL78" i="57"/>
  <c r="BK24" i="57"/>
  <c r="BL7" i="57"/>
  <c r="BO7" i="57" s="1"/>
  <c r="BL11" i="57"/>
  <c r="BO11" i="57" s="1"/>
  <c r="BL15" i="57"/>
  <c r="BO15" i="57" s="1"/>
  <c r="BL19" i="57"/>
  <c r="BO19" i="57" s="1"/>
  <c r="BL23" i="57"/>
  <c r="BO23" i="57" s="1"/>
  <c r="BM30" i="57"/>
  <c r="BM34" i="57"/>
  <c r="BO34" i="57" s="1"/>
  <c r="BM38" i="57"/>
  <c r="BO38" i="57" s="1"/>
  <c r="BM42" i="57"/>
  <c r="BO42" i="57" s="1"/>
  <c r="BM46" i="57"/>
  <c r="BM50" i="57"/>
  <c r="BO50" i="57" s="1"/>
  <c r="BN57" i="57"/>
  <c r="BI67" i="57"/>
  <c r="BI71" i="57" s="1"/>
  <c r="BL77" i="57"/>
  <c r="BO77" i="57" s="1"/>
  <c r="BM83" i="57"/>
  <c r="BL6" i="57"/>
  <c r="BM26" i="57"/>
  <c r="BO26" i="57" s="1"/>
  <c r="BN56" i="57"/>
  <c r="BL73" i="57"/>
  <c r="BJ85" i="55"/>
  <c r="BI85" i="55"/>
  <c r="BG85" i="55"/>
  <c r="BF85" i="55"/>
  <c r="BE85" i="55"/>
  <c r="BD85" i="55"/>
  <c r="BC85" i="55"/>
  <c r="BB85" i="55"/>
  <c r="BA85" i="55"/>
  <c r="BM85" i="55" s="1"/>
  <c r="AZ85" i="55"/>
  <c r="BL85" i="55" s="1"/>
  <c r="BJ83" i="55"/>
  <c r="BI83" i="55"/>
  <c r="BG83" i="55"/>
  <c r="BF83" i="55"/>
  <c r="BE83" i="55"/>
  <c r="BD83" i="55"/>
  <c r="BC83" i="55"/>
  <c r="BB83" i="55"/>
  <c r="BA83" i="55"/>
  <c r="BM83" i="55" s="1"/>
  <c r="AZ83" i="55"/>
  <c r="BL83" i="55" s="1"/>
  <c r="BI81" i="55"/>
  <c r="BF81" i="55"/>
  <c r="BE81" i="55"/>
  <c r="BD81" i="55"/>
  <c r="BC81" i="55"/>
  <c r="BB81" i="55"/>
  <c r="BA81" i="55"/>
  <c r="AZ81" i="55"/>
  <c r="BL81" i="55" s="1"/>
  <c r="BK78" i="55"/>
  <c r="BJ78" i="55"/>
  <c r="BI78" i="55"/>
  <c r="BH78" i="55"/>
  <c r="BG78" i="55"/>
  <c r="BF78" i="55"/>
  <c r="BE78" i="55"/>
  <c r="BD78" i="55"/>
  <c r="BC78" i="55"/>
  <c r="BB78" i="55"/>
  <c r="BN78" i="55" s="1"/>
  <c r="BA78" i="55"/>
  <c r="BM78" i="55" s="1"/>
  <c r="BO78" i="55" s="1"/>
  <c r="AZ78" i="55"/>
  <c r="BL78" i="55" s="1"/>
  <c r="BK77" i="55"/>
  <c r="BJ77" i="55"/>
  <c r="BI77" i="55"/>
  <c r="BH77" i="55"/>
  <c r="BG77" i="55"/>
  <c r="BF77" i="55"/>
  <c r="BE77" i="55"/>
  <c r="BD77" i="55"/>
  <c r="BC77" i="55"/>
  <c r="BB77" i="55"/>
  <c r="BN77" i="55" s="1"/>
  <c r="BA77" i="55"/>
  <c r="BM77" i="55" s="1"/>
  <c r="BO77" i="55" s="1"/>
  <c r="AZ77" i="55"/>
  <c r="BL77" i="55" s="1"/>
  <c r="BK76" i="55"/>
  <c r="BJ76" i="55"/>
  <c r="BI76" i="55"/>
  <c r="BH76" i="55"/>
  <c r="BG76" i="55"/>
  <c r="BF76" i="55"/>
  <c r="BE76" i="55"/>
  <c r="BD76" i="55"/>
  <c r="BC76" i="55"/>
  <c r="BB76" i="55"/>
  <c r="BN76" i="55" s="1"/>
  <c r="BA76" i="55"/>
  <c r="BM76" i="55" s="1"/>
  <c r="BO76" i="55" s="1"/>
  <c r="AZ76" i="55"/>
  <c r="BL76" i="55" s="1"/>
  <c r="BK75" i="55"/>
  <c r="BJ75" i="55"/>
  <c r="BI75" i="55"/>
  <c r="BH75" i="55"/>
  <c r="BG75" i="55"/>
  <c r="BF75" i="55"/>
  <c r="BE75" i="55"/>
  <c r="BD75" i="55"/>
  <c r="BC75" i="55"/>
  <c r="BB75" i="55"/>
  <c r="BN75" i="55" s="1"/>
  <c r="BA75" i="55"/>
  <c r="BM75" i="55" s="1"/>
  <c r="BO75" i="55" s="1"/>
  <c r="AZ75" i="55"/>
  <c r="BL75" i="55" s="1"/>
  <c r="BK74" i="55"/>
  <c r="BJ74" i="55"/>
  <c r="BI74" i="55"/>
  <c r="BH74" i="55"/>
  <c r="BG74" i="55"/>
  <c r="BF74" i="55"/>
  <c r="BE74" i="55"/>
  <c r="BD74" i="55"/>
  <c r="BC74" i="55"/>
  <c r="BB74" i="55"/>
  <c r="BN74" i="55" s="1"/>
  <c r="BA74" i="55"/>
  <c r="BM74" i="55" s="1"/>
  <c r="BO74" i="55" s="1"/>
  <c r="AZ74" i="55"/>
  <c r="BL74" i="55" s="1"/>
  <c r="BK73" i="55"/>
  <c r="BJ73" i="55"/>
  <c r="BI73" i="55"/>
  <c r="BH73" i="55"/>
  <c r="BG73" i="55"/>
  <c r="BF73" i="55"/>
  <c r="BE73" i="55"/>
  <c r="BD73" i="55"/>
  <c r="BC73" i="55"/>
  <c r="BB73" i="55"/>
  <c r="BN73" i="55" s="1"/>
  <c r="BA73" i="55"/>
  <c r="BM73" i="55" s="1"/>
  <c r="BO73" i="55" s="1"/>
  <c r="AZ73" i="55"/>
  <c r="BL73" i="55" s="1"/>
  <c r="BK64" i="55"/>
  <c r="BJ64" i="55"/>
  <c r="BI64" i="55"/>
  <c r="BH64" i="55"/>
  <c r="BG64" i="55"/>
  <c r="BF64" i="55"/>
  <c r="BE64" i="55"/>
  <c r="BD64" i="55"/>
  <c r="BC64" i="55"/>
  <c r="BB64" i="55"/>
  <c r="BN64" i="55" s="1"/>
  <c r="BA64" i="55"/>
  <c r="BM64" i="55" s="1"/>
  <c r="BO64" i="55" s="1"/>
  <c r="AZ64" i="55"/>
  <c r="BL64" i="55" s="1"/>
  <c r="BK63" i="55"/>
  <c r="BJ63" i="55"/>
  <c r="BI63" i="55"/>
  <c r="BH63" i="55"/>
  <c r="BG63" i="55"/>
  <c r="BF63" i="55"/>
  <c r="BE63" i="55"/>
  <c r="BD63" i="55"/>
  <c r="BC63" i="55"/>
  <c r="BB63" i="55"/>
  <c r="BN63" i="55" s="1"/>
  <c r="BA63" i="55"/>
  <c r="BM63" i="55" s="1"/>
  <c r="BO63" i="55" s="1"/>
  <c r="AZ63" i="55"/>
  <c r="BL63" i="55" s="1"/>
  <c r="BK60" i="55"/>
  <c r="BJ60" i="55"/>
  <c r="BI60" i="55"/>
  <c r="BH60" i="55"/>
  <c r="BG60" i="55"/>
  <c r="BF60" i="55"/>
  <c r="BE60" i="55"/>
  <c r="BD60" i="55"/>
  <c r="BC60" i="55"/>
  <c r="BB60" i="55"/>
  <c r="BN60" i="55" s="1"/>
  <c r="BA60" i="55"/>
  <c r="BM60" i="55" s="1"/>
  <c r="BO60" i="55" s="1"/>
  <c r="AZ60" i="55"/>
  <c r="BL60" i="55" s="1"/>
  <c r="BK59" i="55"/>
  <c r="BJ59" i="55"/>
  <c r="BI59" i="55"/>
  <c r="BH59" i="55"/>
  <c r="BG59" i="55"/>
  <c r="BF59" i="55"/>
  <c r="BE59" i="55"/>
  <c r="BD59" i="55"/>
  <c r="BC59" i="55"/>
  <c r="BB59" i="55"/>
  <c r="BN59" i="55" s="1"/>
  <c r="BA59" i="55"/>
  <c r="BM59" i="55" s="1"/>
  <c r="BO59" i="55" s="1"/>
  <c r="AZ59" i="55"/>
  <c r="BL59" i="55" s="1"/>
  <c r="BK58" i="55"/>
  <c r="BJ58" i="55"/>
  <c r="BI58" i="55"/>
  <c r="BH58" i="55"/>
  <c r="BG58" i="55"/>
  <c r="BF58" i="55"/>
  <c r="BE58" i="55"/>
  <c r="BD58" i="55"/>
  <c r="BC58" i="55"/>
  <c r="BB58" i="55"/>
  <c r="BN58" i="55" s="1"/>
  <c r="BA58" i="55"/>
  <c r="BM58" i="55" s="1"/>
  <c r="BO58" i="55" s="1"/>
  <c r="AZ58" i="55"/>
  <c r="BL58" i="55" s="1"/>
  <c r="BK57" i="55"/>
  <c r="BJ57" i="55"/>
  <c r="BI57" i="55"/>
  <c r="BH57" i="55"/>
  <c r="BG57" i="55"/>
  <c r="BF57" i="55"/>
  <c r="BE57" i="55"/>
  <c r="BD57" i="55"/>
  <c r="BC57" i="55"/>
  <c r="BB57" i="55"/>
  <c r="BN57" i="55" s="1"/>
  <c r="BA57" i="55"/>
  <c r="BM57" i="55" s="1"/>
  <c r="BO57" i="55" s="1"/>
  <c r="AZ57" i="55"/>
  <c r="BL57" i="55" s="1"/>
  <c r="BK56" i="55"/>
  <c r="BJ56" i="55"/>
  <c r="BI56" i="55"/>
  <c r="BH56" i="55"/>
  <c r="BG56" i="55"/>
  <c r="BF56" i="55"/>
  <c r="BE56" i="55"/>
  <c r="BD56" i="55"/>
  <c r="BC56" i="55"/>
  <c r="BB56" i="55"/>
  <c r="BN56" i="55" s="1"/>
  <c r="BA56" i="55"/>
  <c r="BM56" i="55" s="1"/>
  <c r="BO56" i="55" s="1"/>
  <c r="AZ56" i="55"/>
  <c r="BL56" i="55" s="1"/>
  <c r="BK53" i="55"/>
  <c r="BJ53" i="55"/>
  <c r="BI53" i="55"/>
  <c r="BH53" i="55"/>
  <c r="BG53" i="55"/>
  <c r="BF53" i="55"/>
  <c r="BE53" i="55"/>
  <c r="BD53" i="55"/>
  <c r="BC53" i="55"/>
  <c r="BB53" i="55"/>
  <c r="BN53" i="55" s="1"/>
  <c r="BA53" i="55"/>
  <c r="BM53" i="55" s="1"/>
  <c r="AZ53" i="55"/>
  <c r="BM52" i="55"/>
  <c r="BK52" i="55"/>
  <c r="BJ52" i="55"/>
  <c r="BI52" i="55"/>
  <c r="BH52" i="55"/>
  <c r="BG52" i="55"/>
  <c r="BF52" i="55"/>
  <c r="BE52" i="55"/>
  <c r="BD52" i="55"/>
  <c r="BC52" i="55"/>
  <c r="BB52" i="55"/>
  <c r="BN52" i="55" s="1"/>
  <c r="BA52" i="55"/>
  <c r="AZ52" i="55"/>
  <c r="BL52" i="55" s="1"/>
  <c r="BM51" i="55"/>
  <c r="BK51" i="55"/>
  <c r="BJ51" i="55"/>
  <c r="BI51" i="55"/>
  <c r="BH51" i="55"/>
  <c r="BG51" i="55"/>
  <c r="BF51" i="55"/>
  <c r="BE51" i="55"/>
  <c r="BD51" i="55"/>
  <c r="BC51" i="55"/>
  <c r="BB51" i="55"/>
  <c r="BA51" i="55"/>
  <c r="AZ51" i="55"/>
  <c r="BL51" i="55" s="1"/>
  <c r="BK50" i="55"/>
  <c r="BJ50" i="55"/>
  <c r="BI50" i="55"/>
  <c r="BH50" i="55"/>
  <c r="BG50" i="55"/>
  <c r="BF50" i="55"/>
  <c r="BE50" i="55"/>
  <c r="BD50" i="55"/>
  <c r="BC50" i="55"/>
  <c r="BB50" i="55"/>
  <c r="BA50" i="55"/>
  <c r="BM50" i="55" s="1"/>
  <c r="AZ50" i="55"/>
  <c r="BK49" i="55"/>
  <c r="BJ49" i="55"/>
  <c r="BI49" i="55"/>
  <c r="BH49" i="55"/>
  <c r="BG49" i="55"/>
  <c r="BF49" i="55"/>
  <c r="BE49" i="55"/>
  <c r="BD49" i="55"/>
  <c r="BC49" i="55"/>
  <c r="BB49" i="55"/>
  <c r="BN49" i="55" s="1"/>
  <c r="BA49" i="55"/>
  <c r="BM49" i="55" s="1"/>
  <c r="AZ49" i="55"/>
  <c r="BM48" i="55"/>
  <c r="BK48" i="55"/>
  <c r="BJ48" i="55"/>
  <c r="BI48" i="55"/>
  <c r="BH48" i="55"/>
  <c r="BG48" i="55"/>
  <c r="BF48" i="55"/>
  <c r="BE48" i="55"/>
  <c r="BD48" i="55"/>
  <c r="BC48" i="55"/>
  <c r="BB48" i="55"/>
  <c r="BN48" i="55" s="1"/>
  <c r="BA48" i="55"/>
  <c r="AZ48" i="55"/>
  <c r="BL48" i="55" s="1"/>
  <c r="BM47" i="55"/>
  <c r="BK47" i="55"/>
  <c r="BJ47" i="55"/>
  <c r="BI47" i="55"/>
  <c r="BH47" i="55"/>
  <c r="BG47" i="55"/>
  <c r="BF47" i="55"/>
  <c r="BE47" i="55"/>
  <c r="BD47" i="55"/>
  <c r="BC47" i="55"/>
  <c r="BB47" i="55"/>
  <c r="BA47" i="55"/>
  <c r="AZ47" i="55"/>
  <c r="BL47" i="55" s="1"/>
  <c r="BK46" i="55"/>
  <c r="BJ46" i="55"/>
  <c r="BI46" i="55"/>
  <c r="BH46" i="55"/>
  <c r="BG46" i="55"/>
  <c r="BF46" i="55"/>
  <c r="BE46" i="55"/>
  <c r="BD46" i="55"/>
  <c r="BC46" i="55"/>
  <c r="BB46" i="55"/>
  <c r="BA46" i="55"/>
  <c r="BM46" i="55" s="1"/>
  <c r="AZ46" i="55"/>
  <c r="BK45" i="55"/>
  <c r="BJ45" i="55"/>
  <c r="BI45" i="55"/>
  <c r="BH45" i="55"/>
  <c r="BG45" i="55"/>
  <c r="BF45" i="55"/>
  <c r="BE45" i="55"/>
  <c r="BD45" i="55"/>
  <c r="BC45" i="55"/>
  <c r="BB45" i="55"/>
  <c r="BN45" i="55" s="1"/>
  <c r="BA45" i="55"/>
  <c r="BM45" i="55" s="1"/>
  <c r="AZ45" i="55"/>
  <c r="BM44" i="55"/>
  <c r="BK44" i="55"/>
  <c r="BJ44" i="55"/>
  <c r="BI44" i="55"/>
  <c r="BH44" i="55"/>
  <c r="BG44" i="55"/>
  <c r="BF44" i="55"/>
  <c r="BE44" i="55"/>
  <c r="BD44" i="55"/>
  <c r="BC44" i="55"/>
  <c r="BB44" i="55"/>
  <c r="BN44" i="55" s="1"/>
  <c r="BA44" i="55"/>
  <c r="AZ44" i="55"/>
  <c r="BL44" i="55" s="1"/>
  <c r="BM43" i="55"/>
  <c r="BK43" i="55"/>
  <c r="BJ43" i="55"/>
  <c r="BI43" i="55"/>
  <c r="BH43" i="55"/>
  <c r="BG43" i="55"/>
  <c r="BF43" i="55"/>
  <c r="BE43" i="55"/>
  <c r="BD43" i="55"/>
  <c r="BC43" i="55"/>
  <c r="BB43" i="55"/>
  <c r="BA43" i="55"/>
  <c r="AZ43" i="55"/>
  <c r="BL43" i="55" s="1"/>
  <c r="BK42" i="55"/>
  <c r="BJ42" i="55"/>
  <c r="BI42" i="55"/>
  <c r="BH42" i="55"/>
  <c r="BG42" i="55"/>
  <c r="BF42" i="55"/>
  <c r="BE42" i="55"/>
  <c r="BD42" i="55"/>
  <c r="BC42" i="55"/>
  <c r="BB42" i="55"/>
  <c r="BA42" i="55"/>
  <c r="BM42" i="55" s="1"/>
  <c r="AZ42" i="55"/>
  <c r="BK41" i="55"/>
  <c r="BJ41" i="55"/>
  <c r="BI41" i="55"/>
  <c r="BH41" i="55"/>
  <c r="BG41" i="55"/>
  <c r="BF41" i="55"/>
  <c r="BE41" i="55"/>
  <c r="BD41" i="55"/>
  <c r="BC41" i="55"/>
  <c r="BB41" i="55"/>
  <c r="BN41" i="55" s="1"/>
  <c r="BA41" i="55"/>
  <c r="BM41" i="55" s="1"/>
  <c r="AZ41" i="55"/>
  <c r="BM40" i="55"/>
  <c r="BK40" i="55"/>
  <c r="BJ40" i="55"/>
  <c r="BI40" i="55"/>
  <c r="BH40" i="55"/>
  <c r="BG40" i="55"/>
  <c r="BF40" i="55"/>
  <c r="BE40" i="55"/>
  <c r="BD40" i="55"/>
  <c r="BC40" i="55"/>
  <c r="BB40" i="55"/>
  <c r="BA40" i="55"/>
  <c r="AZ40" i="55"/>
  <c r="BL40" i="55" s="1"/>
  <c r="BM39" i="55"/>
  <c r="BK39" i="55"/>
  <c r="BJ39" i="55"/>
  <c r="BI39" i="55"/>
  <c r="BH39" i="55"/>
  <c r="BG39" i="55"/>
  <c r="BF39" i="55"/>
  <c r="BE39" i="55"/>
  <c r="BD39" i="55"/>
  <c r="BC39" i="55"/>
  <c r="BB39" i="55"/>
  <c r="BA39" i="55"/>
  <c r="AZ39" i="55"/>
  <c r="BL39" i="55" s="1"/>
  <c r="BK38" i="55"/>
  <c r="BJ38" i="55"/>
  <c r="BI38" i="55"/>
  <c r="BH38" i="55"/>
  <c r="BG38" i="55"/>
  <c r="BF38" i="55"/>
  <c r="BE38" i="55"/>
  <c r="BD38" i="55"/>
  <c r="BC38" i="55"/>
  <c r="BB38" i="55"/>
  <c r="BA38" i="55"/>
  <c r="BM38" i="55" s="1"/>
  <c r="AZ38" i="55"/>
  <c r="BK37" i="55"/>
  <c r="BJ37" i="55"/>
  <c r="BI37" i="55"/>
  <c r="BH37" i="55"/>
  <c r="BG37" i="55"/>
  <c r="BF37" i="55"/>
  <c r="BE37" i="55"/>
  <c r="BD37" i="55"/>
  <c r="BC37" i="55"/>
  <c r="BB37" i="55"/>
  <c r="BN37" i="55" s="1"/>
  <c r="BA37" i="55"/>
  <c r="BM37" i="55" s="1"/>
  <c r="AZ37" i="55"/>
  <c r="BM36" i="55"/>
  <c r="BK36" i="55"/>
  <c r="BJ36" i="55"/>
  <c r="BI36" i="55"/>
  <c r="BH36" i="55"/>
  <c r="BG36" i="55"/>
  <c r="BF36" i="55"/>
  <c r="BE36" i="55"/>
  <c r="BD36" i="55"/>
  <c r="BC36" i="55"/>
  <c r="BB36" i="55"/>
  <c r="BN36" i="55" s="1"/>
  <c r="BA36" i="55"/>
  <c r="AZ36" i="55"/>
  <c r="BL36" i="55" s="1"/>
  <c r="BM35" i="55"/>
  <c r="BK35" i="55"/>
  <c r="BJ35" i="55"/>
  <c r="BI35" i="55"/>
  <c r="BH35" i="55"/>
  <c r="BG35" i="55"/>
  <c r="BF35" i="55"/>
  <c r="BE35" i="55"/>
  <c r="BD35" i="55"/>
  <c r="BC35" i="55"/>
  <c r="BB35" i="55"/>
  <c r="BA35" i="55"/>
  <c r="AZ35" i="55"/>
  <c r="BL35" i="55" s="1"/>
  <c r="BK34" i="55"/>
  <c r="BJ34" i="55"/>
  <c r="BI34" i="55"/>
  <c r="BH34" i="55"/>
  <c r="BG34" i="55"/>
  <c r="BF34" i="55"/>
  <c r="BE34" i="55"/>
  <c r="BD34" i="55"/>
  <c r="BC34" i="55"/>
  <c r="BB34" i="55"/>
  <c r="BA34" i="55"/>
  <c r="BM34" i="55" s="1"/>
  <c r="AZ34" i="55"/>
  <c r="BK33" i="55"/>
  <c r="BJ33" i="55"/>
  <c r="BI33" i="55"/>
  <c r="BH33" i="55"/>
  <c r="BG33" i="55"/>
  <c r="BF33" i="55"/>
  <c r="BE33" i="55"/>
  <c r="BD33" i="55"/>
  <c r="BC33" i="55"/>
  <c r="BB33" i="55"/>
  <c r="BN33" i="55" s="1"/>
  <c r="BA33" i="55"/>
  <c r="BM33" i="55" s="1"/>
  <c r="AZ33" i="55"/>
  <c r="BM32" i="55"/>
  <c r="BK32" i="55"/>
  <c r="BJ32" i="55"/>
  <c r="BI32" i="55"/>
  <c r="BH32" i="55"/>
  <c r="BG32" i="55"/>
  <c r="BF32" i="55"/>
  <c r="BE32" i="55"/>
  <c r="BD32" i="55"/>
  <c r="BC32" i="55"/>
  <c r="BB32" i="55"/>
  <c r="BN32" i="55" s="1"/>
  <c r="BA32" i="55"/>
  <c r="AZ32" i="55"/>
  <c r="BL32" i="55" s="1"/>
  <c r="BM31" i="55"/>
  <c r="BK31" i="55"/>
  <c r="BJ31" i="55"/>
  <c r="BI31" i="55"/>
  <c r="BH31" i="55"/>
  <c r="BG31" i="55"/>
  <c r="BF31" i="55"/>
  <c r="BE31" i="55"/>
  <c r="BD31" i="55"/>
  <c r="BC31" i="55"/>
  <c r="BB31" i="55"/>
  <c r="BA31" i="55"/>
  <c r="AZ31" i="55"/>
  <c r="BL31" i="55" s="1"/>
  <c r="BK30" i="55"/>
  <c r="BJ30" i="55"/>
  <c r="BI30" i="55"/>
  <c r="BH30" i="55"/>
  <c r="BG30" i="55"/>
  <c r="BF30" i="55"/>
  <c r="BE30" i="55"/>
  <c r="BD30" i="55"/>
  <c r="BC30" i="55"/>
  <c r="BB30" i="55"/>
  <c r="BA30" i="55"/>
  <c r="BM30" i="55" s="1"/>
  <c r="AZ30" i="55"/>
  <c r="BK29" i="55"/>
  <c r="BJ29" i="55"/>
  <c r="BI29" i="55"/>
  <c r="BH29" i="55"/>
  <c r="BG29" i="55"/>
  <c r="BF29" i="55"/>
  <c r="BE29" i="55"/>
  <c r="BD29" i="55"/>
  <c r="BC29" i="55"/>
  <c r="BB29" i="55"/>
  <c r="BN29" i="55" s="1"/>
  <c r="BA29" i="55"/>
  <c r="BM29" i="55" s="1"/>
  <c r="AZ29" i="55"/>
  <c r="BM28" i="55"/>
  <c r="BK28" i="55"/>
  <c r="BJ28" i="55"/>
  <c r="BI28" i="55"/>
  <c r="BH28" i="55"/>
  <c r="BG28" i="55"/>
  <c r="BF28" i="55"/>
  <c r="BE28" i="55"/>
  <c r="BD28" i="55"/>
  <c r="BC28" i="55"/>
  <c r="BB28" i="55"/>
  <c r="BN28" i="55" s="1"/>
  <c r="BA28" i="55"/>
  <c r="AZ28" i="55"/>
  <c r="BL28" i="55" s="1"/>
  <c r="BM27" i="55"/>
  <c r="BO27" i="55" s="1"/>
  <c r="BK27" i="55"/>
  <c r="BJ27" i="55"/>
  <c r="BI27" i="55"/>
  <c r="BH27" i="55"/>
  <c r="BG27" i="55"/>
  <c r="BF27" i="55"/>
  <c r="BE27" i="55"/>
  <c r="BD27" i="55"/>
  <c r="BC27" i="55"/>
  <c r="BB27" i="55"/>
  <c r="BA27" i="55"/>
  <c r="AZ27" i="55"/>
  <c r="BL27" i="55" s="1"/>
  <c r="BK26" i="55"/>
  <c r="BJ26" i="55"/>
  <c r="BI26" i="55"/>
  <c r="BH26" i="55"/>
  <c r="BG26" i="55"/>
  <c r="BF26" i="55"/>
  <c r="BE26" i="55"/>
  <c r="BD26" i="55"/>
  <c r="BC26" i="55"/>
  <c r="BB26" i="55"/>
  <c r="BA26" i="55"/>
  <c r="BM26" i="55" s="1"/>
  <c r="AZ26" i="55"/>
  <c r="BK23" i="55"/>
  <c r="BJ23" i="55"/>
  <c r="BI23" i="55"/>
  <c r="BH23" i="55"/>
  <c r="BG23" i="55"/>
  <c r="BF23" i="55"/>
  <c r="BE23" i="55"/>
  <c r="BD23" i="55"/>
  <c r="BC23" i="55"/>
  <c r="BB23" i="55"/>
  <c r="BN23" i="55" s="1"/>
  <c r="BA23" i="55"/>
  <c r="BM23" i="55" s="1"/>
  <c r="BO23" i="55" s="1"/>
  <c r="AZ23" i="55"/>
  <c r="BL23" i="55" s="1"/>
  <c r="BK22" i="55"/>
  <c r="BJ22" i="55"/>
  <c r="BI22" i="55"/>
  <c r="BH22" i="55"/>
  <c r="BG22" i="55"/>
  <c r="BF22" i="55"/>
  <c r="BE22" i="55"/>
  <c r="BD22" i="55"/>
  <c r="BC22" i="55"/>
  <c r="BB22" i="55"/>
  <c r="BN22" i="55" s="1"/>
  <c r="BA22" i="55"/>
  <c r="BM22" i="55" s="1"/>
  <c r="BO22" i="55" s="1"/>
  <c r="AZ22" i="55"/>
  <c r="BL22" i="55" s="1"/>
  <c r="BK21" i="55"/>
  <c r="BJ21" i="55"/>
  <c r="BI21" i="55"/>
  <c r="BH21" i="55"/>
  <c r="BG21" i="55"/>
  <c r="BF21" i="55"/>
  <c r="BE21" i="55"/>
  <c r="BD21" i="55"/>
  <c r="BC21" i="55"/>
  <c r="BB21" i="55"/>
  <c r="BN21" i="55" s="1"/>
  <c r="BA21" i="55"/>
  <c r="BM21" i="55" s="1"/>
  <c r="BO21" i="55" s="1"/>
  <c r="AZ21" i="55"/>
  <c r="BL21" i="55" s="1"/>
  <c r="BK20" i="55"/>
  <c r="BJ20" i="55"/>
  <c r="BI20" i="55"/>
  <c r="BH20" i="55"/>
  <c r="BG20" i="55"/>
  <c r="BF20" i="55"/>
  <c r="BE20" i="55"/>
  <c r="BD20" i="55"/>
  <c r="BC20" i="55"/>
  <c r="BB20" i="55"/>
  <c r="BN20" i="55" s="1"/>
  <c r="BA20" i="55"/>
  <c r="BM20" i="55" s="1"/>
  <c r="BO20" i="55" s="1"/>
  <c r="AZ20" i="55"/>
  <c r="BL20" i="55" s="1"/>
  <c r="BK19" i="55"/>
  <c r="BJ19" i="55"/>
  <c r="BI19" i="55"/>
  <c r="BH19" i="55"/>
  <c r="BG19" i="55"/>
  <c r="BF19" i="55"/>
  <c r="BE19" i="55"/>
  <c r="BD19" i="55"/>
  <c r="BC19" i="55"/>
  <c r="BB19" i="55"/>
  <c r="BA19" i="55"/>
  <c r="BM19" i="55" s="1"/>
  <c r="BO19" i="55" s="1"/>
  <c r="AZ19" i="55"/>
  <c r="BL19" i="55" s="1"/>
  <c r="BK18" i="55"/>
  <c r="BJ18" i="55"/>
  <c r="BI18" i="55"/>
  <c r="BH18" i="55"/>
  <c r="BG18" i="55"/>
  <c r="BF18" i="55"/>
  <c r="BE18" i="55"/>
  <c r="BD18" i="55"/>
  <c r="BC18" i="55"/>
  <c r="BB18" i="55"/>
  <c r="BN18" i="55" s="1"/>
  <c r="BA18" i="55"/>
  <c r="BM18" i="55" s="1"/>
  <c r="BO18" i="55" s="1"/>
  <c r="AZ18" i="55"/>
  <c r="BL18" i="55" s="1"/>
  <c r="BK17" i="55"/>
  <c r="BJ17" i="55"/>
  <c r="BI17" i="55"/>
  <c r="BH17" i="55"/>
  <c r="BG17" i="55"/>
  <c r="BF17" i="55"/>
  <c r="BE17" i="55"/>
  <c r="BD17" i="55"/>
  <c r="BC17" i="55"/>
  <c r="BB17" i="55"/>
  <c r="BA17" i="55"/>
  <c r="BM17" i="55" s="1"/>
  <c r="BO17" i="55" s="1"/>
  <c r="AZ17" i="55"/>
  <c r="BL17" i="55" s="1"/>
  <c r="BK16" i="55"/>
  <c r="BJ16" i="55"/>
  <c r="BI16" i="55"/>
  <c r="BH16" i="55"/>
  <c r="BG16" i="55"/>
  <c r="BF16" i="55"/>
  <c r="BE16" i="55"/>
  <c r="BD16" i="55"/>
  <c r="BC16" i="55"/>
  <c r="BB16" i="55"/>
  <c r="BN16" i="55" s="1"/>
  <c r="BA16" i="55"/>
  <c r="BM16" i="55" s="1"/>
  <c r="BO16" i="55" s="1"/>
  <c r="AZ16" i="55"/>
  <c r="BL16" i="55" s="1"/>
  <c r="BK15" i="55"/>
  <c r="BJ15" i="55"/>
  <c r="BI15" i="55"/>
  <c r="BH15" i="55"/>
  <c r="BG15" i="55"/>
  <c r="BF15" i="55"/>
  <c r="BE15" i="55"/>
  <c r="BD15" i="55"/>
  <c r="BC15" i="55"/>
  <c r="BB15" i="55"/>
  <c r="BN15" i="55" s="1"/>
  <c r="BA15" i="55"/>
  <c r="BM15" i="55" s="1"/>
  <c r="BO15" i="55" s="1"/>
  <c r="AZ15" i="55"/>
  <c r="BL15" i="55" s="1"/>
  <c r="BK14" i="55"/>
  <c r="BJ14" i="55"/>
  <c r="BI14" i="55"/>
  <c r="BH14" i="55"/>
  <c r="BG14" i="55"/>
  <c r="BF14" i="55"/>
  <c r="BE14" i="55"/>
  <c r="BD14" i="55"/>
  <c r="BC14" i="55"/>
  <c r="BB14" i="55"/>
  <c r="BN14" i="55" s="1"/>
  <c r="BA14" i="55"/>
  <c r="BM14" i="55" s="1"/>
  <c r="BO14" i="55" s="1"/>
  <c r="AZ14" i="55"/>
  <c r="BL14" i="55" s="1"/>
  <c r="BK13" i="55"/>
  <c r="BJ13" i="55"/>
  <c r="BI13" i="55"/>
  <c r="BH13" i="55"/>
  <c r="BG13" i="55"/>
  <c r="BF13" i="55"/>
  <c r="BE13" i="55"/>
  <c r="BD13" i="55"/>
  <c r="BC13" i="55"/>
  <c r="BB13" i="55"/>
  <c r="BN13" i="55" s="1"/>
  <c r="BA13" i="55"/>
  <c r="BM13" i="55" s="1"/>
  <c r="BO13" i="55" s="1"/>
  <c r="AZ13" i="55"/>
  <c r="BL13" i="55" s="1"/>
  <c r="BK12" i="55"/>
  <c r="BJ12" i="55"/>
  <c r="BI12" i="55"/>
  <c r="BH12" i="55"/>
  <c r="BG12" i="55"/>
  <c r="BF12" i="55"/>
  <c r="BE12" i="55"/>
  <c r="BD12" i="55"/>
  <c r="BC12" i="55"/>
  <c r="BB12" i="55"/>
  <c r="BN12" i="55" s="1"/>
  <c r="BA12" i="55"/>
  <c r="BM12" i="55" s="1"/>
  <c r="BO12" i="55" s="1"/>
  <c r="AZ12" i="55"/>
  <c r="BL12" i="55" s="1"/>
  <c r="BK11" i="55"/>
  <c r="BJ11" i="55"/>
  <c r="BI11" i="55"/>
  <c r="BH11" i="55"/>
  <c r="BG11" i="55"/>
  <c r="BF11" i="55"/>
  <c r="BE11" i="55"/>
  <c r="BD11" i="55"/>
  <c r="BC11" i="55"/>
  <c r="BB11" i="55"/>
  <c r="BN11" i="55" s="1"/>
  <c r="BA11" i="55"/>
  <c r="BM11" i="55" s="1"/>
  <c r="BO11" i="55" s="1"/>
  <c r="AZ11" i="55"/>
  <c r="BL11" i="55" s="1"/>
  <c r="BK10" i="55"/>
  <c r="BJ10" i="55"/>
  <c r="BI10" i="55"/>
  <c r="BH10" i="55"/>
  <c r="BG10" i="55"/>
  <c r="BF10" i="55"/>
  <c r="BE10" i="55"/>
  <c r="BD10" i="55"/>
  <c r="BC10" i="55"/>
  <c r="BB10" i="55"/>
  <c r="BA10" i="55"/>
  <c r="BM10" i="55" s="1"/>
  <c r="BO10" i="55" s="1"/>
  <c r="AZ10" i="55"/>
  <c r="BL10" i="55" s="1"/>
  <c r="BK9" i="55"/>
  <c r="BJ9" i="55"/>
  <c r="BI9" i="55"/>
  <c r="BH9" i="55"/>
  <c r="BG9" i="55"/>
  <c r="BF9" i="55"/>
  <c r="BE9" i="55"/>
  <c r="BD9" i="55"/>
  <c r="BC9" i="55"/>
  <c r="BB9" i="55"/>
  <c r="BA9" i="55"/>
  <c r="BM9" i="55" s="1"/>
  <c r="BO9" i="55" s="1"/>
  <c r="AZ9" i="55"/>
  <c r="BL9" i="55" s="1"/>
  <c r="BK8" i="55"/>
  <c r="BJ8" i="55"/>
  <c r="BI8" i="55"/>
  <c r="BH8" i="55"/>
  <c r="BG8" i="55"/>
  <c r="BF8" i="55"/>
  <c r="BE8" i="55"/>
  <c r="BD8" i="55"/>
  <c r="BC8" i="55"/>
  <c r="BB8" i="55"/>
  <c r="BA8" i="55"/>
  <c r="BM8" i="55" s="1"/>
  <c r="BO8" i="55" s="1"/>
  <c r="AZ8" i="55"/>
  <c r="BL8" i="55" s="1"/>
  <c r="BJ7" i="55"/>
  <c r="BI7" i="55"/>
  <c r="BG7" i="55"/>
  <c r="BF7" i="55"/>
  <c r="BE7" i="55"/>
  <c r="BD7" i="55"/>
  <c r="BC7" i="55"/>
  <c r="BB7" i="55"/>
  <c r="BA7" i="55"/>
  <c r="AZ7" i="55"/>
  <c r="BL7" i="55" s="1"/>
  <c r="BL6" i="55"/>
  <c r="BJ6" i="55"/>
  <c r="BG6" i="55"/>
  <c r="BF6" i="55"/>
  <c r="BE6" i="55"/>
  <c r="BD6" i="55"/>
  <c r="BA6" i="55"/>
  <c r="BB6" i="55"/>
  <c r="BO62" i="55"/>
  <c r="BO55" i="55"/>
  <c r="BO25" i="55"/>
  <c r="BK67" i="56" l="1"/>
  <c r="BO67" i="56" s="1"/>
  <c r="BN8" i="55"/>
  <c r="BN40" i="55"/>
  <c r="BN19" i="55"/>
  <c r="BN17" i="55"/>
  <c r="BN10" i="55"/>
  <c r="BN9" i="55"/>
  <c r="BM6" i="55"/>
  <c r="BO6" i="55" s="1"/>
  <c r="BM7" i="55"/>
  <c r="BO7" i="55" s="1"/>
  <c r="BB49" i="60"/>
  <c r="BB41" i="60"/>
  <c r="BB33" i="60"/>
  <c r="BK67" i="69"/>
  <c r="BO6" i="69"/>
  <c r="BG67" i="69"/>
  <c r="BG71" i="69" s="1"/>
  <c r="BO46" i="69"/>
  <c r="BO30" i="69"/>
  <c r="BO78" i="69"/>
  <c r="BO41" i="69"/>
  <c r="BO63" i="56"/>
  <c r="BO50" i="56"/>
  <c r="BO42" i="56"/>
  <c r="BO34" i="56"/>
  <c r="BK71" i="56"/>
  <c r="BO71" i="56" s="1"/>
  <c r="BO73" i="56"/>
  <c r="BO63" i="59"/>
  <c r="BK71" i="59"/>
  <c r="BO71" i="59" s="1"/>
  <c r="BO67" i="59"/>
  <c r="BO77" i="58"/>
  <c r="BO26" i="58"/>
  <c r="BO48" i="58"/>
  <c r="BO40" i="58"/>
  <c r="BO32" i="58"/>
  <c r="BO73" i="58"/>
  <c r="BO46" i="58"/>
  <c r="BO38" i="58"/>
  <c r="BO30" i="58"/>
  <c r="BO46" i="57"/>
  <c r="BO30" i="57"/>
  <c r="BO78" i="57"/>
  <c r="BO33" i="57"/>
  <c r="BO8" i="57"/>
  <c r="BK67" i="57"/>
  <c r="BO49" i="57"/>
  <c r="BO6" i="57"/>
  <c r="BO63" i="57"/>
  <c r="BG67" i="57"/>
  <c r="BG71" i="57" s="1"/>
  <c r="BO26" i="55"/>
  <c r="BO42" i="55"/>
  <c r="BO37" i="55"/>
  <c r="BO39" i="55"/>
  <c r="BO47" i="55"/>
  <c r="BO51" i="55"/>
  <c r="BN26" i="55"/>
  <c r="BO28" i="55"/>
  <c r="BN30" i="55"/>
  <c r="BO32" i="55"/>
  <c r="BN34" i="55"/>
  <c r="BO36" i="55"/>
  <c r="BN38" i="55"/>
  <c r="BO40" i="55"/>
  <c r="BN42" i="55"/>
  <c r="BO44" i="55"/>
  <c r="BN46" i="55"/>
  <c r="BO48" i="55"/>
  <c r="BN50" i="55"/>
  <c r="BO52" i="55"/>
  <c r="BN27" i="55"/>
  <c r="BL29" i="55"/>
  <c r="BO29" i="55" s="1"/>
  <c r="BN31" i="55"/>
  <c r="BL33" i="55"/>
  <c r="BO33" i="55" s="1"/>
  <c r="BN35" i="55"/>
  <c r="BL37" i="55"/>
  <c r="BN39" i="55"/>
  <c r="BL41" i="55"/>
  <c r="BO41" i="55" s="1"/>
  <c r="BN43" i="55"/>
  <c r="BL45" i="55"/>
  <c r="BO45" i="55" s="1"/>
  <c r="BN47" i="55"/>
  <c r="BL49" i="55"/>
  <c r="BO49" i="55" s="1"/>
  <c r="BN51" i="55"/>
  <c r="BL53" i="55"/>
  <c r="BO31" i="55"/>
  <c r="BO35" i="55"/>
  <c r="BO43" i="55"/>
  <c r="BL26" i="55"/>
  <c r="BL30" i="55"/>
  <c r="BO30" i="55" s="1"/>
  <c r="BL34" i="55"/>
  <c r="BO34" i="55" s="1"/>
  <c r="BL38" i="55"/>
  <c r="BO38" i="55" s="1"/>
  <c r="BL42" i="55"/>
  <c r="BL46" i="55"/>
  <c r="BO46" i="55" s="1"/>
  <c r="BL50" i="55"/>
  <c r="BO50" i="55" s="1"/>
  <c r="BO53" i="55"/>
  <c r="AH78" i="60"/>
  <c r="AH77" i="60"/>
  <c r="AH76" i="60"/>
  <c r="AH75" i="60"/>
  <c r="AH74" i="60"/>
  <c r="AH73" i="60"/>
  <c r="AH64" i="60"/>
  <c r="AH63" i="60"/>
  <c r="AH60" i="60"/>
  <c r="AH59" i="60"/>
  <c r="AH58" i="60"/>
  <c r="AH57" i="60"/>
  <c r="AH56" i="60"/>
  <c r="AH53" i="60"/>
  <c r="AH52" i="60"/>
  <c r="AH51" i="60"/>
  <c r="AH50" i="60"/>
  <c r="AH49" i="60"/>
  <c r="AH48" i="60"/>
  <c r="AH47" i="60"/>
  <c r="AH46" i="60"/>
  <c r="AH45" i="60"/>
  <c r="AH44" i="60"/>
  <c r="AH43" i="60"/>
  <c r="AH42" i="60"/>
  <c r="AH41" i="60"/>
  <c r="AH40" i="60"/>
  <c r="AH39" i="60"/>
  <c r="AH38" i="60"/>
  <c r="AH37" i="60"/>
  <c r="AH36" i="60"/>
  <c r="AH35" i="60"/>
  <c r="AH34" i="60"/>
  <c r="AH33" i="60"/>
  <c r="AH32" i="60"/>
  <c r="AH31" i="60"/>
  <c r="AH30" i="60"/>
  <c r="AH29" i="60"/>
  <c r="AH28" i="60"/>
  <c r="AH27" i="60"/>
  <c r="AH26" i="60"/>
  <c r="AH23" i="60"/>
  <c r="AH22" i="60"/>
  <c r="AH21" i="60"/>
  <c r="AH20" i="60"/>
  <c r="AH19" i="60"/>
  <c r="AH18" i="60"/>
  <c r="AH17" i="60"/>
  <c r="AH16" i="60"/>
  <c r="AH15" i="60"/>
  <c r="AH14" i="60"/>
  <c r="AH13" i="60"/>
  <c r="AH12" i="60"/>
  <c r="AH11" i="60"/>
  <c r="AH10" i="60"/>
  <c r="AH9" i="60"/>
  <c r="AH8" i="60"/>
  <c r="AH7" i="60"/>
  <c r="AH6" i="60"/>
  <c r="AE78" i="60"/>
  <c r="AE77" i="60"/>
  <c r="AE76" i="60"/>
  <c r="AE75" i="60"/>
  <c r="AE74" i="60"/>
  <c r="AE73" i="60"/>
  <c r="AE64" i="60"/>
  <c r="AE63" i="60"/>
  <c r="AE60" i="60"/>
  <c r="AE59" i="60"/>
  <c r="AE58" i="60"/>
  <c r="AE57" i="60"/>
  <c r="AE56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B78" i="60"/>
  <c r="AB77" i="60"/>
  <c r="AB76" i="60"/>
  <c r="AB75" i="60"/>
  <c r="AB74" i="60"/>
  <c r="AB73" i="60"/>
  <c r="AB64" i="60"/>
  <c r="AB63" i="60"/>
  <c r="AB60" i="60"/>
  <c r="AB59" i="60"/>
  <c r="AB58" i="60"/>
  <c r="AB57" i="60"/>
  <c r="AB56" i="60"/>
  <c r="AB53" i="60"/>
  <c r="AB52" i="60"/>
  <c r="AB51" i="60"/>
  <c r="AB50" i="60"/>
  <c r="AB49" i="60"/>
  <c r="AB48" i="60"/>
  <c r="AB47" i="60"/>
  <c r="AB46" i="60"/>
  <c r="AB45" i="60"/>
  <c r="AB44" i="60"/>
  <c r="AB43" i="60"/>
  <c r="AB42" i="60"/>
  <c r="AB41" i="60"/>
  <c r="AB40" i="60"/>
  <c r="AB39" i="60"/>
  <c r="AB38" i="60"/>
  <c r="AB37" i="60"/>
  <c r="AB36" i="60"/>
  <c r="AB35" i="60"/>
  <c r="AB34" i="60"/>
  <c r="AB33" i="60"/>
  <c r="AB32" i="60"/>
  <c r="AB31" i="60"/>
  <c r="AB30" i="60"/>
  <c r="AB29" i="60"/>
  <c r="AB28" i="60"/>
  <c r="AB27" i="60"/>
  <c r="AB26" i="60"/>
  <c r="AB23" i="60"/>
  <c r="AB22" i="60"/>
  <c r="AB21" i="60"/>
  <c r="AB20" i="60"/>
  <c r="AB19" i="60"/>
  <c r="AB18" i="60"/>
  <c r="AB17" i="60"/>
  <c r="AB16" i="60"/>
  <c r="AB15" i="60"/>
  <c r="AB14" i="60"/>
  <c r="AB13" i="60"/>
  <c r="AB12" i="60"/>
  <c r="AB11" i="60"/>
  <c r="AB10" i="60"/>
  <c r="AB9" i="60"/>
  <c r="AB8" i="60"/>
  <c r="AB7" i="60"/>
  <c r="AB6" i="60"/>
  <c r="Y78" i="60"/>
  <c r="Y77" i="60"/>
  <c r="Y76" i="60"/>
  <c r="Y75" i="60"/>
  <c r="Y74" i="60"/>
  <c r="Y73" i="60"/>
  <c r="Y64" i="60"/>
  <c r="Y63" i="60"/>
  <c r="Y60" i="60"/>
  <c r="Y59" i="60"/>
  <c r="Y58" i="60"/>
  <c r="Y57" i="60"/>
  <c r="Y56" i="60"/>
  <c r="Y53" i="60"/>
  <c r="Y52" i="60"/>
  <c r="Y51" i="60"/>
  <c r="Y50" i="60"/>
  <c r="Y49" i="60"/>
  <c r="Y48" i="60"/>
  <c r="Y47" i="60"/>
  <c r="Y46" i="60"/>
  <c r="Y45" i="60"/>
  <c r="Y44" i="60"/>
  <c r="Y43" i="60"/>
  <c r="Y42" i="60"/>
  <c r="Y41" i="60"/>
  <c r="Y40" i="60"/>
  <c r="Y39" i="60"/>
  <c r="Y38" i="60"/>
  <c r="Y37" i="60"/>
  <c r="Y36" i="60"/>
  <c r="Y35" i="60"/>
  <c r="Y34" i="60"/>
  <c r="Y33" i="60"/>
  <c r="Y32" i="60"/>
  <c r="Y31" i="60"/>
  <c r="Y30" i="60"/>
  <c r="Y29" i="60"/>
  <c r="Y28" i="60"/>
  <c r="Y27" i="60"/>
  <c r="Y26" i="60"/>
  <c r="Y23" i="60"/>
  <c r="Y22" i="60"/>
  <c r="Y21" i="60"/>
  <c r="Y20" i="60"/>
  <c r="Y19" i="60"/>
  <c r="Y18" i="60"/>
  <c r="Y17" i="60"/>
  <c r="Y16" i="60"/>
  <c r="Y15" i="60"/>
  <c r="Y14" i="60"/>
  <c r="Y13" i="60"/>
  <c r="Y12" i="60"/>
  <c r="Y11" i="60"/>
  <c r="Y10" i="60"/>
  <c r="Y9" i="60"/>
  <c r="Y8" i="60"/>
  <c r="Y7" i="60"/>
  <c r="Y6" i="60"/>
  <c r="V78" i="60"/>
  <c r="V77" i="60"/>
  <c r="V76" i="60"/>
  <c r="V75" i="60"/>
  <c r="V74" i="60"/>
  <c r="V73" i="60"/>
  <c r="V64" i="60"/>
  <c r="V63" i="60"/>
  <c r="V60" i="60"/>
  <c r="V59" i="60"/>
  <c r="V58" i="60"/>
  <c r="V57" i="60"/>
  <c r="V56" i="60"/>
  <c r="V53" i="60"/>
  <c r="V52" i="60"/>
  <c r="V51" i="60"/>
  <c r="V50" i="60"/>
  <c r="V49" i="60"/>
  <c r="V48" i="60"/>
  <c r="V47" i="60"/>
  <c r="V46" i="60"/>
  <c r="V45" i="60"/>
  <c r="V44" i="60"/>
  <c r="V43" i="60"/>
  <c r="V42" i="60"/>
  <c r="V41" i="60"/>
  <c r="V40" i="60"/>
  <c r="V39" i="60"/>
  <c r="V38" i="60"/>
  <c r="V37" i="60"/>
  <c r="V36" i="60"/>
  <c r="V35" i="60"/>
  <c r="V34" i="60"/>
  <c r="V33" i="60"/>
  <c r="V32" i="60"/>
  <c r="V31" i="60"/>
  <c r="V30" i="60"/>
  <c r="V29" i="60"/>
  <c r="V28" i="60"/>
  <c r="V27" i="60"/>
  <c r="V26" i="60"/>
  <c r="V23" i="60"/>
  <c r="V22" i="60"/>
  <c r="V21" i="60"/>
  <c r="V20" i="60"/>
  <c r="V19" i="60"/>
  <c r="V18" i="60"/>
  <c r="V17" i="60"/>
  <c r="V16" i="60"/>
  <c r="V15" i="60"/>
  <c r="V14" i="60"/>
  <c r="V13" i="60"/>
  <c r="V12" i="60"/>
  <c r="V11" i="60"/>
  <c r="V10" i="60"/>
  <c r="V9" i="60"/>
  <c r="V8" i="60"/>
  <c r="V7" i="60"/>
  <c r="V6" i="60"/>
  <c r="AU78" i="59"/>
  <c r="AM78" i="59"/>
  <c r="AA78" i="59"/>
  <c r="AY78" i="59" s="1"/>
  <c r="AU77" i="59"/>
  <c r="AM77" i="59"/>
  <c r="AA77" i="59"/>
  <c r="AY77" i="59" s="1"/>
  <c r="AU76" i="59"/>
  <c r="AM76" i="59"/>
  <c r="AA76" i="59"/>
  <c r="AY76" i="59" s="1"/>
  <c r="AU75" i="59"/>
  <c r="AM75" i="59"/>
  <c r="AA75" i="59"/>
  <c r="AY75" i="59" s="1"/>
  <c r="AU74" i="59"/>
  <c r="AM74" i="59"/>
  <c r="AA74" i="59"/>
  <c r="AY74" i="59" s="1"/>
  <c r="AU73" i="59"/>
  <c r="AM73" i="59"/>
  <c r="AA73" i="59"/>
  <c r="AY73" i="59" s="1"/>
  <c r="AU64" i="59"/>
  <c r="AM64" i="59"/>
  <c r="AA64" i="59"/>
  <c r="AY64" i="59" s="1"/>
  <c r="AU63" i="59"/>
  <c r="AM63" i="59"/>
  <c r="AA63" i="59"/>
  <c r="AY63" i="59" s="1"/>
  <c r="AU60" i="59"/>
  <c r="AM60" i="59"/>
  <c r="AC60" i="60" s="1"/>
  <c r="AA60" i="59"/>
  <c r="AY60" i="59" s="1"/>
  <c r="AL60" i="60" s="1"/>
  <c r="AU59" i="59"/>
  <c r="AM59" i="59"/>
  <c r="AA59" i="59"/>
  <c r="AY59" i="59" s="1"/>
  <c r="AL59" i="60" s="1"/>
  <c r="AU58" i="59"/>
  <c r="AM58" i="59"/>
  <c r="AA58" i="59"/>
  <c r="AY58" i="59" s="1"/>
  <c r="AL58" i="60" s="1"/>
  <c r="AU57" i="59"/>
  <c r="AM57" i="59"/>
  <c r="AA57" i="59"/>
  <c r="AY57" i="59" s="1"/>
  <c r="AU56" i="59"/>
  <c r="AM56" i="59"/>
  <c r="AA56" i="59"/>
  <c r="AY56" i="59" s="1"/>
  <c r="AU53" i="59"/>
  <c r="AM53" i="59"/>
  <c r="AA53" i="59"/>
  <c r="AY53" i="59" s="1"/>
  <c r="AU52" i="59"/>
  <c r="AM52" i="59"/>
  <c r="AA52" i="59"/>
  <c r="AY52" i="59" s="1"/>
  <c r="AU51" i="59"/>
  <c r="AM51" i="59"/>
  <c r="AA51" i="59"/>
  <c r="AY51" i="59" s="1"/>
  <c r="AU50" i="59"/>
  <c r="AM50" i="59"/>
  <c r="AA50" i="59"/>
  <c r="AY50" i="59" s="1"/>
  <c r="AU49" i="59"/>
  <c r="AM49" i="59"/>
  <c r="AA49" i="59"/>
  <c r="AY49" i="59" s="1"/>
  <c r="AU48" i="59"/>
  <c r="AM48" i="59"/>
  <c r="AA48" i="59"/>
  <c r="AY48" i="59" s="1"/>
  <c r="AU47" i="59"/>
  <c r="AM47" i="59"/>
  <c r="AA47" i="59"/>
  <c r="AY47" i="59" s="1"/>
  <c r="AU46" i="59"/>
  <c r="AM46" i="59"/>
  <c r="AA46" i="59"/>
  <c r="AY46" i="59" s="1"/>
  <c r="AU45" i="59"/>
  <c r="AM45" i="59"/>
  <c r="AA45" i="59"/>
  <c r="AY45" i="59" s="1"/>
  <c r="AU44" i="59"/>
  <c r="AM44" i="59"/>
  <c r="AA44" i="59"/>
  <c r="AY44" i="59" s="1"/>
  <c r="AU43" i="59"/>
  <c r="AM43" i="59"/>
  <c r="AA43" i="59"/>
  <c r="AY43" i="59" s="1"/>
  <c r="AU42" i="59"/>
  <c r="AM42" i="59"/>
  <c r="AA42" i="59"/>
  <c r="AY42" i="59" s="1"/>
  <c r="AU41" i="59"/>
  <c r="AM41" i="59"/>
  <c r="AA41" i="59"/>
  <c r="AY41" i="59" s="1"/>
  <c r="AU40" i="59"/>
  <c r="AM40" i="59"/>
  <c r="AA40" i="59"/>
  <c r="AY40" i="59" s="1"/>
  <c r="AU39" i="59"/>
  <c r="AM39" i="59"/>
  <c r="AA39" i="59"/>
  <c r="AY39" i="59" s="1"/>
  <c r="AU38" i="59"/>
  <c r="AM38" i="59"/>
  <c r="AA38" i="59"/>
  <c r="AY38" i="59" s="1"/>
  <c r="AU37" i="59"/>
  <c r="AM37" i="59"/>
  <c r="AA37" i="59"/>
  <c r="AY37" i="59" s="1"/>
  <c r="AU36" i="59"/>
  <c r="AM36" i="59"/>
  <c r="AA36" i="59"/>
  <c r="AY36" i="59" s="1"/>
  <c r="AU35" i="59"/>
  <c r="AM35" i="59"/>
  <c r="AA35" i="59"/>
  <c r="AY35" i="59" s="1"/>
  <c r="AU34" i="59"/>
  <c r="AM34" i="59"/>
  <c r="AA34" i="59"/>
  <c r="AY34" i="59" s="1"/>
  <c r="AU33" i="59"/>
  <c r="AM33" i="59"/>
  <c r="AA33" i="59"/>
  <c r="AY33" i="59" s="1"/>
  <c r="AU32" i="59"/>
  <c r="AM32" i="59"/>
  <c r="AA32" i="59"/>
  <c r="AY32" i="59" s="1"/>
  <c r="AU31" i="59"/>
  <c r="AM31" i="59"/>
  <c r="AA31" i="59"/>
  <c r="AY31" i="59" s="1"/>
  <c r="AU30" i="59"/>
  <c r="AM30" i="59"/>
  <c r="AA30" i="59"/>
  <c r="AY30" i="59" s="1"/>
  <c r="AU29" i="59"/>
  <c r="AM29" i="59"/>
  <c r="AA29" i="59"/>
  <c r="AY29" i="59" s="1"/>
  <c r="AU28" i="59"/>
  <c r="AM28" i="59"/>
  <c r="AA28" i="59"/>
  <c r="AY28" i="59" s="1"/>
  <c r="AU27" i="59"/>
  <c r="AM27" i="59"/>
  <c r="AA27" i="59"/>
  <c r="AY27" i="59" s="1"/>
  <c r="AU26" i="59"/>
  <c r="AM26" i="59"/>
  <c r="AA26" i="59"/>
  <c r="AY26" i="59" s="1"/>
  <c r="AU23" i="59"/>
  <c r="AM23" i="59"/>
  <c r="AA23" i="59"/>
  <c r="AY23" i="59" s="1"/>
  <c r="AU22" i="59"/>
  <c r="AM22" i="59"/>
  <c r="AA22" i="59"/>
  <c r="AY22" i="59" s="1"/>
  <c r="AU21" i="59"/>
  <c r="AM21" i="59"/>
  <c r="AA21" i="59"/>
  <c r="AY21" i="59" s="1"/>
  <c r="AU20" i="59"/>
  <c r="AM20" i="59"/>
  <c r="AA20" i="59"/>
  <c r="AY20" i="59" s="1"/>
  <c r="AU19" i="59"/>
  <c r="AM19" i="59"/>
  <c r="AA19" i="59"/>
  <c r="AY19" i="59" s="1"/>
  <c r="AU18" i="59"/>
  <c r="AM18" i="59"/>
  <c r="AA18" i="59"/>
  <c r="AY18" i="59" s="1"/>
  <c r="AU17" i="59"/>
  <c r="AM17" i="59"/>
  <c r="AA17" i="59"/>
  <c r="AY17" i="59" s="1"/>
  <c r="AU16" i="59"/>
  <c r="AM16" i="59"/>
  <c r="AA16" i="59"/>
  <c r="AY16" i="59" s="1"/>
  <c r="AU15" i="59"/>
  <c r="AM15" i="59"/>
  <c r="AA15" i="59"/>
  <c r="AY15" i="59" s="1"/>
  <c r="AU14" i="59"/>
  <c r="AM14" i="59"/>
  <c r="AA14" i="59"/>
  <c r="AY14" i="59" s="1"/>
  <c r="AY13" i="59"/>
  <c r="AA13" i="59"/>
  <c r="AU12" i="59"/>
  <c r="AM12" i="59"/>
  <c r="AA12" i="59"/>
  <c r="AY12" i="59" s="1"/>
  <c r="AU11" i="59"/>
  <c r="AM11" i="59"/>
  <c r="AA11" i="59"/>
  <c r="AY11" i="59" s="1"/>
  <c r="AY10" i="59"/>
  <c r="AA10" i="59"/>
  <c r="AU9" i="59"/>
  <c r="AM9" i="59"/>
  <c r="AA9" i="59"/>
  <c r="AY9" i="59" s="1"/>
  <c r="AY8" i="59"/>
  <c r="AU8" i="59"/>
  <c r="AM8" i="59"/>
  <c r="AA8" i="59"/>
  <c r="AU7" i="59"/>
  <c r="AM7" i="59"/>
  <c r="AA7" i="59"/>
  <c r="AY7" i="59" s="1"/>
  <c r="AA6" i="59"/>
  <c r="AU78" i="69"/>
  <c r="AU77" i="69"/>
  <c r="AU76" i="69"/>
  <c r="AU75" i="69"/>
  <c r="AU74" i="69"/>
  <c r="AU73" i="69"/>
  <c r="AU64" i="69"/>
  <c r="AU63" i="69"/>
  <c r="AU60" i="69"/>
  <c r="AU59" i="69"/>
  <c r="AU58" i="69"/>
  <c r="AU57" i="69"/>
  <c r="AU56" i="69"/>
  <c r="AU53" i="69"/>
  <c r="AU52" i="69"/>
  <c r="AU51" i="69"/>
  <c r="AU50" i="69"/>
  <c r="AU49" i="69"/>
  <c r="AU48" i="69"/>
  <c r="AU47" i="69"/>
  <c r="AU46" i="69"/>
  <c r="AU45" i="69"/>
  <c r="AU44" i="69"/>
  <c r="AU43" i="69"/>
  <c r="AU42" i="69"/>
  <c r="AU41" i="69"/>
  <c r="AU40" i="69"/>
  <c r="AU39" i="69"/>
  <c r="AU38" i="69"/>
  <c r="AU37" i="69"/>
  <c r="AU36" i="69"/>
  <c r="AU35" i="69"/>
  <c r="AU34" i="69"/>
  <c r="AU33" i="69"/>
  <c r="AU32" i="69"/>
  <c r="AU31" i="69"/>
  <c r="AU30" i="69"/>
  <c r="AU29" i="69"/>
  <c r="AU28" i="69"/>
  <c r="AU27" i="69"/>
  <c r="AU26" i="69"/>
  <c r="AU23" i="69"/>
  <c r="AU22" i="69"/>
  <c r="AU21" i="69"/>
  <c r="AU20" i="69"/>
  <c r="AU19" i="69"/>
  <c r="AU18" i="69"/>
  <c r="AU17" i="69"/>
  <c r="AU16" i="69"/>
  <c r="AU15" i="69"/>
  <c r="AU14" i="69"/>
  <c r="AU12" i="69"/>
  <c r="AU11" i="69"/>
  <c r="AU9" i="69"/>
  <c r="AU8" i="69"/>
  <c r="AU7" i="69"/>
  <c r="AU6" i="69"/>
  <c r="AU78" i="56"/>
  <c r="AU77" i="56"/>
  <c r="AU76" i="56"/>
  <c r="AU75" i="56"/>
  <c r="AU74" i="56"/>
  <c r="AU73" i="56"/>
  <c r="AU64" i="56"/>
  <c r="AU63" i="56"/>
  <c r="AU60" i="56"/>
  <c r="AU59" i="56"/>
  <c r="AU58" i="56"/>
  <c r="AU57" i="56"/>
  <c r="AU56" i="56"/>
  <c r="AU53" i="56"/>
  <c r="AU52" i="56"/>
  <c r="AU51" i="56"/>
  <c r="AU50" i="56"/>
  <c r="AU49" i="56"/>
  <c r="AU48" i="56"/>
  <c r="AU47" i="56"/>
  <c r="AU46" i="56"/>
  <c r="AU45" i="56"/>
  <c r="AU44" i="56"/>
  <c r="AU43" i="56"/>
  <c r="AU42" i="56"/>
  <c r="AU40" i="56"/>
  <c r="AU39" i="56"/>
  <c r="AU38" i="56"/>
  <c r="AU37" i="56"/>
  <c r="AU36" i="56"/>
  <c r="AU35" i="56"/>
  <c r="AU34" i="56"/>
  <c r="AU33" i="56"/>
  <c r="AU32" i="56"/>
  <c r="AU31" i="56"/>
  <c r="AU30" i="56"/>
  <c r="AU29" i="56"/>
  <c r="AU28" i="56"/>
  <c r="AU27" i="56"/>
  <c r="AU26" i="56"/>
  <c r="AU23" i="56"/>
  <c r="AU22" i="56"/>
  <c r="AU20" i="56"/>
  <c r="AU18" i="56"/>
  <c r="AU17" i="56"/>
  <c r="AU16" i="56"/>
  <c r="AU15" i="56"/>
  <c r="AU14" i="56"/>
  <c r="AU12" i="56"/>
  <c r="AU11" i="56"/>
  <c r="AU9" i="56"/>
  <c r="AU8" i="56"/>
  <c r="AU7" i="56"/>
  <c r="AU6" i="56"/>
  <c r="AU23" i="58"/>
  <c r="AU22" i="58"/>
  <c r="AU21" i="58"/>
  <c r="AU20" i="58"/>
  <c r="AU19" i="58"/>
  <c r="AU17" i="58"/>
  <c r="AU16" i="58"/>
  <c r="AU15" i="58"/>
  <c r="AU14" i="58"/>
  <c r="AU13" i="58"/>
  <c r="AU12" i="58"/>
  <c r="AU11" i="58"/>
  <c r="AU9" i="58"/>
  <c r="AU8" i="58"/>
  <c r="AU7" i="58"/>
  <c r="AU53" i="58"/>
  <c r="AU52" i="58"/>
  <c r="AU51" i="58"/>
  <c r="AU50" i="58"/>
  <c r="AU49" i="58"/>
  <c r="AU48" i="58"/>
  <c r="AU47" i="58"/>
  <c r="AU46" i="58"/>
  <c r="AU45" i="58"/>
  <c r="AU44" i="58"/>
  <c r="AU43" i="58"/>
  <c r="AU42" i="58"/>
  <c r="AU41" i="58"/>
  <c r="AU39" i="58"/>
  <c r="AU38" i="58"/>
  <c r="AU37" i="58"/>
  <c r="AU36" i="58"/>
  <c r="AU35" i="58"/>
  <c r="AU34" i="58"/>
  <c r="AU33" i="58"/>
  <c r="AU32" i="58"/>
  <c r="AU31" i="58"/>
  <c r="AU30" i="58"/>
  <c r="AU29" i="58"/>
  <c r="AU28" i="58"/>
  <c r="AU27" i="58"/>
  <c r="AU26" i="58"/>
  <c r="AU60" i="58"/>
  <c r="AU59" i="58"/>
  <c r="AU58" i="58"/>
  <c r="AU57" i="58"/>
  <c r="AU56" i="58"/>
  <c r="AU64" i="58"/>
  <c r="AU63" i="58"/>
  <c r="AU78" i="58"/>
  <c r="AU77" i="58"/>
  <c r="AU76" i="58"/>
  <c r="AU75" i="58"/>
  <c r="AU74" i="58"/>
  <c r="AU73" i="58"/>
  <c r="AU23" i="57"/>
  <c r="AU22" i="57"/>
  <c r="AU21" i="57"/>
  <c r="AU20" i="57"/>
  <c r="AU19" i="57"/>
  <c r="AU18" i="57"/>
  <c r="AU17" i="57"/>
  <c r="AU16" i="57"/>
  <c r="AU15" i="57"/>
  <c r="AU14" i="57"/>
  <c r="AU12" i="57"/>
  <c r="AU11" i="57"/>
  <c r="AU9" i="57"/>
  <c r="AU8" i="57"/>
  <c r="AU7" i="57"/>
  <c r="AU6" i="57"/>
  <c r="AU53" i="57"/>
  <c r="AU52" i="57"/>
  <c r="AU51" i="57"/>
  <c r="AU50" i="57"/>
  <c r="AU49" i="57"/>
  <c r="AU48" i="57"/>
  <c r="AU47" i="57"/>
  <c r="AU46" i="57"/>
  <c r="AU45" i="57"/>
  <c r="AU44" i="57"/>
  <c r="AU43" i="57"/>
  <c r="AU42" i="57"/>
  <c r="AU41" i="57"/>
  <c r="AU40" i="57"/>
  <c r="AU39" i="57"/>
  <c r="AU38" i="57"/>
  <c r="AU37" i="57"/>
  <c r="AU36" i="57"/>
  <c r="AU35" i="57"/>
  <c r="AU34" i="57"/>
  <c r="AU33" i="57"/>
  <c r="AU32" i="57"/>
  <c r="AU31" i="57"/>
  <c r="AU30" i="57"/>
  <c r="AU29" i="57"/>
  <c r="AU28" i="57"/>
  <c r="AU27" i="57"/>
  <c r="AU26" i="57"/>
  <c r="AU60" i="57"/>
  <c r="AU59" i="57"/>
  <c r="AU58" i="57"/>
  <c r="AU57" i="57"/>
  <c r="AU56" i="57"/>
  <c r="AU64" i="57"/>
  <c r="AU63" i="57"/>
  <c r="AU78" i="57"/>
  <c r="AU77" i="57"/>
  <c r="AU76" i="57"/>
  <c r="AU75" i="57"/>
  <c r="AU74" i="57"/>
  <c r="AU73" i="57"/>
  <c r="AU47" i="55"/>
  <c r="AI47" i="60" s="1"/>
  <c r="AI39" i="60"/>
  <c r="AQ78" i="59"/>
  <c r="AQ77" i="59"/>
  <c r="AQ76" i="59"/>
  <c r="AQ75" i="59"/>
  <c r="AQ74" i="59"/>
  <c r="AQ73" i="59"/>
  <c r="AQ64" i="59"/>
  <c r="AQ63" i="59"/>
  <c r="AQ60" i="59"/>
  <c r="AQ59" i="59"/>
  <c r="AQ58" i="59"/>
  <c r="AQ57" i="59"/>
  <c r="AQ56" i="59"/>
  <c r="AQ53" i="59"/>
  <c r="AQ52" i="59"/>
  <c r="AQ51" i="59"/>
  <c r="AQ50" i="59"/>
  <c r="AQ49" i="59"/>
  <c r="AQ48" i="59"/>
  <c r="AQ47" i="59"/>
  <c r="AQ46" i="59"/>
  <c r="AQ45" i="59"/>
  <c r="AQ44" i="59"/>
  <c r="AQ43" i="59"/>
  <c r="AQ42" i="59"/>
  <c r="AQ41" i="59"/>
  <c r="AQ40" i="59"/>
  <c r="AQ39" i="59"/>
  <c r="AQ38" i="59"/>
  <c r="AQ37" i="59"/>
  <c r="AQ36" i="59"/>
  <c r="AQ35" i="59"/>
  <c r="AQ34" i="59"/>
  <c r="AQ33" i="59"/>
  <c r="AQ32" i="59"/>
  <c r="AQ31" i="59"/>
  <c r="AQ30" i="59"/>
  <c r="AQ29" i="59"/>
  <c r="AQ28" i="59"/>
  <c r="AQ27" i="59"/>
  <c r="AQ26" i="59"/>
  <c r="AQ23" i="59"/>
  <c r="AQ22" i="59"/>
  <c r="AQ21" i="59"/>
  <c r="AQ20" i="59"/>
  <c r="AQ19" i="59"/>
  <c r="AQ18" i="59"/>
  <c r="AQ17" i="59"/>
  <c r="AQ16" i="59"/>
  <c r="AQ15" i="59"/>
  <c r="AQ14" i="59"/>
  <c r="AQ12" i="59"/>
  <c r="AQ11" i="59"/>
  <c r="AQ9" i="59"/>
  <c r="AQ7" i="59"/>
  <c r="AQ78" i="69"/>
  <c r="AQ77" i="69"/>
  <c r="AQ76" i="69"/>
  <c r="AQ75" i="69"/>
  <c r="AQ74" i="69"/>
  <c r="AQ73" i="69"/>
  <c r="AQ64" i="69"/>
  <c r="AQ63" i="69"/>
  <c r="AQ60" i="69"/>
  <c r="AQ59" i="69"/>
  <c r="AQ58" i="69"/>
  <c r="AQ57" i="69"/>
  <c r="AQ56" i="69"/>
  <c r="AQ53" i="69"/>
  <c r="AQ52" i="69"/>
  <c r="AQ51" i="69"/>
  <c r="AQ50" i="69"/>
  <c r="AQ49" i="69"/>
  <c r="AQ48" i="69"/>
  <c r="AQ47" i="69"/>
  <c r="AQ46" i="69"/>
  <c r="AQ45" i="69"/>
  <c r="AQ44" i="69"/>
  <c r="AQ43" i="69"/>
  <c r="AQ42" i="69"/>
  <c r="AQ41" i="69"/>
  <c r="AQ40" i="69"/>
  <c r="AQ39" i="69"/>
  <c r="AQ38" i="69"/>
  <c r="AQ37" i="69"/>
  <c r="AQ36" i="69"/>
  <c r="AQ35" i="69"/>
  <c r="AQ34" i="69"/>
  <c r="AQ33" i="69"/>
  <c r="AQ32" i="69"/>
  <c r="AQ31" i="69"/>
  <c r="AQ30" i="69"/>
  <c r="AQ29" i="69"/>
  <c r="AQ28" i="69"/>
  <c r="AQ27" i="69"/>
  <c r="AQ26" i="69"/>
  <c r="AQ23" i="69"/>
  <c r="AQ22" i="69"/>
  <c r="AQ21" i="69"/>
  <c r="AQ20" i="69"/>
  <c r="AQ19" i="69"/>
  <c r="AQ18" i="69"/>
  <c r="AQ17" i="69"/>
  <c r="AQ16" i="69"/>
  <c r="AQ15" i="69"/>
  <c r="AQ14" i="69"/>
  <c r="AQ13" i="69"/>
  <c r="AQ12" i="69"/>
  <c r="AQ11" i="69"/>
  <c r="AQ9" i="69"/>
  <c r="AQ8" i="69"/>
  <c r="AQ7" i="69"/>
  <c r="AQ6" i="69"/>
  <c r="AQ78" i="56"/>
  <c r="AQ77" i="56"/>
  <c r="AQ76" i="56"/>
  <c r="AQ75" i="56"/>
  <c r="AQ74" i="56"/>
  <c r="AQ73" i="56"/>
  <c r="AQ64" i="56"/>
  <c r="AQ63" i="56"/>
  <c r="AQ60" i="56"/>
  <c r="AQ59" i="56"/>
  <c r="AQ58" i="56"/>
  <c r="AQ57" i="56"/>
  <c r="AQ56" i="56"/>
  <c r="AQ53" i="56"/>
  <c r="AQ52" i="56"/>
  <c r="AQ51" i="56"/>
  <c r="AQ50" i="56"/>
  <c r="AQ49" i="56"/>
  <c r="AQ48" i="56"/>
  <c r="AQ47" i="56"/>
  <c r="AQ46" i="56"/>
  <c r="AQ45" i="56"/>
  <c r="AQ44" i="56"/>
  <c r="AQ43" i="56"/>
  <c r="AQ42" i="56"/>
  <c r="AQ41" i="56"/>
  <c r="AQ40" i="56"/>
  <c r="AQ39" i="56"/>
  <c r="AQ38" i="56"/>
  <c r="AQ37" i="56"/>
  <c r="AQ36" i="56"/>
  <c r="AQ35" i="56"/>
  <c r="AQ34" i="56"/>
  <c r="AQ33" i="56"/>
  <c r="AQ32" i="56"/>
  <c r="AQ31" i="56"/>
  <c r="AQ30" i="56"/>
  <c r="AQ29" i="56"/>
  <c r="AQ28" i="56"/>
  <c r="AQ27" i="56"/>
  <c r="AQ26" i="56"/>
  <c r="AQ23" i="56"/>
  <c r="AQ22" i="56"/>
  <c r="AQ20" i="56"/>
  <c r="AQ18" i="56"/>
  <c r="AQ16" i="56"/>
  <c r="AQ15" i="56"/>
  <c r="AQ14" i="56"/>
  <c r="AQ12" i="56"/>
  <c r="AQ11" i="56"/>
  <c r="AQ9" i="56"/>
  <c r="AQ8" i="56"/>
  <c r="AQ7" i="56"/>
  <c r="AQ6" i="56"/>
  <c r="AQ78" i="58"/>
  <c r="AQ77" i="58"/>
  <c r="AQ76" i="58"/>
  <c r="AQ75" i="58"/>
  <c r="AQ74" i="58"/>
  <c r="AQ73" i="58"/>
  <c r="AQ64" i="58"/>
  <c r="AQ63" i="58"/>
  <c r="AQ60" i="58"/>
  <c r="AQ59" i="58"/>
  <c r="AQ58" i="58"/>
  <c r="AQ57" i="58"/>
  <c r="AQ56" i="58"/>
  <c r="AQ53" i="58"/>
  <c r="AQ52" i="58"/>
  <c r="AQ51" i="58"/>
  <c r="AQ50" i="58"/>
  <c r="AQ49" i="58"/>
  <c r="AQ48" i="58"/>
  <c r="AQ47" i="58"/>
  <c r="AQ46" i="58"/>
  <c r="AQ45" i="58"/>
  <c r="AQ44" i="58"/>
  <c r="AQ43" i="58"/>
  <c r="AQ42" i="58"/>
  <c r="AQ41" i="58"/>
  <c r="AQ39" i="58"/>
  <c r="AQ38" i="58"/>
  <c r="AQ37" i="58"/>
  <c r="AQ36" i="58"/>
  <c r="AQ35" i="58"/>
  <c r="AQ34" i="58"/>
  <c r="AQ33" i="58"/>
  <c r="AQ32" i="58"/>
  <c r="AQ31" i="58"/>
  <c r="AQ30" i="58"/>
  <c r="AQ29" i="58"/>
  <c r="AQ28" i="58"/>
  <c r="AQ27" i="58"/>
  <c r="AQ26" i="58"/>
  <c r="AQ23" i="58"/>
  <c r="AQ22" i="58"/>
  <c r="AQ21" i="58"/>
  <c r="AQ20" i="58"/>
  <c r="AQ19" i="58"/>
  <c r="AQ18" i="58"/>
  <c r="AQ16" i="58"/>
  <c r="AQ15" i="58"/>
  <c r="AQ14" i="58"/>
  <c r="AQ12" i="58"/>
  <c r="AQ11" i="58"/>
  <c r="AQ10" i="58"/>
  <c r="AQ9" i="58"/>
  <c r="AQ8" i="58"/>
  <c r="AQ7" i="58"/>
  <c r="AQ78" i="57"/>
  <c r="AQ77" i="57"/>
  <c r="AQ76" i="57"/>
  <c r="AQ75" i="57"/>
  <c r="AQ74" i="57"/>
  <c r="AQ73" i="57"/>
  <c r="AQ64" i="57"/>
  <c r="AQ63" i="57"/>
  <c r="AQ60" i="57"/>
  <c r="AQ59" i="57"/>
  <c r="AQ58" i="57"/>
  <c r="AQ57" i="57"/>
  <c r="AQ56" i="57"/>
  <c r="AQ53" i="57"/>
  <c r="AQ52" i="57"/>
  <c r="AQ51" i="57"/>
  <c r="AQ50" i="57"/>
  <c r="AQ49" i="57"/>
  <c r="AQ48" i="57"/>
  <c r="AQ47" i="57"/>
  <c r="AQ46" i="57"/>
  <c r="AQ45" i="57"/>
  <c r="AQ44" i="57"/>
  <c r="AQ43" i="57"/>
  <c r="AQ42" i="57"/>
  <c r="AQ41" i="57"/>
  <c r="AQ40" i="57"/>
  <c r="AQ39" i="57"/>
  <c r="AQ38" i="57"/>
  <c r="AQ37" i="57"/>
  <c r="AQ36" i="57"/>
  <c r="AQ35" i="57"/>
  <c r="AQ34" i="57"/>
  <c r="AQ33" i="57"/>
  <c r="AQ32" i="57"/>
  <c r="AQ31" i="57"/>
  <c r="AQ30" i="57"/>
  <c r="AQ29" i="57"/>
  <c r="AQ28" i="57"/>
  <c r="AQ27" i="57"/>
  <c r="AQ26" i="57"/>
  <c r="AQ23" i="57"/>
  <c r="AQ22" i="57"/>
  <c r="AQ21" i="57"/>
  <c r="AQ20" i="57"/>
  <c r="AQ19" i="57"/>
  <c r="AQ18" i="57"/>
  <c r="AQ17" i="57"/>
  <c r="AQ16" i="57"/>
  <c r="AQ15" i="57"/>
  <c r="AQ14" i="57"/>
  <c r="AQ12" i="57"/>
  <c r="AQ11" i="57"/>
  <c r="AQ9" i="57"/>
  <c r="AQ8" i="57"/>
  <c r="AQ7" i="57"/>
  <c r="AQ6" i="57"/>
  <c r="AQ47" i="55"/>
  <c r="AQ19" i="55"/>
  <c r="AM78" i="69"/>
  <c r="AM77" i="69"/>
  <c r="AM76" i="69"/>
  <c r="AM75" i="69"/>
  <c r="AM74" i="69"/>
  <c r="AM73" i="69"/>
  <c r="AM64" i="69"/>
  <c r="AM63" i="69"/>
  <c r="AM60" i="69"/>
  <c r="AM59" i="69"/>
  <c r="AM58" i="69"/>
  <c r="AM57" i="69"/>
  <c r="AM56" i="69"/>
  <c r="AM53" i="69"/>
  <c r="AM52" i="69"/>
  <c r="AM51" i="69"/>
  <c r="AM50" i="69"/>
  <c r="AM49" i="69"/>
  <c r="AM48" i="69"/>
  <c r="AM47" i="69"/>
  <c r="AM46" i="69"/>
  <c r="AM45" i="69"/>
  <c r="AM44" i="69"/>
  <c r="AM43" i="69"/>
  <c r="AM42" i="69"/>
  <c r="AM41" i="69"/>
  <c r="AM40" i="69"/>
  <c r="AM39" i="69"/>
  <c r="AM38" i="69"/>
  <c r="AM37" i="69"/>
  <c r="AM36" i="69"/>
  <c r="AM35" i="69"/>
  <c r="AM34" i="69"/>
  <c r="AM33" i="69"/>
  <c r="AM32" i="69"/>
  <c r="AM31" i="69"/>
  <c r="AM30" i="69"/>
  <c r="AM29" i="69"/>
  <c r="AM28" i="69"/>
  <c r="AM27" i="69"/>
  <c r="AM26" i="69"/>
  <c r="AM23" i="69"/>
  <c r="AM22" i="69"/>
  <c r="AM21" i="69"/>
  <c r="AM20" i="69"/>
  <c r="AM19" i="69"/>
  <c r="AM18" i="69"/>
  <c r="AM16" i="69"/>
  <c r="AM15" i="69"/>
  <c r="AM14" i="69"/>
  <c r="AM12" i="69"/>
  <c r="AM11" i="69"/>
  <c r="AM9" i="69"/>
  <c r="AM8" i="69"/>
  <c r="AM7" i="69"/>
  <c r="AM78" i="56"/>
  <c r="AM77" i="56"/>
  <c r="AM76" i="56"/>
  <c r="AM75" i="56"/>
  <c r="AM74" i="56"/>
  <c r="AM73" i="56"/>
  <c r="AM64" i="56"/>
  <c r="AM63" i="56"/>
  <c r="AM60" i="56"/>
  <c r="AM59" i="56"/>
  <c r="AM58" i="56"/>
  <c r="AM57" i="56"/>
  <c r="AM56" i="56"/>
  <c r="AM53" i="56"/>
  <c r="AM52" i="56"/>
  <c r="AM51" i="56"/>
  <c r="AM50" i="56"/>
  <c r="AM49" i="56"/>
  <c r="AM48" i="56"/>
  <c r="AM47" i="56"/>
  <c r="AM46" i="56"/>
  <c r="AM45" i="56"/>
  <c r="AM44" i="56"/>
  <c r="AM43" i="56"/>
  <c r="AM42" i="56"/>
  <c r="AM41" i="56"/>
  <c r="AM40" i="56"/>
  <c r="AM39" i="56"/>
  <c r="AM38" i="56"/>
  <c r="AM37" i="56"/>
  <c r="AM36" i="56"/>
  <c r="AM35" i="56"/>
  <c r="AM34" i="56"/>
  <c r="AM33" i="56"/>
  <c r="AM32" i="56"/>
  <c r="AM31" i="56"/>
  <c r="AM30" i="56"/>
  <c r="AM29" i="56"/>
  <c r="AM28" i="56"/>
  <c r="AM27" i="56"/>
  <c r="AM26" i="56"/>
  <c r="AM23" i="56"/>
  <c r="AM22" i="56"/>
  <c r="AM20" i="56"/>
  <c r="AM19" i="56"/>
  <c r="AM18" i="56"/>
  <c r="AM17" i="56"/>
  <c r="AM16" i="56"/>
  <c r="AM15" i="56"/>
  <c r="AM14" i="56"/>
  <c r="AM12" i="56"/>
  <c r="AM11" i="56"/>
  <c r="AM10" i="56"/>
  <c r="AM9" i="56"/>
  <c r="AM8" i="56"/>
  <c r="AM7" i="56"/>
  <c r="AM6" i="56"/>
  <c r="AF60" i="60"/>
  <c r="AM78" i="58"/>
  <c r="AM77" i="58"/>
  <c r="AM76" i="58"/>
  <c r="AM75" i="58"/>
  <c r="AM74" i="58"/>
  <c r="AM73" i="58"/>
  <c r="AM64" i="58"/>
  <c r="AM63" i="58"/>
  <c r="AM60" i="58"/>
  <c r="AM59" i="58"/>
  <c r="AM58" i="58"/>
  <c r="AM57" i="58"/>
  <c r="AM56" i="58"/>
  <c r="AM53" i="58"/>
  <c r="AM52" i="58"/>
  <c r="AM51" i="58"/>
  <c r="AM50" i="58"/>
  <c r="AM49" i="58"/>
  <c r="AM48" i="58"/>
  <c r="AM47" i="58"/>
  <c r="AM46" i="58"/>
  <c r="AM45" i="58"/>
  <c r="AM44" i="58"/>
  <c r="AM43" i="58"/>
  <c r="AM42" i="58"/>
  <c r="AM41" i="58"/>
  <c r="AM39" i="58"/>
  <c r="AM38" i="58"/>
  <c r="AM37" i="58"/>
  <c r="AM36" i="58"/>
  <c r="AM35" i="58"/>
  <c r="AM34" i="58"/>
  <c r="AM33" i="58"/>
  <c r="AM32" i="58"/>
  <c r="AM31" i="58"/>
  <c r="AM30" i="58"/>
  <c r="AM29" i="58"/>
  <c r="AM28" i="58"/>
  <c r="AM27" i="58"/>
  <c r="AM26" i="58"/>
  <c r="AM23" i="58"/>
  <c r="AM22" i="58"/>
  <c r="AM21" i="58"/>
  <c r="AM20" i="58"/>
  <c r="AM19" i="58"/>
  <c r="AM17" i="58"/>
  <c r="AM16" i="58"/>
  <c r="AM15" i="58"/>
  <c r="AM14" i="58"/>
  <c r="AM12" i="58"/>
  <c r="AM11" i="58"/>
  <c r="AM9" i="58"/>
  <c r="AM8" i="58"/>
  <c r="AM7" i="58"/>
  <c r="AM78" i="57"/>
  <c r="AM77" i="57"/>
  <c r="AM76" i="57"/>
  <c r="AM75" i="57"/>
  <c r="AM74" i="57"/>
  <c r="AM73" i="57"/>
  <c r="AM64" i="57"/>
  <c r="AM63" i="57"/>
  <c r="AM60" i="57"/>
  <c r="AM59" i="57"/>
  <c r="AM58" i="57"/>
  <c r="AM57" i="57"/>
  <c r="AM56" i="57"/>
  <c r="AM53" i="57"/>
  <c r="AM52" i="57"/>
  <c r="AM51" i="57"/>
  <c r="AM50" i="57"/>
  <c r="AM49" i="57"/>
  <c r="AM48" i="57"/>
  <c r="AM47" i="57"/>
  <c r="AM46" i="57"/>
  <c r="AM45" i="57"/>
  <c r="AM44" i="57"/>
  <c r="AM43" i="57"/>
  <c r="AM42" i="57"/>
  <c r="AM41" i="57"/>
  <c r="AM40" i="57"/>
  <c r="AM39" i="57"/>
  <c r="AM38" i="57"/>
  <c r="AM37" i="57"/>
  <c r="AM36" i="57"/>
  <c r="AM35" i="57"/>
  <c r="AM34" i="57"/>
  <c r="AM33" i="57"/>
  <c r="AM32" i="57"/>
  <c r="AM31" i="57"/>
  <c r="AM30" i="57"/>
  <c r="AM29" i="57"/>
  <c r="AM28" i="57"/>
  <c r="AM27" i="57"/>
  <c r="AM26" i="57"/>
  <c r="AM23" i="57"/>
  <c r="AM22" i="57"/>
  <c r="AM21" i="57"/>
  <c r="AM20" i="57"/>
  <c r="AM19" i="57"/>
  <c r="AM18" i="57"/>
  <c r="AM17" i="57"/>
  <c r="AM16" i="57"/>
  <c r="AM15" i="57"/>
  <c r="AM14" i="57"/>
  <c r="AM13" i="57"/>
  <c r="AM12" i="57"/>
  <c r="AM11" i="57"/>
  <c r="AM10" i="57"/>
  <c r="AM9" i="57"/>
  <c r="AM8" i="57"/>
  <c r="AM7" i="57"/>
  <c r="AM6" i="57"/>
  <c r="AM47" i="55"/>
  <c r="AM22" i="55"/>
  <c r="AM21" i="55"/>
  <c r="AM20" i="55"/>
  <c r="AM19" i="55"/>
  <c r="AI78" i="69"/>
  <c r="AI77" i="69"/>
  <c r="AI76" i="69"/>
  <c r="AI75" i="69"/>
  <c r="AI74" i="69"/>
  <c r="AI73" i="69"/>
  <c r="AI64" i="69"/>
  <c r="AI63" i="69"/>
  <c r="AI60" i="69"/>
  <c r="AI59" i="69"/>
  <c r="Z59" i="60" s="1"/>
  <c r="AI58" i="69"/>
  <c r="AI57" i="69"/>
  <c r="AI56" i="69"/>
  <c r="AI53" i="69"/>
  <c r="AI52" i="69"/>
  <c r="AI51" i="69"/>
  <c r="AI50" i="69"/>
  <c r="AI49" i="69"/>
  <c r="AI48" i="69"/>
  <c r="AI47" i="69"/>
  <c r="AI46" i="69"/>
  <c r="AI45" i="69"/>
  <c r="AI44" i="69"/>
  <c r="AI43" i="69"/>
  <c r="AI42" i="69"/>
  <c r="AI40" i="69"/>
  <c r="AI39" i="69"/>
  <c r="AI38" i="69"/>
  <c r="AI37" i="69"/>
  <c r="AI36" i="69"/>
  <c r="AI35" i="69"/>
  <c r="AI34" i="69"/>
  <c r="AI33" i="69"/>
  <c r="AI32" i="69"/>
  <c r="AI31" i="69"/>
  <c r="AI30" i="69"/>
  <c r="AI29" i="69"/>
  <c r="AI28" i="69"/>
  <c r="AI27" i="69"/>
  <c r="AI26" i="69"/>
  <c r="AI23" i="69"/>
  <c r="AI22" i="69"/>
  <c r="AI21" i="69"/>
  <c r="AI20" i="69"/>
  <c r="AI19" i="69"/>
  <c r="AI18" i="69"/>
  <c r="AI17" i="69"/>
  <c r="AI16" i="69"/>
  <c r="AI15" i="69"/>
  <c r="AI14" i="69"/>
  <c r="AI12" i="69"/>
  <c r="AI11" i="69"/>
  <c r="AI9" i="69"/>
  <c r="AI8" i="69"/>
  <c r="AI7" i="69"/>
  <c r="AI78" i="56"/>
  <c r="AI77" i="56"/>
  <c r="AI76" i="56"/>
  <c r="AI75" i="56"/>
  <c r="AI74" i="56"/>
  <c r="AI73" i="56"/>
  <c r="AI64" i="56"/>
  <c r="AI63" i="56"/>
  <c r="AI60" i="56"/>
  <c r="AI59" i="56"/>
  <c r="AI58" i="56"/>
  <c r="AI57" i="56"/>
  <c r="AI56" i="56"/>
  <c r="AI53" i="56"/>
  <c r="AI52" i="56"/>
  <c r="AI51" i="56"/>
  <c r="AI50" i="56"/>
  <c r="AI49" i="56"/>
  <c r="AI48" i="56"/>
  <c r="AI47" i="56"/>
  <c r="AI46" i="56"/>
  <c r="AI45" i="56"/>
  <c r="AI44" i="56"/>
  <c r="AI43" i="56"/>
  <c r="AI42" i="56"/>
  <c r="AI40" i="56"/>
  <c r="AI39" i="56"/>
  <c r="AI38" i="56"/>
  <c r="AI37" i="56"/>
  <c r="AI36" i="56"/>
  <c r="AI35" i="56"/>
  <c r="AI34" i="56"/>
  <c r="AI33" i="56"/>
  <c r="AI32" i="56"/>
  <c r="AI31" i="56"/>
  <c r="AI30" i="56"/>
  <c r="AI29" i="56"/>
  <c r="AI28" i="56"/>
  <c r="AI27" i="56"/>
  <c r="AI26" i="56"/>
  <c r="AI23" i="56"/>
  <c r="AI22" i="56"/>
  <c r="AI20" i="56"/>
  <c r="AI19" i="56"/>
  <c r="AI18" i="56"/>
  <c r="AI16" i="56"/>
  <c r="AI15" i="56"/>
  <c r="AI14" i="56"/>
  <c r="AI12" i="56"/>
  <c r="AI11" i="56"/>
  <c r="AI9" i="56"/>
  <c r="AI8" i="56"/>
  <c r="AI7" i="56"/>
  <c r="AI6" i="56"/>
  <c r="AI78" i="59"/>
  <c r="AI77" i="59"/>
  <c r="AI76" i="59"/>
  <c r="AI75" i="59"/>
  <c r="AI74" i="59"/>
  <c r="AI73" i="59"/>
  <c r="AI64" i="59"/>
  <c r="AI63" i="59"/>
  <c r="AI60" i="59"/>
  <c r="AI59" i="59"/>
  <c r="AI58" i="59"/>
  <c r="AI57" i="59"/>
  <c r="AI56" i="59"/>
  <c r="AI53" i="59"/>
  <c r="AI52" i="59"/>
  <c r="AI51" i="59"/>
  <c r="AI50" i="59"/>
  <c r="AI49" i="59"/>
  <c r="AI48" i="59"/>
  <c r="AI47" i="59"/>
  <c r="AI46" i="59"/>
  <c r="AI45" i="59"/>
  <c r="AI44" i="59"/>
  <c r="AI43" i="59"/>
  <c r="AI42" i="59"/>
  <c r="AI41" i="59"/>
  <c r="AI40" i="59"/>
  <c r="AI39" i="59"/>
  <c r="AI38" i="59"/>
  <c r="AI37" i="59"/>
  <c r="AI36" i="59"/>
  <c r="AI35" i="59"/>
  <c r="AI34" i="59"/>
  <c r="AI33" i="59"/>
  <c r="AI32" i="59"/>
  <c r="AI31" i="59"/>
  <c r="AI30" i="59"/>
  <c r="AI29" i="59"/>
  <c r="AI28" i="59"/>
  <c r="AI27" i="59"/>
  <c r="AI26" i="59"/>
  <c r="AI23" i="59"/>
  <c r="AI22" i="59"/>
  <c r="AI21" i="59"/>
  <c r="AI20" i="59"/>
  <c r="AI19" i="59"/>
  <c r="AI18" i="59"/>
  <c r="AI16" i="59"/>
  <c r="AI15" i="59"/>
  <c r="AI14" i="59"/>
  <c r="AI12" i="59"/>
  <c r="AI11" i="59"/>
  <c r="AI9" i="59"/>
  <c r="AI8" i="59"/>
  <c r="AI7" i="59"/>
  <c r="AI78" i="58"/>
  <c r="AI77" i="58"/>
  <c r="AI76" i="58"/>
  <c r="AI75" i="58"/>
  <c r="AI74" i="58"/>
  <c r="AI73" i="58"/>
  <c r="AI64" i="58"/>
  <c r="AI63" i="58"/>
  <c r="AI60" i="58"/>
  <c r="AI59" i="58"/>
  <c r="AI58" i="58"/>
  <c r="AI57" i="58"/>
  <c r="AI56" i="58"/>
  <c r="AI53" i="58"/>
  <c r="AI52" i="58"/>
  <c r="AI51" i="58"/>
  <c r="AI50" i="58"/>
  <c r="AI49" i="58"/>
  <c r="AI48" i="58"/>
  <c r="AI47" i="58"/>
  <c r="AI46" i="58"/>
  <c r="AI45" i="58"/>
  <c r="AI44" i="58"/>
  <c r="AI43" i="58"/>
  <c r="AI42" i="58"/>
  <c r="AI40" i="58"/>
  <c r="AI39" i="58"/>
  <c r="AI38" i="58"/>
  <c r="AI37" i="58"/>
  <c r="AI36" i="58"/>
  <c r="AI35" i="58"/>
  <c r="AI34" i="58"/>
  <c r="AI33" i="58"/>
  <c r="AI32" i="58"/>
  <c r="AI31" i="58"/>
  <c r="AI30" i="58"/>
  <c r="AI29" i="58"/>
  <c r="AI28" i="58"/>
  <c r="AI27" i="58"/>
  <c r="AI26" i="58"/>
  <c r="AI23" i="58"/>
  <c r="AI22" i="58"/>
  <c r="AI21" i="58"/>
  <c r="AI20" i="58"/>
  <c r="AI19" i="58"/>
  <c r="AI17" i="58"/>
  <c r="AI16" i="58"/>
  <c r="AI15" i="58"/>
  <c r="AI14" i="58"/>
  <c r="AI13" i="58"/>
  <c r="AI12" i="58"/>
  <c r="AI11" i="58"/>
  <c r="AI10" i="58"/>
  <c r="AI9" i="58"/>
  <c r="AI8" i="58"/>
  <c r="AI7" i="58"/>
  <c r="AI6" i="58"/>
  <c r="AI23" i="57"/>
  <c r="AI22" i="57"/>
  <c r="AI21" i="57"/>
  <c r="AI20" i="57"/>
  <c r="AI19" i="57"/>
  <c r="AI18" i="57"/>
  <c r="AI17" i="57"/>
  <c r="AI16" i="57"/>
  <c r="AI15" i="57"/>
  <c r="AI14" i="57"/>
  <c r="AI13" i="57"/>
  <c r="AI12" i="57"/>
  <c r="AI11" i="57"/>
  <c r="AI10" i="57"/>
  <c r="AI9" i="57"/>
  <c r="AI8" i="57"/>
  <c r="AI7" i="57"/>
  <c r="AI6" i="57"/>
  <c r="AI53" i="57"/>
  <c r="AI52" i="57"/>
  <c r="AI51" i="57"/>
  <c r="AI50" i="57"/>
  <c r="AI49" i="57"/>
  <c r="AI48" i="57"/>
  <c r="AI47" i="57"/>
  <c r="AI46" i="57"/>
  <c r="AI45" i="57"/>
  <c r="AI44" i="57"/>
  <c r="AI43" i="57"/>
  <c r="AI42" i="57"/>
  <c r="AI41" i="57"/>
  <c r="AI40" i="57"/>
  <c r="AI39" i="57"/>
  <c r="AI38" i="57"/>
  <c r="AI37" i="57"/>
  <c r="AI36" i="57"/>
  <c r="AI35" i="57"/>
  <c r="AI34" i="57"/>
  <c r="AI33" i="57"/>
  <c r="AI32" i="57"/>
  <c r="AI31" i="57"/>
  <c r="AI30" i="57"/>
  <c r="AI29" i="57"/>
  <c r="AI28" i="57"/>
  <c r="AI27" i="57"/>
  <c r="AI26" i="57"/>
  <c r="AI60" i="57"/>
  <c r="Z60" i="60" s="1"/>
  <c r="AI59" i="57"/>
  <c r="AI58" i="57"/>
  <c r="AI57" i="57"/>
  <c r="AI56" i="57"/>
  <c r="AI64" i="57"/>
  <c r="AI63" i="57"/>
  <c r="AI78" i="57"/>
  <c r="AI77" i="57"/>
  <c r="AI76" i="57"/>
  <c r="AI75" i="57"/>
  <c r="AI74" i="57"/>
  <c r="AI73" i="57"/>
  <c r="AI47" i="55"/>
  <c r="AI40" i="55"/>
  <c r="AI23" i="55"/>
  <c r="AI22" i="55"/>
  <c r="AI21" i="55"/>
  <c r="AI20" i="55"/>
  <c r="AE78" i="69"/>
  <c r="AE77" i="69"/>
  <c r="AE76" i="69"/>
  <c r="AE75" i="69"/>
  <c r="AE74" i="69"/>
  <c r="AE73" i="69"/>
  <c r="AE64" i="69"/>
  <c r="AE63" i="69"/>
  <c r="AE60" i="69"/>
  <c r="AE59" i="69"/>
  <c r="AE58" i="69"/>
  <c r="AE57" i="69"/>
  <c r="AE56" i="69"/>
  <c r="AE53" i="69"/>
  <c r="AE52" i="69"/>
  <c r="AE51" i="69"/>
  <c r="AE50" i="69"/>
  <c r="AE49" i="69"/>
  <c r="AE48" i="69"/>
  <c r="AE47" i="69"/>
  <c r="AE46" i="69"/>
  <c r="AE45" i="69"/>
  <c r="AE44" i="69"/>
  <c r="AE43" i="69"/>
  <c r="AE42" i="69"/>
  <c r="AE41" i="69"/>
  <c r="AE40" i="69"/>
  <c r="AE39" i="69"/>
  <c r="AE38" i="69"/>
  <c r="AE37" i="69"/>
  <c r="AE36" i="69"/>
  <c r="AE35" i="69"/>
  <c r="AE34" i="69"/>
  <c r="AE33" i="69"/>
  <c r="AE32" i="69"/>
  <c r="AE31" i="69"/>
  <c r="AE30" i="69"/>
  <c r="AE29" i="69"/>
  <c r="AE28" i="69"/>
  <c r="AE27" i="69"/>
  <c r="AE26" i="69"/>
  <c r="AE23" i="69"/>
  <c r="AE22" i="69"/>
  <c r="AE21" i="69"/>
  <c r="AE20" i="69"/>
  <c r="AE19" i="69"/>
  <c r="AE18" i="69"/>
  <c r="AE17" i="69"/>
  <c r="AE16" i="69"/>
  <c r="AE15" i="69"/>
  <c r="AE14" i="69"/>
  <c r="AE12" i="69"/>
  <c r="AE11" i="69"/>
  <c r="AE9" i="69"/>
  <c r="AE8" i="69"/>
  <c r="AE7" i="69"/>
  <c r="AE78" i="56"/>
  <c r="AE77" i="56"/>
  <c r="AE76" i="56"/>
  <c r="AE75" i="56"/>
  <c r="AE74" i="56"/>
  <c r="AE73" i="56"/>
  <c r="AE64" i="56"/>
  <c r="AE63" i="56"/>
  <c r="AE60" i="56"/>
  <c r="AE59" i="56"/>
  <c r="AE58" i="56"/>
  <c r="AE57" i="56"/>
  <c r="AE56" i="56"/>
  <c r="AE53" i="56"/>
  <c r="AE52" i="56"/>
  <c r="AE51" i="56"/>
  <c r="AE50" i="56"/>
  <c r="AE49" i="56"/>
  <c r="AE48" i="56"/>
  <c r="AE47" i="56"/>
  <c r="AE46" i="56"/>
  <c r="AE45" i="56"/>
  <c r="AE44" i="56"/>
  <c r="AE43" i="56"/>
  <c r="AE42" i="56"/>
  <c r="AE41" i="56"/>
  <c r="AE40" i="56"/>
  <c r="AE39" i="56"/>
  <c r="AE38" i="56"/>
  <c r="AE37" i="56"/>
  <c r="AE36" i="56"/>
  <c r="AE35" i="56"/>
  <c r="AE34" i="56"/>
  <c r="AE33" i="56"/>
  <c r="AE32" i="56"/>
  <c r="AE31" i="56"/>
  <c r="AE30" i="56"/>
  <c r="AE29" i="56"/>
  <c r="AE28" i="56"/>
  <c r="AE27" i="56"/>
  <c r="AE26" i="56"/>
  <c r="AE23" i="56"/>
  <c r="AE22" i="56"/>
  <c r="AE20" i="56"/>
  <c r="AE19" i="56"/>
  <c r="AE18" i="56"/>
  <c r="AE16" i="56"/>
  <c r="AE15" i="56"/>
  <c r="AE14" i="56"/>
  <c r="AE12" i="56"/>
  <c r="AE11" i="56"/>
  <c r="AE9" i="56"/>
  <c r="AE8" i="56"/>
  <c r="AE7" i="56"/>
  <c r="AE6" i="56"/>
  <c r="AE78" i="59"/>
  <c r="AE77" i="59"/>
  <c r="AE76" i="59"/>
  <c r="AE75" i="59"/>
  <c r="AE74" i="59"/>
  <c r="AE73" i="59"/>
  <c r="AE64" i="59"/>
  <c r="AE63" i="59"/>
  <c r="AE60" i="59"/>
  <c r="AE59" i="59"/>
  <c r="AE58" i="59"/>
  <c r="AE57" i="59"/>
  <c r="AE56" i="59"/>
  <c r="AE53" i="59"/>
  <c r="AE52" i="59"/>
  <c r="AE51" i="59"/>
  <c r="AE50" i="59"/>
  <c r="AE49" i="59"/>
  <c r="AE48" i="59"/>
  <c r="AE47" i="59"/>
  <c r="AE46" i="59"/>
  <c r="AE45" i="59"/>
  <c r="AE44" i="59"/>
  <c r="AE43" i="59"/>
  <c r="AE42" i="59"/>
  <c r="AE41" i="59"/>
  <c r="AE40" i="59"/>
  <c r="AE39" i="59"/>
  <c r="AE38" i="59"/>
  <c r="AE37" i="59"/>
  <c r="AE36" i="59"/>
  <c r="AE35" i="59"/>
  <c r="AE34" i="59"/>
  <c r="AE33" i="59"/>
  <c r="AE32" i="59"/>
  <c r="AE31" i="59"/>
  <c r="AE30" i="59"/>
  <c r="AE29" i="59"/>
  <c r="AE28" i="59"/>
  <c r="AE27" i="59"/>
  <c r="AE26" i="59"/>
  <c r="AE23" i="59"/>
  <c r="AE22" i="59"/>
  <c r="AE21" i="59"/>
  <c r="AE20" i="59"/>
  <c r="AE19" i="59"/>
  <c r="AE18" i="59"/>
  <c r="AE17" i="59"/>
  <c r="AE16" i="59"/>
  <c r="AE15" i="59"/>
  <c r="AE14" i="59"/>
  <c r="AE12" i="59"/>
  <c r="AE11" i="59"/>
  <c r="AE9" i="59"/>
  <c r="AE8" i="59"/>
  <c r="AE7" i="59"/>
  <c r="AE78" i="58"/>
  <c r="AE77" i="58"/>
  <c r="AE76" i="58"/>
  <c r="AE75" i="58"/>
  <c r="AE74" i="58"/>
  <c r="AE73" i="58"/>
  <c r="AE64" i="58"/>
  <c r="AE63" i="58"/>
  <c r="AE60" i="58"/>
  <c r="AE59" i="58"/>
  <c r="AE58" i="58"/>
  <c r="AE57" i="58"/>
  <c r="AE56" i="58"/>
  <c r="AE53" i="58"/>
  <c r="AE52" i="58"/>
  <c r="AE51" i="58"/>
  <c r="AE50" i="58"/>
  <c r="AE49" i="58"/>
  <c r="AE48" i="58"/>
  <c r="AE47" i="58"/>
  <c r="AE46" i="58"/>
  <c r="AE45" i="58"/>
  <c r="AE44" i="58"/>
  <c r="AE43" i="58"/>
  <c r="AE42" i="58"/>
  <c r="AE39" i="58"/>
  <c r="AE38" i="58"/>
  <c r="AE37" i="58"/>
  <c r="AE36" i="58"/>
  <c r="AE35" i="58"/>
  <c r="AE34" i="58"/>
  <c r="AE33" i="58"/>
  <c r="AE32" i="58"/>
  <c r="AE31" i="58"/>
  <c r="AE30" i="58"/>
  <c r="AE29" i="58"/>
  <c r="AE28" i="58"/>
  <c r="AE27" i="58"/>
  <c r="AE26" i="58"/>
  <c r="AE23" i="58"/>
  <c r="AE22" i="58"/>
  <c r="AE21" i="58"/>
  <c r="AE16" i="58"/>
  <c r="AE15" i="58"/>
  <c r="AE14" i="58"/>
  <c r="AE13" i="58"/>
  <c r="AE12" i="58"/>
  <c r="AE11" i="58"/>
  <c r="AE10" i="58"/>
  <c r="AE9" i="58"/>
  <c r="AE8" i="58"/>
  <c r="AE7" i="58"/>
  <c r="AE78" i="57"/>
  <c r="AE77" i="57"/>
  <c r="AE76" i="57"/>
  <c r="AE75" i="57"/>
  <c r="AE74" i="57"/>
  <c r="AE73" i="57"/>
  <c r="AE64" i="57"/>
  <c r="AE63" i="57"/>
  <c r="AE60" i="57"/>
  <c r="AE59" i="57"/>
  <c r="AE58" i="57"/>
  <c r="AE57" i="57"/>
  <c r="AE56" i="57"/>
  <c r="AE53" i="57"/>
  <c r="AE52" i="57"/>
  <c r="AE51" i="57"/>
  <c r="AE50" i="57"/>
  <c r="AE49" i="57"/>
  <c r="AE48" i="57"/>
  <c r="AE47" i="57"/>
  <c r="AE46" i="57"/>
  <c r="AE45" i="57"/>
  <c r="AE44" i="57"/>
  <c r="AE43" i="57"/>
  <c r="AE42" i="57"/>
  <c r="AE41" i="57"/>
  <c r="AE40" i="57"/>
  <c r="AE39" i="57"/>
  <c r="AE38" i="57"/>
  <c r="AE37" i="57"/>
  <c r="AE36" i="57"/>
  <c r="AE35" i="57"/>
  <c r="AE34" i="57"/>
  <c r="AE33" i="57"/>
  <c r="AE32" i="57"/>
  <c r="AE31" i="57"/>
  <c r="AE30" i="57"/>
  <c r="AE29" i="57"/>
  <c r="AE28" i="57"/>
  <c r="AE27" i="57"/>
  <c r="AE26" i="57"/>
  <c r="AE23" i="57"/>
  <c r="AE22" i="57"/>
  <c r="AE21" i="57"/>
  <c r="AE20" i="57"/>
  <c r="AE19" i="57"/>
  <c r="AE18" i="57"/>
  <c r="AE17" i="57"/>
  <c r="AE16" i="57"/>
  <c r="AE15" i="57"/>
  <c r="AE14" i="57"/>
  <c r="AE12" i="57"/>
  <c r="AE11" i="57"/>
  <c r="AE10" i="57"/>
  <c r="AE9" i="57"/>
  <c r="AE8" i="57"/>
  <c r="AE7" i="57"/>
  <c r="AE6" i="57"/>
  <c r="AE40" i="55"/>
  <c r="AE23" i="55"/>
  <c r="AE22" i="55"/>
  <c r="AE21" i="55"/>
  <c r="AE20" i="55"/>
  <c r="W20" i="60" s="1"/>
  <c r="AU20" i="60" s="1"/>
  <c r="BA20" i="60" s="1"/>
  <c r="AI60" i="60"/>
  <c r="AI31" i="60"/>
  <c r="Z20" i="60"/>
  <c r="W60" i="60"/>
  <c r="W39" i="60"/>
  <c r="AF7" i="60" l="1"/>
  <c r="BK7" i="55"/>
  <c r="AT6" i="60"/>
  <c r="BH7" i="55"/>
  <c r="AT7" i="60"/>
  <c r="BH6" i="55"/>
  <c r="AT24" i="60"/>
  <c r="AT81" i="60" s="1"/>
  <c r="BK71" i="69"/>
  <c r="BK71" i="57"/>
  <c r="AC20" i="60"/>
  <c r="V65" i="60"/>
  <c r="Y65" i="60"/>
  <c r="AH65" i="60"/>
  <c r="AH79" i="60"/>
  <c r="AH61" i="60"/>
  <c r="V61" i="60"/>
  <c r="V79" i="60"/>
  <c r="AB24" i="60"/>
  <c r="Y54" i="60"/>
  <c r="Z13" i="60"/>
  <c r="Z17" i="60"/>
  <c r="Z21" i="60"/>
  <c r="Z31" i="60"/>
  <c r="Z39" i="60"/>
  <c r="Z47" i="60"/>
  <c r="AI19" i="60"/>
  <c r="Y79" i="60"/>
  <c r="V24" i="60"/>
  <c r="AB61" i="60"/>
  <c r="AB65" i="60"/>
  <c r="AB79" i="60"/>
  <c r="AE54" i="60"/>
  <c r="AH24" i="60"/>
  <c r="Y61" i="60"/>
  <c r="AB54" i="60"/>
  <c r="AE24" i="60"/>
  <c r="V54" i="60"/>
  <c r="Y24" i="60"/>
  <c r="AE61" i="60"/>
  <c r="AE65" i="60"/>
  <c r="AE79" i="60"/>
  <c r="AH54" i="60"/>
  <c r="AC10" i="60"/>
  <c r="AC59" i="60"/>
  <c r="AI10" i="60"/>
  <c r="AI58" i="60"/>
  <c r="AI7" i="60"/>
  <c r="AI59" i="60"/>
  <c r="AI6" i="60"/>
  <c r="AI13" i="60"/>
  <c r="AI17" i="60"/>
  <c r="AI40" i="60"/>
  <c r="AF17" i="60"/>
  <c r="AF31" i="60"/>
  <c r="AX31" i="60" s="1"/>
  <c r="AF39" i="60"/>
  <c r="AX39" i="60" s="1"/>
  <c r="AF47" i="60"/>
  <c r="AF59" i="60"/>
  <c r="AF10" i="60"/>
  <c r="AF19" i="60"/>
  <c r="AF58" i="60"/>
  <c r="AF6" i="60"/>
  <c r="AF13" i="60"/>
  <c r="AF40" i="60"/>
  <c r="AC6" i="60"/>
  <c r="AC22" i="60"/>
  <c r="AC40" i="60"/>
  <c r="AC58" i="60"/>
  <c r="AC13" i="60"/>
  <c r="AC17" i="60"/>
  <c r="AC21" i="60"/>
  <c r="AC31" i="60"/>
  <c r="AC39" i="60"/>
  <c r="AC47" i="60"/>
  <c r="AC7" i="60"/>
  <c r="AC19" i="60"/>
  <c r="Z10" i="60"/>
  <c r="Z6" i="60"/>
  <c r="Z22" i="60"/>
  <c r="Z40" i="60"/>
  <c r="Z58" i="60"/>
  <c r="Z7" i="60"/>
  <c r="Z19" i="60"/>
  <c r="Z23" i="60"/>
  <c r="W13" i="60"/>
  <c r="W31" i="60"/>
  <c r="W21" i="60"/>
  <c r="W47" i="60"/>
  <c r="AU47" i="60" s="1"/>
  <c r="BA47" i="60" s="1"/>
  <c r="W17" i="60"/>
  <c r="W6" i="60"/>
  <c r="W22" i="60"/>
  <c r="W40" i="60"/>
  <c r="W10" i="60"/>
  <c r="W58" i="60"/>
  <c r="W7" i="60"/>
  <c r="W19" i="60"/>
  <c r="W23" i="60"/>
  <c r="W59" i="60"/>
  <c r="AU21" i="60" l="1"/>
  <c r="AX13" i="60"/>
  <c r="AU13" i="60"/>
  <c r="AU31" i="60"/>
  <c r="BA31" i="60" s="1"/>
  <c r="AX19" i="60"/>
  <c r="AU40" i="60"/>
  <c r="AX40" i="60"/>
  <c r="BA40" i="60" s="1"/>
  <c r="AX17" i="60"/>
  <c r="AX10" i="60"/>
  <c r="AU39" i="60"/>
  <c r="BA39" i="60"/>
  <c r="AU19" i="60"/>
  <c r="BA19" i="60" s="1"/>
  <c r="AU17" i="60"/>
  <c r="BA17" i="60" s="1"/>
  <c r="AU10" i="60"/>
  <c r="BN7" i="55"/>
  <c r="AX7" i="60"/>
  <c r="AU6" i="60"/>
  <c r="AU7" i="60"/>
  <c r="AH81" i="60"/>
  <c r="AB67" i="60"/>
  <c r="AH67" i="60"/>
  <c r="Y67" i="60"/>
  <c r="V81" i="60"/>
  <c r="V67" i="60"/>
  <c r="AB81" i="60"/>
  <c r="AE81" i="60"/>
  <c r="Y81" i="60"/>
  <c r="AE67" i="60"/>
  <c r="AK60" i="60"/>
  <c r="AK59" i="60"/>
  <c r="AX79" i="69"/>
  <c r="AW79" i="69"/>
  <c r="AY78" i="69"/>
  <c r="AY77" i="69"/>
  <c r="AY76" i="69"/>
  <c r="AY75" i="69"/>
  <c r="AY74" i="69"/>
  <c r="AY73" i="69"/>
  <c r="AY79" i="69" s="1"/>
  <c r="AX65" i="69"/>
  <c r="AW65" i="69" s="1"/>
  <c r="AY64" i="69"/>
  <c r="AY63" i="69"/>
  <c r="AY65" i="69" s="1"/>
  <c r="AX61" i="69"/>
  <c r="AW61" i="69"/>
  <c r="AY60" i="69"/>
  <c r="AY59" i="69"/>
  <c r="AY58" i="69"/>
  <c r="AY57" i="69"/>
  <c r="AY56" i="69"/>
  <c r="AY61" i="69" s="1"/>
  <c r="AX54" i="69"/>
  <c r="AW54" i="69"/>
  <c r="AY53" i="69"/>
  <c r="AY52" i="69"/>
  <c r="AY51" i="69"/>
  <c r="AY50" i="69"/>
  <c r="AY49" i="69"/>
  <c r="AY48" i="69"/>
  <c r="AY47" i="69"/>
  <c r="AY46" i="69"/>
  <c r="AY45" i="69"/>
  <c r="AY44" i="69"/>
  <c r="AY43" i="69"/>
  <c r="AY42" i="69"/>
  <c r="AY41" i="69"/>
  <c r="AY40" i="69"/>
  <c r="AY39" i="69"/>
  <c r="AY38" i="69"/>
  <c r="AY37" i="69"/>
  <c r="AY36" i="69"/>
  <c r="AY35" i="69"/>
  <c r="AY34" i="69"/>
  <c r="AY33" i="69"/>
  <c r="AY32" i="69"/>
  <c r="AY31" i="69"/>
  <c r="AY30" i="69"/>
  <c r="AY29" i="69"/>
  <c r="AY28" i="69"/>
  <c r="AY27" i="69"/>
  <c r="AY26" i="69"/>
  <c r="AY23" i="69"/>
  <c r="AY22" i="69"/>
  <c r="AY21" i="69"/>
  <c r="AY20" i="69"/>
  <c r="AY19" i="69"/>
  <c r="AY18" i="69"/>
  <c r="AY17" i="69"/>
  <c r="AY16" i="69"/>
  <c r="AY15" i="69"/>
  <c r="AY14" i="69"/>
  <c r="AY13" i="69"/>
  <c r="AY12" i="69"/>
  <c r="AY11" i="69"/>
  <c r="AY10" i="69"/>
  <c r="AW24" i="69"/>
  <c r="AY9" i="69"/>
  <c r="AY8" i="69"/>
  <c r="AY7" i="69"/>
  <c r="AY6" i="69"/>
  <c r="AY24" i="69" s="1"/>
  <c r="AT79" i="69"/>
  <c r="AS79" i="69"/>
  <c r="AU79" i="69"/>
  <c r="AT65" i="69"/>
  <c r="AS65" i="69"/>
  <c r="AU65" i="69"/>
  <c r="AT61" i="69"/>
  <c r="AS61" i="69"/>
  <c r="AU61" i="69"/>
  <c r="AT54" i="69"/>
  <c r="AS54" i="69"/>
  <c r="AP79" i="69"/>
  <c r="AO79" i="69"/>
  <c r="AQ79" i="69"/>
  <c r="AP65" i="69"/>
  <c r="AO65" i="69"/>
  <c r="AQ65" i="69"/>
  <c r="AP61" i="69"/>
  <c r="AO61" i="69"/>
  <c r="AP54" i="69"/>
  <c r="AO54" i="69"/>
  <c r="AO24" i="69"/>
  <c r="AL79" i="69"/>
  <c r="AK79" i="69"/>
  <c r="AM79" i="69"/>
  <c r="AL65" i="69"/>
  <c r="AK65" i="69"/>
  <c r="AM65" i="69"/>
  <c r="AL61" i="69"/>
  <c r="AK61" i="69"/>
  <c r="AM61" i="69"/>
  <c r="AL54" i="69"/>
  <c r="AK54" i="69"/>
  <c r="AH79" i="69"/>
  <c r="AG79" i="69"/>
  <c r="AH65" i="69"/>
  <c r="AG65" i="69"/>
  <c r="AI65" i="69"/>
  <c r="AH61" i="69"/>
  <c r="AG61" i="69"/>
  <c r="AI61" i="69"/>
  <c r="AH54" i="69"/>
  <c r="AG54" i="69"/>
  <c r="AI54" i="69"/>
  <c r="AG24" i="69"/>
  <c r="AD79" i="69"/>
  <c r="AC79" i="69"/>
  <c r="AE79" i="69"/>
  <c r="AE69" i="69"/>
  <c r="AY69" i="69" s="1"/>
  <c r="AD65" i="69"/>
  <c r="AC65" i="69"/>
  <c r="AE65" i="69"/>
  <c r="AD61" i="69"/>
  <c r="AC61" i="69"/>
  <c r="AE61" i="69"/>
  <c r="AD54" i="69"/>
  <c r="AC54" i="69"/>
  <c r="AC24" i="69"/>
  <c r="AX79" i="56"/>
  <c r="AW79" i="56"/>
  <c r="AY78" i="56"/>
  <c r="AY77" i="56"/>
  <c r="AY76" i="56"/>
  <c r="AY75" i="56"/>
  <c r="AY74" i="56"/>
  <c r="AY73" i="56"/>
  <c r="AY79" i="56" s="1"/>
  <c r="AX65" i="56"/>
  <c r="AW65" i="56"/>
  <c r="AY64" i="56"/>
  <c r="AY63" i="56"/>
  <c r="AY65" i="56" s="1"/>
  <c r="AX61" i="56"/>
  <c r="AW61" i="56"/>
  <c r="AY60" i="56"/>
  <c r="AY59" i="56"/>
  <c r="AY58" i="56"/>
  <c r="AY61" i="56" s="1"/>
  <c r="AY57" i="56"/>
  <c r="AY56" i="56"/>
  <c r="AX54" i="56"/>
  <c r="AW54" i="56"/>
  <c r="AY53" i="56"/>
  <c r="AY52" i="56"/>
  <c r="AY51" i="56"/>
  <c r="AY50" i="56"/>
  <c r="AY49" i="56"/>
  <c r="AY48" i="56"/>
  <c r="AY47" i="56"/>
  <c r="AY46" i="56"/>
  <c r="AY45" i="56"/>
  <c r="AY44" i="56"/>
  <c r="AY43" i="56"/>
  <c r="AY42" i="56"/>
  <c r="AY41" i="56"/>
  <c r="AY40" i="56"/>
  <c r="AY39" i="56"/>
  <c r="AY38" i="56"/>
  <c r="AY37" i="56"/>
  <c r="AY36" i="56"/>
  <c r="AY35" i="56"/>
  <c r="AY34" i="56"/>
  <c r="AY33" i="56"/>
  <c r="AY32" i="56"/>
  <c r="AY31" i="56"/>
  <c r="AY30" i="56"/>
  <c r="AY29" i="56"/>
  <c r="AY28" i="56"/>
  <c r="AY27" i="56"/>
  <c r="AY54" i="56" s="1"/>
  <c r="AY26" i="56"/>
  <c r="AY23" i="56"/>
  <c r="AY22" i="56"/>
  <c r="AY21" i="56"/>
  <c r="AY20" i="56"/>
  <c r="AY19" i="56"/>
  <c r="AY18" i="56"/>
  <c r="AY17" i="56"/>
  <c r="AY16" i="56"/>
  <c r="AY15" i="56"/>
  <c r="AY14" i="56"/>
  <c r="AY13" i="56"/>
  <c r="AY12" i="56"/>
  <c r="AY11" i="56"/>
  <c r="AY10" i="56"/>
  <c r="AY9" i="56"/>
  <c r="AY8" i="56"/>
  <c r="AY7" i="56"/>
  <c r="AY6" i="56"/>
  <c r="AT79" i="56"/>
  <c r="AS79" i="56"/>
  <c r="AU79" i="56"/>
  <c r="AT65" i="56"/>
  <c r="AS65" i="56"/>
  <c r="AU65" i="56"/>
  <c r="AT61" i="56"/>
  <c r="AS61" i="56"/>
  <c r="AU61" i="56"/>
  <c r="AT54" i="56"/>
  <c r="AS54" i="56"/>
  <c r="AS24" i="56"/>
  <c r="AP79" i="56"/>
  <c r="AO79" i="56"/>
  <c r="AQ79" i="56"/>
  <c r="AP65" i="56"/>
  <c r="AO65" i="56"/>
  <c r="AQ65" i="56"/>
  <c r="AP61" i="56"/>
  <c r="AO61" i="56"/>
  <c r="AQ61" i="56"/>
  <c r="AP54" i="56"/>
  <c r="AO54" i="56"/>
  <c r="AQ54" i="56"/>
  <c r="AL79" i="56"/>
  <c r="AK79" i="56"/>
  <c r="AM79" i="56"/>
  <c r="AM69" i="56"/>
  <c r="AL65" i="56"/>
  <c r="AK65" i="56"/>
  <c r="AM65" i="56"/>
  <c r="AL61" i="56"/>
  <c r="AK61" i="56"/>
  <c r="AM61" i="56"/>
  <c r="AL54" i="56"/>
  <c r="AK54" i="56"/>
  <c r="AM54" i="56"/>
  <c r="AH79" i="56"/>
  <c r="AG79" i="56"/>
  <c r="AI79" i="56"/>
  <c r="AI69" i="56"/>
  <c r="AH65" i="56"/>
  <c r="AG65" i="56"/>
  <c r="AI65" i="56"/>
  <c r="AH61" i="56"/>
  <c r="AG61" i="56"/>
  <c r="AI61" i="56"/>
  <c r="AH54" i="56"/>
  <c r="AG54" i="56"/>
  <c r="AI54" i="56"/>
  <c r="AD79" i="56"/>
  <c r="AC79" i="56"/>
  <c r="AE79" i="56"/>
  <c r="AE69" i="56"/>
  <c r="AY69" i="56" s="1"/>
  <c r="AD65" i="56"/>
  <c r="AC65" i="56"/>
  <c r="AE65" i="56"/>
  <c r="AD61" i="56"/>
  <c r="AC61" i="56"/>
  <c r="AE61" i="56"/>
  <c r="AD54" i="56"/>
  <c r="AC54" i="56"/>
  <c r="AE54" i="56"/>
  <c r="AX79" i="59"/>
  <c r="AW79" i="59"/>
  <c r="AY69" i="59"/>
  <c r="AX67" i="59"/>
  <c r="AX65" i="59"/>
  <c r="AW65" i="59"/>
  <c r="AY65" i="59"/>
  <c r="AX61" i="59"/>
  <c r="AW61" i="59"/>
  <c r="AY61" i="59"/>
  <c r="AX54" i="59"/>
  <c r="AW54" i="59"/>
  <c r="AY54" i="59"/>
  <c r="AX24" i="59"/>
  <c r="AX81" i="59" s="1"/>
  <c r="AT79" i="59"/>
  <c r="AS79" i="59"/>
  <c r="AT67" i="59"/>
  <c r="AT65" i="59"/>
  <c r="AS65" i="59"/>
  <c r="AU65" i="59"/>
  <c r="AT61" i="59"/>
  <c r="AS61" i="59"/>
  <c r="AT54" i="59"/>
  <c r="AT81" i="59" s="1"/>
  <c r="AS54" i="59"/>
  <c r="AU54" i="59"/>
  <c r="AT24" i="59"/>
  <c r="AP79" i="59"/>
  <c r="AO79" i="59"/>
  <c r="AP67" i="59"/>
  <c r="AP65" i="59"/>
  <c r="AO65" i="59"/>
  <c r="AQ65" i="59"/>
  <c r="AP61" i="59"/>
  <c r="AO61" i="59"/>
  <c r="AQ61" i="59"/>
  <c r="AP54" i="59"/>
  <c r="AO54" i="59"/>
  <c r="AQ54" i="59"/>
  <c r="AP24" i="59"/>
  <c r="AP81" i="59" s="1"/>
  <c r="AL79" i="59"/>
  <c r="AK79" i="59"/>
  <c r="AL67" i="59"/>
  <c r="AL65" i="59"/>
  <c r="AK65" i="59"/>
  <c r="AM65" i="59"/>
  <c r="AL61" i="59"/>
  <c r="AK61" i="59"/>
  <c r="AM61" i="59"/>
  <c r="AL54" i="59"/>
  <c r="AK54" i="59"/>
  <c r="AL24" i="59"/>
  <c r="AL81" i="59" s="1"/>
  <c r="AH79" i="59"/>
  <c r="AG79" i="59"/>
  <c r="AI69" i="59"/>
  <c r="AH67" i="59"/>
  <c r="AH65" i="59"/>
  <c r="AG65" i="59"/>
  <c r="AI65" i="59"/>
  <c r="AH61" i="59"/>
  <c r="AG61" i="59"/>
  <c r="AI61" i="59"/>
  <c r="AH54" i="59"/>
  <c r="AH81" i="59" s="1"/>
  <c r="AG54" i="59"/>
  <c r="AH24" i="59"/>
  <c r="AG24" i="59"/>
  <c r="AD79" i="59"/>
  <c r="AC79" i="59"/>
  <c r="AE69" i="59"/>
  <c r="AD67" i="59"/>
  <c r="AD65" i="59"/>
  <c r="AC65" i="59"/>
  <c r="AE65" i="59"/>
  <c r="AD61" i="59"/>
  <c r="AC61" i="59"/>
  <c r="AE61" i="59"/>
  <c r="AD54" i="59"/>
  <c r="AD81" i="59" s="1"/>
  <c r="AC54" i="59"/>
  <c r="AD24" i="59"/>
  <c r="AC24" i="59"/>
  <c r="AX79" i="58"/>
  <c r="AW79" i="58"/>
  <c r="AY78" i="58"/>
  <c r="AY77" i="58"/>
  <c r="AY76" i="58"/>
  <c r="AY75" i="58"/>
  <c r="AY74" i="58"/>
  <c r="AY73" i="58"/>
  <c r="AY79" i="58" s="1"/>
  <c r="AX65" i="58"/>
  <c r="AW65" i="58"/>
  <c r="AY64" i="58"/>
  <c r="AY63" i="58"/>
  <c r="AY65" i="58" s="1"/>
  <c r="AX61" i="58"/>
  <c r="AX81" i="58" s="1"/>
  <c r="AW61" i="58"/>
  <c r="AY60" i="58"/>
  <c r="AY59" i="58"/>
  <c r="AY58" i="58"/>
  <c r="AY57" i="58"/>
  <c r="AY56" i="58"/>
  <c r="AY61" i="58" s="1"/>
  <c r="AW54" i="58"/>
  <c r="AY53" i="58"/>
  <c r="AY52" i="58"/>
  <c r="AY51" i="58"/>
  <c r="AY50" i="58"/>
  <c r="AY49" i="58"/>
  <c r="AY48" i="58"/>
  <c r="AY47" i="58"/>
  <c r="AY46" i="58"/>
  <c r="AY45" i="58"/>
  <c r="AY44" i="58"/>
  <c r="AY43" i="58"/>
  <c r="AY42" i="58"/>
  <c r="AY41" i="58"/>
  <c r="AY40" i="58"/>
  <c r="AY39" i="58"/>
  <c r="AY38" i="58"/>
  <c r="AY37" i="58"/>
  <c r="AY36" i="58"/>
  <c r="AY35" i="58"/>
  <c r="AY34" i="58"/>
  <c r="AY33" i="58"/>
  <c r="AY32" i="58"/>
  <c r="AY31" i="58"/>
  <c r="AY30" i="58"/>
  <c r="AY29" i="58"/>
  <c r="AY28" i="58"/>
  <c r="AY27" i="58"/>
  <c r="AY26" i="58"/>
  <c r="AY22" i="58"/>
  <c r="AY21" i="58"/>
  <c r="AY20" i="58"/>
  <c r="AY19" i="58"/>
  <c r="AY18" i="58"/>
  <c r="AY17" i="58"/>
  <c r="AY16" i="58"/>
  <c r="AY15" i="58"/>
  <c r="AY14" i="58"/>
  <c r="AY13" i="58"/>
  <c r="AY12" i="58"/>
  <c r="AY11" i="58"/>
  <c r="AY9" i="58"/>
  <c r="AY8" i="58"/>
  <c r="AY7" i="58"/>
  <c r="AT79" i="58"/>
  <c r="AS79" i="58"/>
  <c r="AU79" i="58"/>
  <c r="AT65" i="58"/>
  <c r="AS65" i="58"/>
  <c r="AU65" i="58"/>
  <c r="AT61" i="58"/>
  <c r="AS61" i="58"/>
  <c r="AU61" i="58"/>
  <c r="AS54" i="58"/>
  <c r="AP79" i="58"/>
  <c r="AO79" i="58"/>
  <c r="AQ79" i="58"/>
  <c r="AP65" i="58"/>
  <c r="AO65" i="58"/>
  <c r="AQ65" i="58"/>
  <c r="AP61" i="58"/>
  <c r="AP81" i="58" s="1"/>
  <c r="AO61" i="58"/>
  <c r="AQ61" i="58"/>
  <c r="AO54" i="58"/>
  <c r="AK40" i="60"/>
  <c r="AW40" i="60" s="1"/>
  <c r="AL79" i="58"/>
  <c r="AK79" i="58"/>
  <c r="AM79" i="58"/>
  <c r="AM69" i="58"/>
  <c r="AL65" i="58"/>
  <c r="AK65" i="58"/>
  <c r="AM65" i="58"/>
  <c r="AL61" i="58"/>
  <c r="AL81" i="58" s="1"/>
  <c r="AK61" i="58"/>
  <c r="AM61" i="58"/>
  <c r="AK54" i="58"/>
  <c r="AH79" i="58"/>
  <c r="AG79" i="58"/>
  <c r="AI79" i="58"/>
  <c r="AI69" i="58"/>
  <c r="AH65" i="58"/>
  <c r="AG65" i="58"/>
  <c r="AI65" i="58"/>
  <c r="AH61" i="58"/>
  <c r="AG61" i="58"/>
  <c r="AI61" i="58"/>
  <c r="AG54" i="58"/>
  <c r="AD79" i="58"/>
  <c r="AC79" i="58"/>
  <c r="AE79" i="58"/>
  <c r="AE69" i="58"/>
  <c r="AY69" i="58" s="1"/>
  <c r="AD65" i="58"/>
  <c r="AC65" i="58"/>
  <c r="AE65" i="58"/>
  <c r="AD61" i="58"/>
  <c r="AC61" i="58"/>
  <c r="AE61" i="58"/>
  <c r="AC54" i="58"/>
  <c r="AX79" i="57"/>
  <c r="AW79" i="57"/>
  <c r="AY78" i="57"/>
  <c r="AY77" i="57"/>
  <c r="AY76" i="57"/>
  <c r="AY75" i="57"/>
  <c r="AY74" i="57"/>
  <c r="AY73" i="57"/>
  <c r="AY79" i="57" s="1"/>
  <c r="AX65" i="57"/>
  <c r="AW65" i="57"/>
  <c r="AY64" i="57"/>
  <c r="AY63" i="57"/>
  <c r="AY65" i="57" s="1"/>
  <c r="AX61" i="57"/>
  <c r="AX81" i="57" s="1"/>
  <c r="AW61" i="57"/>
  <c r="AY60" i="57"/>
  <c r="AY59" i="57"/>
  <c r="AY58" i="57"/>
  <c r="AY57" i="57"/>
  <c r="AY56" i="57"/>
  <c r="AY61" i="57" s="1"/>
  <c r="AW54" i="57"/>
  <c r="AY53" i="57"/>
  <c r="AY52" i="57"/>
  <c r="AY51" i="57"/>
  <c r="AY50" i="57"/>
  <c r="AY49" i="57"/>
  <c r="AY48" i="57"/>
  <c r="AY47" i="57"/>
  <c r="AY46" i="57"/>
  <c r="AY45" i="57"/>
  <c r="AY44" i="57"/>
  <c r="AY43" i="57"/>
  <c r="AY42" i="57"/>
  <c r="AY41" i="57"/>
  <c r="AY40" i="57"/>
  <c r="AY39" i="57"/>
  <c r="AY38" i="57"/>
  <c r="AY37" i="57"/>
  <c r="AY36" i="57"/>
  <c r="AY35" i="57"/>
  <c r="AY34" i="57"/>
  <c r="AY33" i="57"/>
  <c r="AY32" i="57"/>
  <c r="AY31" i="57"/>
  <c r="AY30" i="57"/>
  <c r="AY29" i="57"/>
  <c r="AY28" i="57"/>
  <c r="AY27" i="57"/>
  <c r="AY26" i="57"/>
  <c r="AW24" i="57"/>
  <c r="AY23" i="57"/>
  <c r="AY22" i="57"/>
  <c r="AY21" i="57"/>
  <c r="AY20" i="57"/>
  <c r="AY19" i="57"/>
  <c r="AY18" i="57"/>
  <c r="AY17" i="57"/>
  <c r="AY16" i="57"/>
  <c r="AY15" i="57"/>
  <c r="AY14" i="57"/>
  <c r="AY13" i="57"/>
  <c r="AY12" i="57"/>
  <c r="AY11" i="57"/>
  <c r="AY10" i="57"/>
  <c r="AY9" i="57"/>
  <c r="AY8" i="57"/>
  <c r="AY7" i="57"/>
  <c r="AY6" i="57"/>
  <c r="AT79" i="57"/>
  <c r="AS79" i="57"/>
  <c r="AU79" i="57"/>
  <c r="AT65" i="57"/>
  <c r="AS65" i="57"/>
  <c r="AU65" i="57"/>
  <c r="AT61" i="57"/>
  <c r="AS61" i="57"/>
  <c r="AU61" i="57"/>
  <c r="AS54" i="57"/>
  <c r="AS24" i="57"/>
  <c r="AP79" i="57"/>
  <c r="AO79" i="57"/>
  <c r="AQ79" i="57"/>
  <c r="AP65" i="57"/>
  <c r="AO65" i="57"/>
  <c r="AQ65" i="57"/>
  <c r="AP61" i="57"/>
  <c r="AO61" i="57"/>
  <c r="AO54" i="57"/>
  <c r="AO24" i="57"/>
  <c r="AO81" i="57" s="1"/>
  <c r="AL79" i="57"/>
  <c r="AK79" i="57"/>
  <c r="AM79" i="57"/>
  <c r="AM69" i="57"/>
  <c r="AL65" i="57"/>
  <c r="AK65" i="57"/>
  <c r="AM65" i="57"/>
  <c r="AL61" i="57"/>
  <c r="AK61" i="57"/>
  <c r="AK54" i="57"/>
  <c r="AK24" i="57"/>
  <c r="AH79" i="57"/>
  <c r="AG79" i="57"/>
  <c r="AI79" i="57"/>
  <c r="AI69" i="57"/>
  <c r="AH65" i="57"/>
  <c r="AG65" i="57"/>
  <c r="AI65" i="57"/>
  <c r="AH61" i="57"/>
  <c r="AG61" i="57"/>
  <c r="AI61" i="57"/>
  <c r="AG54" i="57"/>
  <c r="AG24" i="57"/>
  <c r="AD79" i="57"/>
  <c r="AC79" i="57"/>
  <c r="AE79" i="57"/>
  <c r="AE69" i="57"/>
  <c r="AY69" i="57" s="1"/>
  <c r="AD65" i="57"/>
  <c r="AC65" i="57"/>
  <c r="AE65" i="57"/>
  <c r="AD61" i="57"/>
  <c r="AC61" i="57"/>
  <c r="AE61" i="57"/>
  <c r="AC54" i="57"/>
  <c r="AE54" i="57"/>
  <c r="AC24" i="57"/>
  <c r="AX81" i="55"/>
  <c r="AW79" i="55"/>
  <c r="AX67" i="55"/>
  <c r="AX71" i="55" s="1"/>
  <c r="AW65" i="55"/>
  <c r="AW61" i="55"/>
  <c r="AW54" i="55"/>
  <c r="AY47" i="55"/>
  <c r="AL47" i="60" s="1"/>
  <c r="AY40" i="55"/>
  <c r="AL40" i="60" s="1"/>
  <c r="AY39" i="55"/>
  <c r="AL39" i="60" s="1"/>
  <c r="AY31" i="55"/>
  <c r="AL31" i="60" s="1"/>
  <c r="AY19" i="55"/>
  <c r="AL19" i="60" s="1"/>
  <c r="AY17" i="55"/>
  <c r="AL17" i="60" s="1"/>
  <c r="AY13" i="55"/>
  <c r="AL13" i="60" s="1"/>
  <c r="AY10" i="55"/>
  <c r="AL10" i="60" s="1"/>
  <c r="AY7" i="55"/>
  <c r="AL7" i="60" s="1"/>
  <c r="AY6" i="55"/>
  <c r="AT81" i="55"/>
  <c r="AS79" i="55"/>
  <c r="AT67" i="55"/>
  <c r="AT71" i="55" s="1"/>
  <c r="AS65" i="55"/>
  <c r="AS61" i="55"/>
  <c r="AS54" i="55"/>
  <c r="AS24" i="55"/>
  <c r="AP81" i="55"/>
  <c r="AO79" i="55"/>
  <c r="AP67" i="55"/>
  <c r="AP71" i="55" s="1"/>
  <c r="AO65" i="55"/>
  <c r="AO61" i="55"/>
  <c r="AO54" i="55"/>
  <c r="AK39" i="60"/>
  <c r="AW39" i="60" s="1"/>
  <c r="AZ39" i="60" s="1"/>
  <c r="BB39" i="60" s="1"/>
  <c r="AK31" i="60"/>
  <c r="AW31" i="60" s="1"/>
  <c r="AZ31" i="60" s="1"/>
  <c r="BB31" i="60" s="1"/>
  <c r="AK19" i="60"/>
  <c r="AW19" i="60" s="1"/>
  <c r="AZ19" i="60" s="1"/>
  <c r="BB19" i="60" s="1"/>
  <c r="AL81" i="55"/>
  <c r="AK79" i="55"/>
  <c r="AL67" i="55"/>
  <c r="AL71" i="55" s="1"/>
  <c r="AK65" i="55"/>
  <c r="AK61" i="55"/>
  <c r="AK54" i="55"/>
  <c r="AH81" i="55"/>
  <c r="AG79" i="55"/>
  <c r="AH67" i="55"/>
  <c r="AH71" i="55" s="1"/>
  <c r="AG65" i="55"/>
  <c r="AG61" i="55"/>
  <c r="AG54" i="55"/>
  <c r="AD81" i="55"/>
  <c r="AC79" i="55"/>
  <c r="AD67" i="55"/>
  <c r="AD71" i="55" s="1"/>
  <c r="AC65" i="55"/>
  <c r="AC61" i="55"/>
  <c r="AC54" i="55"/>
  <c r="BA13" i="60" l="1"/>
  <c r="AL6" i="60"/>
  <c r="AX6" i="60" s="1"/>
  <c r="BK6" i="55"/>
  <c r="BN6" i="55" s="1"/>
  <c r="AW54" i="60"/>
  <c r="AW67" i="60" s="1"/>
  <c r="AZ40" i="60"/>
  <c r="BA6" i="60"/>
  <c r="BA7" i="60"/>
  <c r="AX81" i="56"/>
  <c r="AT81" i="56"/>
  <c r="AW81" i="57"/>
  <c r="AU54" i="69"/>
  <c r="AU24" i="69"/>
  <c r="AU81" i="69" s="1"/>
  <c r="AQ24" i="69"/>
  <c r="AM54" i="69"/>
  <c r="AI79" i="69"/>
  <c r="AU54" i="56"/>
  <c r="AU79" i="59"/>
  <c r="AE79" i="59"/>
  <c r="AU61" i="59"/>
  <c r="AU24" i="59"/>
  <c r="AM54" i="59"/>
  <c r="AE54" i="59"/>
  <c r="AH81" i="58"/>
  <c r="AD81" i="58"/>
  <c r="AT81" i="58"/>
  <c r="AT81" i="57"/>
  <c r="AS81" i="57"/>
  <c r="AQ61" i="57"/>
  <c r="AK58" i="60"/>
  <c r="AM61" i="57"/>
  <c r="AK81" i="57"/>
  <c r="AG81" i="57"/>
  <c r="AX81" i="69"/>
  <c r="AT81" i="69"/>
  <c r="AP81" i="69"/>
  <c r="AQ61" i="69"/>
  <c r="AE54" i="69"/>
  <c r="AK47" i="60"/>
  <c r="AQ54" i="69"/>
  <c r="AY54" i="69"/>
  <c r="AY67" i="69" s="1"/>
  <c r="AY71" i="69" s="1"/>
  <c r="AM24" i="69"/>
  <c r="AQ83" i="69"/>
  <c r="AY83" i="69"/>
  <c r="AE24" i="69"/>
  <c r="AE83" i="69"/>
  <c r="AM24" i="56"/>
  <c r="AQ24" i="56"/>
  <c r="AQ67" i="56" s="1"/>
  <c r="AE24" i="56"/>
  <c r="AE81" i="56" s="1"/>
  <c r="AY24" i="56"/>
  <c r="AM79" i="59"/>
  <c r="AQ79" i="59"/>
  <c r="AI79" i="59"/>
  <c r="AY79" i="59"/>
  <c r="AI54" i="59"/>
  <c r="AY24" i="59"/>
  <c r="AQ24" i="59"/>
  <c r="AM24" i="59"/>
  <c r="AM81" i="59" s="1"/>
  <c r="AQ54" i="58"/>
  <c r="AM54" i="58"/>
  <c r="AI54" i="58"/>
  <c r="AU54" i="58"/>
  <c r="AY54" i="58"/>
  <c r="AE54" i="58"/>
  <c r="AK7" i="60"/>
  <c r="AW7" i="60" s="1"/>
  <c r="AZ7" i="60" s="1"/>
  <c r="BB7" i="60" s="1"/>
  <c r="AI54" i="57"/>
  <c r="AM54" i="57"/>
  <c r="AU54" i="57"/>
  <c r="AQ54" i="57"/>
  <c r="AC81" i="57"/>
  <c r="AK13" i="60"/>
  <c r="AW13" i="60" s="1"/>
  <c r="AZ13" i="60" s="1"/>
  <c r="BB13" i="60" s="1"/>
  <c r="AK17" i="60"/>
  <c r="AW17" i="60" s="1"/>
  <c r="AZ17" i="60" s="1"/>
  <c r="BB17" i="60" s="1"/>
  <c r="AE24" i="57"/>
  <c r="AE81" i="57" s="1"/>
  <c r="BH81" i="57" s="1"/>
  <c r="AE83" i="57"/>
  <c r="BH83" i="57" s="1"/>
  <c r="AI24" i="57"/>
  <c r="AM24" i="57"/>
  <c r="AM83" i="57"/>
  <c r="AQ24" i="57"/>
  <c r="AQ83" i="57"/>
  <c r="AU24" i="57"/>
  <c r="AU83" i="57"/>
  <c r="AY24" i="57"/>
  <c r="AY81" i="57" s="1"/>
  <c r="AY83" i="57"/>
  <c r="AI83" i="57"/>
  <c r="AK6" i="60"/>
  <c r="AW6" i="60" s="1"/>
  <c r="AY81" i="69"/>
  <c r="AW81" i="69"/>
  <c r="AW67" i="69"/>
  <c r="AW71" i="69" s="1"/>
  <c r="AX67" i="69"/>
  <c r="AX71" i="69" s="1"/>
  <c r="AU83" i="69"/>
  <c r="AT67" i="69"/>
  <c r="AT71" i="69" s="1"/>
  <c r="AS24" i="69"/>
  <c r="AL81" i="69"/>
  <c r="AO81" i="69"/>
  <c r="AO67" i="69"/>
  <c r="AO71" i="69" s="1"/>
  <c r="AP67" i="69"/>
  <c r="AP71" i="69" s="1"/>
  <c r="AH81" i="69"/>
  <c r="AM83" i="69"/>
  <c r="AL67" i="69"/>
  <c r="AL71" i="69" s="1"/>
  <c r="AK24" i="69"/>
  <c r="AD81" i="69"/>
  <c r="AG81" i="69"/>
  <c r="AG67" i="69"/>
  <c r="AG71" i="69" s="1"/>
  <c r="AI24" i="69"/>
  <c r="AH67" i="69"/>
  <c r="AH71" i="69" s="1"/>
  <c r="AC81" i="69"/>
  <c r="AC67" i="69"/>
  <c r="AC71" i="69" s="1"/>
  <c r="AD67" i="69"/>
  <c r="AD71" i="69" s="1"/>
  <c r="AY81" i="56"/>
  <c r="AY67" i="56"/>
  <c r="AY71" i="56" s="1"/>
  <c r="AY83" i="56"/>
  <c r="AX67" i="56"/>
  <c r="AX71" i="56" s="1"/>
  <c r="AW24" i="56"/>
  <c r="AL81" i="56"/>
  <c r="AP81" i="56"/>
  <c r="AS81" i="56"/>
  <c r="AS67" i="56"/>
  <c r="AS71" i="56" s="1"/>
  <c r="AU83" i="56"/>
  <c r="AT67" i="56"/>
  <c r="AT71" i="56" s="1"/>
  <c r="AH81" i="56"/>
  <c r="AU24" i="56"/>
  <c r="AQ83" i="56"/>
  <c r="AO24" i="56"/>
  <c r="AP67" i="56"/>
  <c r="AP71" i="56" s="1"/>
  <c r="AM81" i="56"/>
  <c r="AM67" i="56"/>
  <c r="AM71" i="56" s="1"/>
  <c r="AM83" i="56"/>
  <c r="AL67" i="56"/>
  <c r="AL71" i="56" s="1"/>
  <c r="AK24" i="56"/>
  <c r="AI24" i="56"/>
  <c r="AI83" i="56"/>
  <c r="AD81" i="56"/>
  <c r="AH67" i="56"/>
  <c r="AH71" i="56" s="1"/>
  <c r="AG24" i="56"/>
  <c r="AE83" i="56"/>
  <c r="AD67" i="56"/>
  <c r="AD71" i="56" s="1"/>
  <c r="AC24" i="56"/>
  <c r="AY67" i="59"/>
  <c r="AY71" i="59" s="1"/>
  <c r="AY83" i="59"/>
  <c r="AW24" i="59"/>
  <c r="AU83" i="59"/>
  <c r="AS24" i="59"/>
  <c r="AQ83" i="59"/>
  <c r="AO24" i="59"/>
  <c r="AM83" i="59"/>
  <c r="AK24" i="59"/>
  <c r="AG81" i="59"/>
  <c r="AG67" i="59"/>
  <c r="AG71" i="59" s="1"/>
  <c r="AI24" i="59"/>
  <c r="AC81" i="59"/>
  <c r="AC67" i="59"/>
  <c r="AC71" i="59" s="1"/>
  <c r="AE24" i="59"/>
  <c r="AX67" i="58"/>
  <c r="AX71" i="58" s="1"/>
  <c r="AT67" i="58"/>
  <c r="AT71" i="58" s="1"/>
  <c r="AP67" i="58"/>
  <c r="AP71" i="58" s="1"/>
  <c r="AL67" i="58"/>
  <c r="AL71" i="58" s="1"/>
  <c r="AH67" i="58"/>
  <c r="AH71" i="58" s="1"/>
  <c r="AD67" i="58"/>
  <c r="AD71" i="58" s="1"/>
  <c r="AY67" i="57"/>
  <c r="AY71" i="57" s="1"/>
  <c r="AX67" i="57"/>
  <c r="AX71" i="57" s="1"/>
  <c r="AW67" i="57"/>
  <c r="AW71" i="57" s="1"/>
  <c r="AT67" i="57"/>
  <c r="AT71" i="57" s="1"/>
  <c r="AD81" i="57"/>
  <c r="AH81" i="57"/>
  <c r="AL81" i="57"/>
  <c r="AP81" i="57"/>
  <c r="AS67" i="57"/>
  <c r="AS71" i="57" s="1"/>
  <c r="AP67" i="57"/>
  <c r="AP71" i="57" s="1"/>
  <c r="AO67" i="57"/>
  <c r="AO71" i="57" s="1"/>
  <c r="AL67" i="57"/>
  <c r="AL71" i="57" s="1"/>
  <c r="AK67" i="57"/>
  <c r="AK71" i="57" s="1"/>
  <c r="AH67" i="57"/>
  <c r="AH71" i="57" s="1"/>
  <c r="AG67" i="57"/>
  <c r="AG71" i="57" s="1"/>
  <c r="AD67" i="57"/>
  <c r="AD71" i="57" s="1"/>
  <c r="AC67" i="57"/>
  <c r="AC71" i="57" s="1"/>
  <c r="AW24" i="55"/>
  <c r="AS81" i="55"/>
  <c r="AS67" i="55"/>
  <c r="AS71" i="55" s="1"/>
  <c r="AO24" i="55"/>
  <c r="AK24" i="55"/>
  <c r="AG24" i="55"/>
  <c r="AC24" i="55"/>
  <c r="AA13" i="69"/>
  <c r="W13" i="69"/>
  <c r="AA21" i="56"/>
  <c r="W21" i="56"/>
  <c r="W13" i="56"/>
  <c r="W13" i="59"/>
  <c r="AA13" i="58"/>
  <c r="AA13" i="57"/>
  <c r="W13" i="57"/>
  <c r="AA31" i="55"/>
  <c r="AA47" i="55"/>
  <c r="W33" i="55"/>
  <c r="AU33" i="55" s="1"/>
  <c r="AI33" i="60" s="1"/>
  <c r="W47" i="55"/>
  <c r="W31" i="55"/>
  <c r="AA13" i="55"/>
  <c r="W13" i="55"/>
  <c r="Y23" i="69"/>
  <c r="AA23" i="69" s="1"/>
  <c r="AA78" i="69"/>
  <c r="AA77" i="69"/>
  <c r="AA76" i="69"/>
  <c r="AA75" i="69"/>
  <c r="AA74" i="69"/>
  <c r="AA73" i="69"/>
  <c r="AA64" i="69"/>
  <c r="AA63" i="69"/>
  <c r="AA65" i="69" s="1"/>
  <c r="AA60" i="69"/>
  <c r="AA59" i="69"/>
  <c r="AA58" i="69"/>
  <c r="AA57" i="69"/>
  <c r="AA56" i="69"/>
  <c r="AA53" i="69"/>
  <c r="AA52" i="69"/>
  <c r="AA51" i="69"/>
  <c r="AA50" i="69"/>
  <c r="AA49" i="69"/>
  <c r="AA48" i="69"/>
  <c r="AA47" i="69"/>
  <c r="AA46" i="69"/>
  <c r="AA45" i="69"/>
  <c r="AA44" i="69"/>
  <c r="AA43" i="69"/>
  <c r="AA42" i="69"/>
  <c r="AA41" i="69"/>
  <c r="AA40" i="69"/>
  <c r="AA39" i="69"/>
  <c r="AA38" i="69"/>
  <c r="AA37" i="69"/>
  <c r="AA36" i="69"/>
  <c r="AA35" i="69"/>
  <c r="AA34" i="69"/>
  <c r="AA33" i="69"/>
  <c r="AA32" i="69"/>
  <c r="AA31" i="69"/>
  <c r="AA30" i="69"/>
  <c r="AA29" i="69"/>
  <c r="AA28" i="69"/>
  <c r="AA27" i="69"/>
  <c r="AA26" i="69"/>
  <c r="AA22" i="69"/>
  <c r="AA21" i="69"/>
  <c r="AA20" i="69"/>
  <c r="AA19" i="69"/>
  <c r="AA18" i="69"/>
  <c r="AA17" i="69"/>
  <c r="AA16" i="69"/>
  <c r="AA15" i="69"/>
  <c r="AA14" i="69"/>
  <c r="AA12" i="69"/>
  <c r="AA11" i="69"/>
  <c r="AA9" i="69"/>
  <c r="AA8" i="69"/>
  <c r="AA6" i="69"/>
  <c r="AA7" i="69"/>
  <c r="AA19" i="56"/>
  <c r="Y23" i="56"/>
  <c r="Y10" i="56" s="1"/>
  <c r="AA10" i="56" s="1"/>
  <c r="AA78" i="56"/>
  <c r="AA77" i="56"/>
  <c r="AA76" i="56"/>
  <c r="AA75" i="56"/>
  <c r="AA74" i="56"/>
  <c r="AA73" i="56"/>
  <c r="AA64" i="56"/>
  <c r="AA63" i="56"/>
  <c r="AA60" i="56"/>
  <c r="AA59" i="56"/>
  <c r="AA58" i="56"/>
  <c r="AA57" i="56"/>
  <c r="AA61" i="56" s="1"/>
  <c r="AA56" i="56"/>
  <c r="AA53" i="56"/>
  <c r="AA52" i="56"/>
  <c r="AA51" i="56"/>
  <c r="AA50" i="56"/>
  <c r="AA49" i="56"/>
  <c r="AA48" i="56"/>
  <c r="AA47" i="56"/>
  <c r="AA46" i="56"/>
  <c r="AA45" i="56"/>
  <c r="AA44" i="56"/>
  <c r="AA43" i="56"/>
  <c r="AA42" i="56"/>
  <c r="AA41" i="56"/>
  <c r="AA40" i="56"/>
  <c r="AA39" i="56"/>
  <c r="AA38" i="56"/>
  <c r="AA37" i="56"/>
  <c r="AA36" i="56"/>
  <c r="AA35" i="56"/>
  <c r="AA34" i="56"/>
  <c r="AA33" i="56"/>
  <c r="AA32" i="56"/>
  <c r="AA31" i="56"/>
  <c r="AA30" i="56"/>
  <c r="AA29" i="56"/>
  <c r="AA28" i="56"/>
  <c r="AA27" i="56"/>
  <c r="AA26" i="56"/>
  <c r="AA23" i="56"/>
  <c r="AA22" i="56"/>
  <c r="AA20" i="56"/>
  <c r="AA18" i="56"/>
  <c r="AA17" i="56"/>
  <c r="AA16" i="56"/>
  <c r="AA15" i="56"/>
  <c r="AA14" i="56"/>
  <c r="AA13" i="56"/>
  <c r="AA12" i="56"/>
  <c r="AA11" i="56"/>
  <c r="AA9" i="56"/>
  <c r="AA8" i="56"/>
  <c r="AA7" i="56"/>
  <c r="AA6" i="56"/>
  <c r="Y10" i="59"/>
  <c r="Y23" i="59"/>
  <c r="AA65" i="59"/>
  <c r="AA40" i="58"/>
  <c r="AA41" i="58"/>
  <c r="AA18" i="58"/>
  <c r="AA6" i="58"/>
  <c r="AA78" i="58"/>
  <c r="AA77" i="58"/>
  <c r="AA76" i="58"/>
  <c r="AA75" i="58"/>
  <c r="AA74" i="58"/>
  <c r="AA73" i="58"/>
  <c r="AA64" i="58"/>
  <c r="AA63" i="58"/>
  <c r="AA60" i="58"/>
  <c r="AA59" i="58"/>
  <c r="AA58" i="58"/>
  <c r="AA57" i="58"/>
  <c r="AA56" i="58"/>
  <c r="AA53" i="58"/>
  <c r="AA52" i="58"/>
  <c r="AA51" i="58"/>
  <c r="AA50" i="58"/>
  <c r="AA49" i="58"/>
  <c r="AA48" i="58"/>
  <c r="AA47" i="58"/>
  <c r="AA46" i="58"/>
  <c r="AA45" i="58"/>
  <c r="AA44" i="58"/>
  <c r="AA43" i="58"/>
  <c r="AA42" i="58"/>
  <c r="AA39" i="58"/>
  <c r="AA38" i="58"/>
  <c r="AA37" i="58"/>
  <c r="AA36" i="58"/>
  <c r="AA35" i="58"/>
  <c r="AA34" i="58"/>
  <c r="AA33" i="58"/>
  <c r="AA32" i="58"/>
  <c r="AA31" i="58"/>
  <c r="AA30" i="58"/>
  <c r="AA29" i="58"/>
  <c r="AA28" i="58"/>
  <c r="AA27" i="58"/>
  <c r="AA26" i="58"/>
  <c r="AA22" i="58"/>
  <c r="AA21" i="58"/>
  <c r="AA20" i="58"/>
  <c r="AA19" i="58"/>
  <c r="AA17" i="58"/>
  <c r="AA16" i="58"/>
  <c r="AA15" i="58"/>
  <c r="AA14" i="58"/>
  <c r="AA12" i="58"/>
  <c r="AA11" i="58"/>
  <c r="AA9" i="58"/>
  <c r="AA8" i="58"/>
  <c r="AA7" i="58"/>
  <c r="AA9" i="57"/>
  <c r="AA78" i="57"/>
  <c r="AA77" i="57"/>
  <c r="AA76" i="57"/>
  <c r="AA75" i="57"/>
  <c r="AA74" i="57"/>
  <c r="AA73" i="57"/>
  <c r="AA64" i="57"/>
  <c r="AA65" i="57" s="1"/>
  <c r="AA63" i="57"/>
  <c r="AA60" i="57"/>
  <c r="AA59" i="57"/>
  <c r="AA58" i="57"/>
  <c r="AA57" i="57"/>
  <c r="AA56" i="57"/>
  <c r="AA53" i="57"/>
  <c r="AA52" i="57"/>
  <c r="AA51" i="57"/>
  <c r="AA50" i="57"/>
  <c r="AA49" i="57"/>
  <c r="AA48" i="57"/>
  <c r="AA47" i="57"/>
  <c r="AA46" i="57"/>
  <c r="AA45" i="57"/>
  <c r="AA44" i="57"/>
  <c r="AA43" i="57"/>
  <c r="AA42" i="57"/>
  <c r="AA41" i="57"/>
  <c r="AA40" i="57"/>
  <c r="AA83" i="57" s="1"/>
  <c r="AA39" i="57"/>
  <c r="AA38" i="57"/>
  <c r="AA37" i="57"/>
  <c r="AA36" i="57"/>
  <c r="AA35" i="57"/>
  <c r="AA34" i="57"/>
  <c r="AA33" i="57"/>
  <c r="AA32" i="57"/>
  <c r="AA31" i="57"/>
  <c r="AA30" i="57"/>
  <c r="AA29" i="57"/>
  <c r="AA28" i="57"/>
  <c r="AA27" i="57"/>
  <c r="AA26" i="57"/>
  <c r="AA23" i="57"/>
  <c r="AA22" i="57"/>
  <c r="AA21" i="57"/>
  <c r="AA20" i="57"/>
  <c r="AA19" i="57"/>
  <c r="AA18" i="57"/>
  <c r="AA17" i="57"/>
  <c r="AA16" i="57"/>
  <c r="AA15" i="57"/>
  <c r="AA14" i="57"/>
  <c r="AA12" i="57"/>
  <c r="AA11" i="57"/>
  <c r="AA10" i="57"/>
  <c r="AA8" i="57"/>
  <c r="AA7" i="57"/>
  <c r="AA6" i="57"/>
  <c r="AA39" i="55"/>
  <c r="AA40" i="55"/>
  <c r="AA19" i="55"/>
  <c r="T19" i="60" s="1"/>
  <c r="AA17" i="55"/>
  <c r="Y23" i="55"/>
  <c r="Y10" i="55" s="1"/>
  <c r="AA10" i="55" s="1"/>
  <c r="AA7" i="55"/>
  <c r="AA6" i="55"/>
  <c r="AA69" i="69"/>
  <c r="AA69" i="56"/>
  <c r="AA65" i="56"/>
  <c r="AA69" i="59"/>
  <c r="T13" i="60"/>
  <c r="AA69" i="58"/>
  <c r="AA69" i="57"/>
  <c r="AU69" i="57" s="1"/>
  <c r="AA78" i="55"/>
  <c r="AY78" i="55" s="1"/>
  <c r="AL78" i="60" s="1"/>
  <c r="AA77" i="55"/>
  <c r="AY77" i="55" s="1"/>
  <c r="AL77" i="60" s="1"/>
  <c r="AA76" i="55"/>
  <c r="AY76" i="55" s="1"/>
  <c r="AL76" i="60" s="1"/>
  <c r="AA75" i="55"/>
  <c r="AA74" i="55"/>
  <c r="AY74" i="55" s="1"/>
  <c r="AL74" i="60" s="1"/>
  <c r="AA73" i="55"/>
  <c r="AY73" i="55" s="1"/>
  <c r="AA64" i="55"/>
  <c r="AY64" i="55" s="1"/>
  <c r="AL64" i="60" s="1"/>
  <c r="AA63" i="55"/>
  <c r="AY63" i="55" s="1"/>
  <c r="AL63" i="60" s="1"/>
  <c r="AA57" i="55"/>
  <c r="AY57" i="55" s="1"/>
  <c r="AL57" i="60" s="1"/>
  <c r="AA56" i="55"/>
  <c r="AY56" i="55" s="1"/>
  <c r="AA53" i="55"/>
  <c r="AY53" i="55" s="1"/>
  <c r="AL53" i="60" s="1"/>
  <c r="AA52" i="55"/>
  <c r="AY52" i="55" s="1"/>
  <c r="AL52" i="60" s="1"/>
  <c r="AA51" i="55"/>
  <c r="AY51" i="55" s="1"/>
  <c r="AL51" i="60" s="1"/>
  <c r="AA50" i="55"/>
  <c r="AA49" i="55"/>
  <c r="AY49" i="55" s="1"/>
  <c r="AL49" i="60" s="1"/>
  <c r="AA48" i="55"/>
  <c r="AY48" i="55" s="1"/>
  <c r="AL48" i="60" s="1"/>
  <c r="AA46" i="55"/>
  <c r="AA45" i="55"/>
  <c r="AY45" i="55" s="1"/>
  <c r="AL45" i="60" s="1"/>
  <c r="AA44" i="55"/>
  <c r="AY44" i="55" s="1"/>
  <c r="AL44" i="60" s="1"/>
  <c r="AA43" i="55"/>
  <c r="AY43" i="55" s="1"/>
  <c r="AL43" i="60" s="1"/>
  <c r="AA42" i="55"/>
  <c r="AA41" i="55"/>
  <c r="AY41" i="55" s="1"/>
  <c r="AL41" i="60" s="1"/>
  <c r="AA38" i="55"/>
  <c r="AA37" i="55"/>
  <c r="AY37" i="55" s="1"/>
  <c r="AL37" i="60" s="1"/>
  <c r="AA36" i="55"/>
  <c r="AY36" i="55" s="1"/>
  <c r="AL36" i="60" s="1"/>
  <c r="AA35" i="55"/>
  <c r="AY35" i="55" s="1"/>
  <c r="AL35" i="60" s="1"/>
  <c r="AA34" i="55"/>
  <c r="AA33" i="55"/>
  <c r="AY33" i="55" s="1"/>
  <c r="AL33" i="60" s="1"/>
  <c r="AA32" i="55"/>
  <c r="AY32" i="55" s="1"/>
  <c r="AL32" i="60" s="1"/>
  <c r="AA30" i="55"/>
  <c r="AA29" i="55"/>
  <c r="AY29" i="55" s="1"/>
  <c r="AL29" i="60" s="1"/>
  <c r="AA28" i="55"/>
  <c r="AY28" i="55" s="1"/>
  <c r="AL28" i="60" s="1"/>
  <c r="AA27" i="55"/>
  <c r="AY27" i="55" s="1"/>
  <c r="AL27" i="60" s="1"/>
  <c r="AA26" i="55"/>
  <c r="AA23" i="55"/>
  <c r="AY23" i="55" s="1"/>
  <c r="AA22" i="55"/>
  <c r="AY22" i="55" s="1"/>
  <c r="AL22" i="60" s="1"/>
  <c r="AA21" i="55"/>
  <c r="AA20" i="55"/>
  <c r="AY20" i="55" s="1"/>
  <c r="AL20" i="60" s="1"/>
  <c r="AA18" i="55"/>
  <c r="AY18" i="55" s="1"/>
  <c r="AL18" i="60" s="1"/>
  <c r="AA16" i="55"/>
  <c r="AY16" i="55" s="1"/>
  <c r="AL16" i="60" s="1"/>
  <c r="AA15" i="55"/>
  <c r="AY15" i="55" s="1"/>
  <c r="AL15" i="60" s="1"/>
  <c r="AA14" i="55"/>
  <c r="AY14" i="55" s="1"/>
  <c r="AL14" i="60" s="1"/>
  <c r="AA12" i="55"/>
  <c r="AY12" i="55" s="1"/>
  <c r="AL12" i="60" s="1"/>
  <c r="AA11" i="55"/>
  <c r="AY11" i="55" s="1"/>
  <c r="AL11" i="60" s="1"/>
  <c r="AA8" i="55"/>
  <c r="AY8" i="55" s="1"/>
  <c r="AL8" i="60" s="1"/>
  <c r="AA9" i="55"/>
  <c r="AY9" i="55" s="1"/>
  <c r="AL9" i="60" s="1"/>
  <c r="CD69" i="55"/>
  <c r="BH83" i="56" l="1"/>
  <c r="BK83" i="57"/>
  <c r="BN83" i="57"/>
  <c r="BK83" i="69"/>
  <c r="BK83" i="56"/>
  <c r="BN83" i="56" s="1"/>
  <c r="BK83" i="59"/>
  <c r="BB40" i="60"/>
  <c r="AZ54" i="60"/>
  <c r="BB54" i="60" s="1"/>
  <c r="AZ6" i="60"/>
  <c r="BB6" i="60" s="1"/>
  <c r="T53" i="60"/>
  <c r="T21" i="60"/>
  <c r="T64" i="60"/>
  <c r="AA79" i="55"/>
  <c r="AL65" i="60"/>
  <c r="AA65" i="55"/>
  <c r="AY26" i="55"/>
  <c r="AY30" i="55"/>
  <c r="AL30" i="60" s="1"/>
  <c r="AY50" i="55"/>
  <c r="AL50" i="60" s="1"/>
  <c r="AY61" i="55"/>
  <c r="AL56" i="60"/>
  <c r="AL61" i="60" s="1"/>
  <c r="AL73" i="60"/>
  <c r="AA61" i="55"/>
  <c r="AA54" i="55"/>
  <c r="T28" i="60"/>
  <c r="T11" i="60"/>
  <c r="AY75" i="55"/>
  <c r="AL75" i="60" s="1"/>
  <c r="AY34" i="55"/>
  <c r="AL34" i="60" s="1"/>
  <c r="AY38" i="55"/>
  <c r="AL38" i="60" s="1"/>
  <c r="AY21" i="55"/>
  <c r="AL21" i="60" s="1"/>
  <c r="AY42" i="55"/>
  <c r="AL42" i="60" s="1"/>
  <c r="AY46" i="55"/>
  <c r="AL46" i="60" s="1"/>
  <c r="T15" i="60"/>
  <c r="AY83" i="55"/>
  <c r="AY65" i="55"/>
  <c r="AU67" i="69"/>
  <c r="AU71" i="69" s="1"/>
  <c r="AU81" i="57"/>
  <c r="AY81" i="59"/>
  <c r="AE81" i="69"/>
  <c r="AM67" i="69"/>
  <c r="AM71" i="69" s="1"/>
  <c r="AE67" i="69"/>
  <c r="AE71" i="69" s="1"/>
  <c r="AQ67" i="69"/>
  <c r="AQ71" i="69" s="1"/>
  <c r="AM81" i="69"/>
  <c r="AM85" i="69" s="1"/>
  <c r="AQ81" i="56"/>
  <c r="AE67" i="56"/>
  <c r="AE71" i="56" s="1"/>
  <c r="AM67" i="59"/>
  <c r="AM71" i="59" s="1"/>
  <c r="AU81" i="59"/>
  <c r="AU85" i="59" s="1"/>
  <c r="AU67" i="59"/>
  <c r="AU71" i="59" s="1"/>
  <c r="AU85" i="57"/>
  <c r="AQ67" i="57"/>
  <c r="AQ81" i="57"/>
  <c r="AM81" i="57"/>
  <c r="AM85" i="57" s="1"/>
  <c r="AI67" i="57"/>
  <c r="AI71" i="57" s="1"/>
  <c r="AM67" i="57"/>
  <c r="AM71" i="57" s="1"/>
  <c r="AE67" i="57"/>
  <c r="AE71" i="57" s="1"/>
  <c r="AQ81" i="69"/>
  <c r="AY85" i="69"/>
  <c r="AI83" i="69"/>
  <c r="BH83" i="69" s="1"/>
  <c r="AQ81" i="59"/>
  <c r="AQ67" i="59"/>
  <c r="AQ71" i="59" s="1"/>
  <c r="AE83" i="59"/>
  <c r="AU67" i="57"/>
  <c r="AU71" i="57" s="1"/>
  <c r="AY85" i="57"/>
  <c r="AE85" i="57"/>
  <c r="BH85" i="57" s="1"/>
  <c r="AI81" i="57"/>
  <c r="AI85" i="57" s="1"/>
  <c r="AS81" i="69"/>
  <c r="AS67" i="69"/>
  <c r="AS71" i="69" s="1"/>
  <c r="AU85" i="69"/>
  <c r="AK81" i="69"/>
  <c r="AK67" i="69"/>
  <c r="AK71" i="69" s="1"/>
  <c r="AI67" i="69"/>
  <c r="AI71" i="69" s="1"/>
  <c r="AI81" i="69"/>
  <c r="AA61" i="69"/>
  <c r="Y10" i="69"/>
  <c r="AA10" i="69" s="1"/>
  <c r="AW81" i="56"/>
  <c r="AW67" i="56"/>
  <c r="AW71" i="56" s="1"/>
  <c r="AY85" i="56"/>
  <c r="AU67" i="56"/>
  <c r="AU71" i="56" s="1"/>
  <c r="AU81" i="56"/>
  <c r="AU85" i="56" s="1"/>
  <c r="AO81" i="56"/>
  <c r="AO67" i="56"/>
  <c r="AO71" i="56" s="1"/>
  <c r="AK81" i="56"/>
  <c r="AK67" i="56"/>
  <c r="AK71" i="56" s="1"/>
  <c r="AM85" i="56"/>
  <c r="AG81" i="56"/>
  <c r="AG67" i="56"/>
  <c r="AG71" i="56" s="1"/>
  <c r="AI81" i="56"/>
  <c r="AI85" i="56" s="1"/>
  <c r="AI67" i="56"/>
  <c r="AI71" i="56" s="1"/>
  <c r="AC81" i="56"/>
  <c r="AC67" i="56"/>
  <c r="AC71" i="56" s="1"/>
  <c r="AE85" i="56"/>
  <c r="AW81" i="59"/>
  <c r="AW67" i="59"/>
  <c r="AW71" i="59" s="1"/>
  <c r="AY85" i="59"/>
  <c r="AS81" i="59"/>
  <c r="AS67" i="59"/>
  <c r="AS71" i="59" s="1"/>
  <c r="AO81" i="59"/>
  <c r="AO67" i="59"/>
  <c r="AO71" i="59" s="1"/>
  <c r="AK81" i="59"/>
  <c r="AK67" i="59"/>
  <c r="AK71" i="59" s="1"/>
  <c r="AM85" i="59"/>
  <c r="AI81" i="59"/>
  <c r="AI67" i="59"/>
  <c r="AI71" i="59" s="1"/>
  <c r="AI83" i="59"/>
  <c r="AE81" i="59"/>
  <c r="AE67" i="59"/>
  <c r="AE71" i="59" s="1"/>
  <c r="AA61" i="59"/>
  <c r="AA54" i="59"/>
  <c r="AA61" i="58"/>
  <c r="T52" i="60"/>
  <c r="T73" i="60"/>
  <c r="AA54" i="57"/>
  <c r="AA79" i="57"/>
  <c r="AW81" i="55"/>
  <c r="AW67" i="55"/>
  <c r="AW71" i="55" s="1"/>
  <c r="AO81" i="55"/>
  <c r="AO67" i="55"/>
  <c r="AO71" i="55" s="1"/>
  <c r="AK67" i="55"/>
  <c r="AK71" i="55" s="1"/>
  <c r="AK81" i="55"/>
  <c r="AG81" i="55"/>
  <c r="AG67" i="55"/>
  <c r="AG71" i="55" s="1"/>
  <c r="AC81" i="55"/>
  <c r="AC67" i="55"/>
  <c r="AC71" i="55" s="1"/>
  <c r="T18" i="60"/>
  <c r="AA83" i="69"/>
  <c r="AA83" i="56"/>
  <c r="AA24" i="59"/>
  <c r="T36" i="60"/>
  <c r="T44" i="60"/>
  <c r="AA83" i="59"/>
  <c r="T9" i="60"/>
  <c r="T8" i="60"/>
  <c r="AA83" i="55"/>
  <c r="T17" i="60"/>
  <c r="AA24" i="55"/>
  <c r="AA24" i="69"/>
  <c r="AA79" i="69"/>
  <c r="AA54" i="69"/>
  <c r="AA24" i="56"/>
  <c r="AA79" i="56"/>
  <c r="AA54" i="56"/>
  <c r="AA79" i="59"/>
  <c r="T29" i="60"/>
  <c r="T58" i="60"/>
  <c r="T63" i="60"/>
  <c r="T33" i="60"/>
  <c r="T41" i="60"/>
  <c r="T45" i="60"/>
  <c r="T49" i="60"/>
  <c r="T59" i="60"/>
  <c r="AA79" i="58"/>
  <c r="T37" i="60"/>
  <c r="T76" i="60"/>
  <c r="AA65" i="58"/>
  <c r="AA54" i="58"/>
  <c r="T12" i="60"/>
  <c r="T16" i="60"/>
  <c r="T20" i="60"/>
  <c r="T56" i="60"/>
  <c r="T57" i="60"/>
  <c r="T74" i="60"/>
  <c r="T60" i="60"/>
  <c r="T7" i="60"/>
  <c r="T22" i="60"/>
  <c r="T32" i="60"/>
  <c r="T40" i="60"/>
  <c r="T48" i="60"/>
  <c r="T78" i="60"/>
  <c r="T14" i="60"/>
  <c r="T27" i="60"/>
  <c r="T31" i="60"/>
  <c r="T39" i="60"/>
  <c r="T47" i="60"/>
  <c r="AA61" i="57"/>
  <c r="T77" i="60"/>
  <c r="AA24" i="57"/>
  <c r="T35" i="60"/>
  <c r="T43" i="60"/>
  <c r="T51" i="60"/>
  <c r="T6" i="60"/>
  <c r="T75" i="60"/>
  <c r="T26" i="60"/>
  <c r="T30" i="60"/>
  <c r="T34" i="60"/>
  <c r="T38" i="60"/>
  <c r="T42" i="60"/>
  <c r="T46" i="60"/>
  <c r="T50" i="60"/>
  <c r="BN83" i="69" l="1"/>
  <c r="BH85" i="56"/>
  <c r="BJ81" i="55"/>
  <c r="AQ85" i="69"/>
  <c r="BK85" i="69" s="1"/>
  <c r="BK81" i="69"/>
  <c r="AE85" i="69"/>
  <c r="BH81" i="69"/>
  <c r="BN81" i="69" s="1"/>
  <c r="AQ85" i="56"/>
  <c r="BK85" i="56" s="1"/>
  <c r="BK81" i="56"/>
  <c r="BH81" i="56"/>
  <c r="AQ85" i="59"/>
  <c r="BK85" i="59" s="1"/>
  <c r="BK81" i="59"/>
  <c r="BH81" i="59"/>
  <c r="BH83" i="59"/>
  <c r="BN83" i="59" s="1"/>
  <c r="AQ85" i="57"/>
  <c r="BK85" i="57" s="1"/>
  <c r="BN85" i="57" s="1"/>
  <c r="BK81" i="57"/>
  <c r="BN81" i="57" s="1"/>
  <c r="BG81" i="55"/>
  <c r="AY24" i="55"/>
  <c r="AY67" i="55" s="1"/>
  <c r="AY71" i="55" s="1"/>
  <c r="AA81" i="55"/>
  <c r="AA85" i="55" s="1"/>
  <c r="AL79" i="60"/>
  <c r="AL26" i="60"/>
  <c r="AL54" i="60" s="1"/>
  <c r="AY54" i="55"/>
  <c r="AY79" i="55"/>
  <c r="AA67" i="59"/>
  <c r="AA71" i="59" s="1"/>
  <c r="AI85" i="69"/>
  <c r="AE85" i="59"/>
  <c r="AI85" i="59"/>
  <c r="AA81" i="59"/>
  <c r="AA85" i="59" s="1"/>
  <c r="AA67" i="55"/>
  <c r="AA71" i="55" s="1"/>
  <c r="AA67" i="69"/>
  <c r="AA71" i="69" s="1"/>
  <c r="AA81" i="69"/>
  <c r="AA85" i="69" s="1"/>
  <c r="AA67" i="56"/>
  <c r="AA71" i="56" s="1"/>
  <c r="AA81" i="56"/>
  <c r="AA85" i="56" s="1"/>
  <c r="AA81" i="57"/>
  <c r="AA85" i="57" s="1"/>
  <c r="AA67" i="57"/>
  <c r="AA71" i="57" s="1"/>
  <c r="BN85" i="56" l="1"/>
  <c r="BN81" i="56"/>
  <c r="BM81" i="55"/>
  <c r="BO81" i="55" s="1"/>
  <c r="BH85" i="69"/>
  <c r="BN85" i="69" s="1"/>
  <c r="BN81" i="59"/>
  <c r="BH85" i="59"/>
  <c r="BN85" i="59" s="1"/>
  <c r="AY81" i="55"/>
  <c r="AY85" i="55" s="1"/>
  <c r="BR78" i="69"/>
  <c r="BQ78" i="69"/>
  <c r="BS78" i="69" s="1"/>
  <c r="BR77" i="69"/>
  <c r="BQ77" i="69"/>
  <c r="BR76" i="69"/>
  <c r="BQ76" i="69"/>
  <c r="BR75" i="69"/>
  <c r="BS75" i="69" s="1"/>
  <c r="BQ75" i="69"/>
  <c r="BR74" i="69"/>
  <c r="BQ74" i="69"/>
  <c r="BQ79" i="69" s="1"/>
  <c r="BR73" i="69"/>
  <c r="BS73" i="69" s="1"/>
  <c r="BQ73" i="69"/>
  <c r="BR64" i="69"/>
  <c r="BQ64" i="69"/>
  <c r="BS64" i="69" s="1"/>
  <c r="BR63" i="69"/>
  <c r="BQ63" i="69"/>
  <c r="BR60" i="69"/>
  <c r="BQ60" i="69"/>
  <c r="BS60" i="69" s="1"/>
  <c r="BR59" i="69"/>
  <c r="BQ59" i="69"/>
  <c r="BR58" i="69"/>
  <c r="BQ58" i="69"/>
  <c r="BR57" i="69"/>
  <c r="BQ57" i="69"/>
  <c r="BR56" i="69"/>
  <c r="BQ56" i="69"/>
  <c r="BS56" i="69" s="1"/>
  <c r="BR53" i="69"/>
  <c r="BQ53" i="69"/>
  <c r="BR52" i="69"/>
  <c r="BQ52" i="69"/>
  <c r="BR51" i="69"/>
  <c r="BQ51" i="69"/>
  <c r="BR50" i="69"/>
  <c r="BQ50" i="69"/>
  <c r="BR49" i="69"/>
  <c r="BQ49" i="69"/>
  <c r="BR48" i="69"/>
  <c r="BQ48" i="69"/>
  <c r="BR47" i="69"/>
  <c r="BQ47" i="69"/>
  <c r="BR46" i="69"/>
  <c r="BQ46" i="69"/>
  <c r="BR45" i="69"/>
  <c r="BQ45" i="69"/>
  <c r="BR44" i="69"/>
  <c r="BQ44" i="69"/>
  <c r="BR43" i="69"/>
  <c r="BQ43" i="69"/>
  <c r="BR42" i="69"/>
  <c r="BQ42" i="69"/>
  <c r="BR41" i="69"/>
  <c r="BQ41" i="69"/>
  <c r="BR40" i="69"/>
  <c r="BQ40" i="69"/>
  <c r="BS40" i="69" s="1"/>
  <c r="BR39" i="69"/>
  <c r="BQ39" i="69"/>
  <c r="BR38" i="69"/>
  <c r="BQ38" i="69"/>
  <c r="BR37" i="69"/>
  <c r="BQ37" i="69"/>
  <c r="BR36" i="69"/>
  <c r="BQ36" i="69"/>
  <c r="BR35" i="69"/>
  <c r="BQ35" i="69"/>
  <c r="BR34" i="69"/>
  <c r="BQ34" i="69"/>
  <c r="BR33" i="69"/>
  <c r="BQ33" i="69"/>
  <c r="BR32" i="69"/>
  <c r="BQ32" i="69"/>
  <c r="BR31" i="69"/>
  <c r="BQ31" i="69"/>
  <c r="BR30" i="69"/>
  <c r="BQ30" i="69"/>
  <c r="BR29" i="69"/>
  <c r="BQ29" i="69"/>
  <c r="BR28" i="69"/>
  <c r="BQ28" i="69"/>
  <c r="BR27" i="69"/>
  <c r="BQ27" i="69"/>
  <c r="BR26" i="69"/>
  <c r="BQ26" i="69"/>
  <c r="BQ54" i="69" s="1"/>
  <c r="BR23" i="69"/>
  <c r="BQ23" i="69"/>
  <c r="BR22" i="69"/>
  <c r="BQ22" i="69"/>
  <c r="BR21" i="69"/>
  <c r="BQ21" i="69"/>
  <c r="BR20" i="69"/>
  <c r="BQ20" i="69"/>
  <c r="BR19" i="69"/>
  <c r="BQ19" i="69"/>
  <c r="BR18" i="69"/>
  <c r="BQ18" i="69"/>
  <c r="BS18" i="69" s="1"/>
  <c r="BR17" i="69"/>
  <c r="BQ17" i="69"/>
  <c r="BR16" i="69"/>
  <c r="BQ16" i="69"/>
  <c r="BR15" i="69"/>
  <c r="BQ15" i="69"/>
  <c r="BR14" i="69"/>
  <c r="BQ14" i="69"/>
  <c r="BS14" i="69" s="1"/>
  <c r="BR13" i="69"/>
  <c r="BS13" i="69" s="1"/>
  <c r="BQ13" i="69"/>
  <c r="BR12" i="69"/>
  <c r="BQ12" i="69"/>
  <c r="BS12" i="69" s="1"/>
  <c r="BR11" i="69"/>
  <c r="BQ11" i="69"/>
  <c r="BQ10" i="69"/>
  <c r="BR9" i="69"/>
  <c r="BS9" i="69" s="1"/>
  <c r="BQ9" i="69"/>
  <c r="BR8" i="69"/>
  <c r="BQ8" i="69"/>
  <c r="BQ24" i="69" s="1"/>
  <c r="BR7" i="69"/>
  <c r="BQ7" i="69"/>
  <c r="BR6" i="69"/>
  <c r="BS6" i="69" s="1"/>
  <c r="BQ6" i="69"/>
  <c r="BS7" i="69"/>
  <c r="BS11" i="69"/>
  <c r="BS17" i="69"/>
  <c r="BS19" i="69"/>
  <c r="BS21" i="69"/>
  <c r="BS23" i="69"/>
  <c r="BS25" i="69"/>
  <c r="BU25" i="69"/>
  <c r="BS31" i="69"/>
  <c r="BS35" i="69"/>
  <c r="BS37" i="69"/>
  <c r="BS38" i="69"/>
  <c r="BS41" i="69"/>
  <c r="BS47" i="69"/>
  <c r="BS51" i="69"/>
  <c r="BS53" i="69"/>
  <c r="BS55" i="69"/>
  <c r="BU55" i="69"/>
  <c r="BQ61" i="69"/>
  <c r="BS62" i="69"/>
  <c r="BU62" i="69"/>
  <c r="BS66" i="69"/>
  <c r="BU66" i="69"/>
  <c r="BS68" i="69"/>
  <c r="BU68" i="69"/>
  <c r="BQ69" i="69"/>
  <c r="BR69" i="69"/>
  <c r="BS69" i="69" s="1"/>
  <c r="BS70" i="69"/>
  <c r="BU70" i="69"/>
  <c r="BS72" i="69"/>
  <c r="BU72" i="69"/>
  <c r="BS74" i="69"/>
  <c r="BU76" i="69"/>
  <c r="BS76" i="69"/>
  <c r="BS77" i="69"/>
  <c r="BS80" i="69"/>
  <c r="BU80" i="69"/>
  <c r="BS27" i="69" l="1"/>
  <c r="BS29" i="69"/>
  <c r="BS33" i="69"/>
  <c r="BS39" i="69"/>
  <c r="BS43" i="69"/>
  <c r="BS45" i="69"/>
  <c r="BS49" i="69"/>
  <c r="BQ65" i="69"/>
  <c r="BS8" i="69"/>
  <c r="BS16" i="69"/>
  <c r="BS20" i="69"/>
  <c r="BS22" i="69"/>
  <c r="BS26" i="69"/>
  <c r="BS30" i="69"/>
  <c r="BS32" i="69"/>
  <c r="BS34" i="69"/>
  <c r="BS46" i="69"/>
  <c r="BS48" i="69"/>
  <c r="BS50" i="69"/>
  <c r="BS52" i="69"/>
  <c r="BS58" i="69"/>
  <c r="BS15" i="69"/>
  <c r="BR24" i="69"/>
  <c r="BS24" i="69" s="1"/>
  <c r="BS63" i="69"/>
  <c r="BR65" i="69"/>
  <c r="BS65" i="69" s="1"/>
  <c r="BS59" i="69"/>
  <c r="BS57" i="69"/>
  <c r="BS44" i="69"/>
  <c r="BS42" i="69"/>
  <c r="BS28" i="69"/>
  <c r="BS36" i="69"/>
  <c r="BQ67" i="69"/>
  <c r="BQ71" i="69" s="1"/>
  <c r="BQ81" i="69"/>
  <c r="BR54" i="69"/>
  <c r="BR79" i="69"/>
  <c r="BR61" i="69"/>
  <c r="BR81" i="69" l="1"/>
  <c r="BS81" i="69" s="1"/>
  <c r="BR67" i="69"/>
  <c r="BS61" i="69"/>
  <c r="BS79" i="69"/>
  <c r="BS54" i="69"/>
  <c r="BS67" i="69" l="1"/>
  <c r="BR71" i="69"/>
  <c r="BS71" i="69" l="1"/>
  <c r="BR78" i="56" l="1"/>
  <c r="BQ78" i="56"/>
  <c r="BR77" i="56"/>
  <c r="BQ77" i="56"/>
  <c r="BR76" i="56"/>
  <c r="BQ76" i="56"/>
  <c r="BR75" i="56"/>
  <c r="BQ75" i="56"/>
  <c r="BR74" i="56"/>
  <c r="BQ74" i="56"/>
  <c r="BR73" i="56"/>
  <c r="BQ73" i="56"/>
  <c r="BR69" i="56"/>
  <c r="BQ69" i="56"/>
  <c r="BR64" i="56"/>
  <c r="BQ64" i="56"/>
  <c r="BR63" i="56"/>
  <c r="BQ63" i="56"/>
  <c r="BR60" i="56"/>
  <c r="BQ60" i="56"/>
  <c r="BR59" i="56"/>
  <c r="BQ59" i="56"/>
  <c r="BR58" i="56"/>
  <c r="BQ58" i="56"/>
  <c r="BR57" i="56"/>
  <c r="BQ57" i="56"/>
  <c r="BR56" i="56"/>
  <c r="BQ56" i="56"/>
  <c r="BR53" i="56"/>
  <c r="BQ53" i="56"/>
  <c r="BR52" i="56"/>
  <c r="BQ52" i="56"/>
  <c r="BR51" i="56"/>
  <c r="BQ51" i="56"/>
  <c r="BR50" i="56"/>
  <c r="BQ50" i="56"/>
  <c r="BR49" i="56"/>
  <c r="BQ49" i="56"/>
  <c r="BR48" i="56"/>
  <c r="BQ48" i="56"/>
  <c r="BR47" i="56"/>
  <c r="BQ47" i="56"/>
  <c r="BR46" i="56"/>
  <c r="BQ46" i="56"/>
  <c r="BR45" i="56"/>
  <c r="BQ45" i="56"/>
  <c r="BR44" i="56"/>
  <c r="BQ44" i="56"/>
  <c r="BR43" i="56"/>
  <c r="BQ43" i="56"/>
  <c r="BR42" i="56"/>
  <c r="BQ42" i="56"/>
  <c r="BR41" i="56"/>
  <c r="BQ41" i="56"/>
  <c r="BR40" i="56"/>
  <c r="BQ40" i="56"/>
  <c r="BR39" i="56"/>
  <c r="BQ39" i="56"/>
  <c r="BR38" i="56"/>
  <c r="BQ38" i="56"/>
  <c r="BR37" i="56"/>
  <c r="BQ37" i="56"/>
  <c r="BR36" i="56"/>
  <c r="BQ36" i="56"/>
  <c r="BR35" i="56"/>
  <c r="BQ35" i="56"/>
  <c r="BR34" i="56"/>
  <c r="BQ34" i="56"/>
  <c r="BR33" i="56"/>
  <c r="BQ33" i="56"/>
  <c r="BR32" i="56"/>
  <c r="BQ32" i="56"/>
  <c r="BR31" i="56"/>
  <c r="BQ31" i="56"/>
  <c r="BR30" i="56"/>
  <c r="BQ30" i="56"/>
  <c r="BR29" i="56"/>
  <c r="BQ29" i="56"/>
  <c r="BR28" i="56"/>
  <c r="BQ28" i="56"/>
  <c r="BR27" i="56"/>
  <c r="BQ27" i="56"/>
  <c r="BR26" i="56"/>
  <c r="BQ26" i="56"/>
  <c r="BR23" i="56"/>
  <c r="BQ23" i="56"/>
  <c r="BR22" i="56"/>
  <c r="BQ22" i="56"/>
  <c r="BR21" i="56"/>
  <c r="BQ21" i="56"/>
  <c r="BR20" i="56"/>
  <c r="BQ20" i="56"/>
  <c r="BR19" i="56"/>
  <c r="BQ19" i="56"/>
  <c r="BR18" i="56"/>
  <c r="BQ18" i="56"/>
  <c r="BR17" i="56"/>
  <c r="BQ17" i="56"/>
  <c r="BR16" i="56"/>
  <c r="BQ16" i="56"/>
  <c r="BR15" i="56"/>
  <c r="BQ15" i="56"/>
  <c r="BR14" i="56"/>
  <c r="BQ14" i="56"/>
  <c r="BR13" i="56"/>
  <c r="BQ13" i="56"/>
  <c r="BR12" i="56"/>
  <c r="BQ12" i="56"/>
  <c r="BR11" i="56"/>
  <c r="BQ11" i="56"/>
  <c r="BQ10" i="56"/>
  <c r="BR9" i="56"/>
  <c r="BQ9" i="56"/>
  <c r="BR8" i="56"/>
  <c r="BQ8" i="56"/>
  <c r="BR7" i="56"/>
  <c r="BQ7" i="56"/>
  <c r="BR6" i="56"/>
  <c r="BQ6" i="56"/>
  <c r="S78" i="60" l="1"/>
  <c r="S77" i="60"/>
  <c r="S76" i="60"/>
  <c r="S75" i="60"/>
  <c r="S74" i="60"/>
  <c r="S73" i="60"/>
  <c r="S64" i="60"/>
  <c r="S63" i="60"/>
  <c r="S60" i="60"/>
  <c r="S59" i="60"/>
  <c r="S58" i="60"/>
  <c r="S57" i="60"/>
  <c r="S56" i="60"/>
  <c r="S53" i="60"/>
  <c r="S52" i="60"/>
  <c r="S51" i="60"/>
  <c r="S50" i="60"/>
  <c r="S49" i="60"/>
  <c r="S48" i="60"/>
  <c r="S47" i="60"/>
  <c r="S46" i="60"/>
  <c r="S45" i="60"/>
  <c r="S44" i="60"/>
  <c r="S43" i="60"/>
  <c r="S42" i="60"/>
  <c r="S41" i="60"/>
  <c r="S40" i="60"/>
  <c r="S39" i="60"/>
  <c r="S38" i="60"/>
  <c r="S37" i="60"/>
  <c r="S36" i="60"/>
  <c r="S35" i="60"/>
  <c r="S34" i="60"/>
  <c r="S33" i="60"/>
  <c r="S32" i="60"/>
  <c r="S31" i="60"/>
  <c r="S30" i="60"/>
  <c r="S29" i="60"/>
  <c r="S28" i="60"/>
  <c r="S27" i="60"/>
  <c r="S26" i="60"/>
  <c r="S22" i="60"/>
  <c r="S21" i="60"/>
  <c r="S20" i="60"/>
  <c r="S19" i="60"/>
  <c r="S18" i="60"/>
  <c r="S17" i="60"/>
  <c r="S16" i="60"/>
  <c r="S15" i="60"/>
  <c r="S14" i="60"/>
  <c r="S13" i="60"/>
  <c r="S12" i="60"/>
  <c r="S11" i="60"/>
  <c r="S9" i="60"/>
  <c r="S8" i="60"/>
  <c r="S7" i="60"/>
  <c r="S6" i="60"/>
  <c r="Z81" i="55"/>
  <c r="Z67" i="55"/>
  <c r="Z71" i="55" s="1"/>
  <c r="Y79" i="55"/>
  <c r="Y65" i="55"/>
  <c r="Y54" i="55"/>
  <c r="Y61" i="55"/>
  <c r="Y24" i="55"/>
  <c r="CB78" i="55"/>
  <c r="CA78" i="55"/>
  <c r="CB77" i="55"/>
  <c r="CA77" i="55"/>
  <c r="CB76" i="55"/>
  <c r="CA76" i="55"/>
  <c r="CB75" i="55"/>
  <c r="CA75" i="55"/>
  <c r="CB74" i="55"/>
  <c r="CA74" i="55"/>
  <c r="CB73" i="55"/>
  <c r="CA73" i="55"/>
  <c r="CA79" i="55" s="1"/>
  <c r="CB69" i="55"/>
  <c r="CA69" i="55"/>
  <c r="CB64" i="55"/>
  <c r="CA64" i="55"/>
  <c r="CB63" i="55"/>
  <c r="CA63" i="55"/>
  <c r="CB60" i="55"/>
  <c r="CA60" i="55"/>
  <c r="CB59" i="55"/>
  <c r="CA59" i="55"/>
  <c r="CB58" i="55"/>
  <c r="CA58" i="55"/>
  <c r="CB57" i="55"/>
  <c r="CB61" i="55" s="1"/>
  <c r="CA57" i="55"/>
  <c r="CB56" i="55"/>
  <c r="CA56" i="55"/>
  <c r="CB53" i="55"/>
  <c r="CA53" i="55"/>
  <c r="CB52" i="55"/>
  <c r="CA52" i="55"/>
  <c r="CB51" i="55"/>
  <c r="CA51" i="55"/>
  <c r="CB50" i="55"/>
  <c r="CA50" i="55"/>
  <c r="CB49" i="55"/>
  <c r="CA49" i="55"/>
  <c r="CB48" i="55"/>
  <c r="CA48" i="55"/>
  <c r="CB47" i="55"/>
  <c r="CA47" i="55"/>
  <c r="CB46" i="55"/>
  <c r="CA46" i="55"/>
  <c r="CB45" i="55"/>
  <c r="CA45" i="55"/>
  <c r="CB44" i="55"/>
  <c r="CA44" i="55"/>
  <c r="CB43" i="55"/>
  <c r="CA43" i="55"/>
  <c r="CB42" i="55"/>
  <c r="CA42" i="55"/>
  <c r="CB41" i="55"/>
  <c r="CA41" i="55"/>
  <c r="CB40" i="55"/>
  <c r="CA40" i="55"/>
  <c r="CB39" i="55"/>
  <c r="CA39" i="55"/>
  <c r="CB38" i="55"/>
  <c r="CA38" i="55"/>
  <c r="CB37" i="55"/>
  <c r="CA37" i="55"/>
  <c r="CB36" i="55"/>
  <c r="CA36" i="55"/>
  <c r="CB35" i="55"/>
  <c r="CA35" i="55"/>
  <c r="CB34" i="55"/>
  <c r="CA34" i="55"/>
  <c r="CB33" i="55"/>
  <c r="CA33" i="55"/>
  <c r="CB32" i="55"/>
  <c r="CA32" i="55"/>
  <c r="CB31" i="55"/>
  <c r="CA31" i="55"/>
  <c r="CB30" i="55"/>
  <c r="CA30" i="55"/>
  <c r="CB29" i="55"/>
  <c r="CA29" i="55"/>
  <c r="CB28" i="55"/>
  <c r="CA28" i="55"/>
  <c r="CB27" i="55"/>
  <c r="CA27" i="55"/>
  <c r="CB26" i="55"/>
  <c r="CA26" i="55"/>
  <c r="CA54" i="55" s="1"/>
  <c r="CA23" i="55"/>
  <c r="CB22" i="55"/>
  <c r="CA22" i="55"/>
  <c r="CB21" i="55"/>
  <c r="CA21" i="55"/>
  <c r="CB20" i="55"/>
  <c r="CA20" i="55"/>
  <c r="CB19" i="55"/>
  <c r="CA19" i="55"/>
  <c r="CB18" i="55"/>
  <c r="CA18" i="55"/>
  <c r="CB17" i="55"/>
  <c r="CA17" i="55"/>
  <c r="CB16" i="55"/>
  <c r="CA16" i="55"/>
  <c r="CB15" i="55"/>
  <c r="CA15" i="55"/>
  <c r="CB14" i="55"/>
  <c r="CA14" i="55"/>
  <c r="CB13" i="55"/>
  <c r="CA13" i="55"/>
  <c r="CB12" i="55"/>
  <c r="CA12" i="55"/>
  <c r="CB11" i="55"/>
  <c r="CA11" i="55"/>
  <c r="CA10" i="55"/>
  <c r="CB9" i="55"/>
  <c r="CA9" i="55"/>
  <c r="CB8" i="55"/>
  <c r="CA8" i="55"/>
  <c r="CB7" i="55"/>
  <c r="CA7" i="55"/>
  <c r="CA6" i="55"/>
  <c r="Y79" i="57"/>
  <c r="Y65" i="57"/>
  <c r="Y61" i="57"/>
  <c r="Y54" i="57"/>
  <c r="Y24" i="57"/>
  <c r="BR78" i="57"/>
  <c r="BQ78" i="57"/>
  <c r="BR77" i="57"/>
  <c r="BQ77" i="57"/>
  <c r="BR76" i="57"/>
  <c r="BQ76" i="57"/>
  <c r="BR75" i="57"/>
  <c r="BQ75" i="57"/>
  <c r="BR74" i="57"/>
  <c r="BQ74" i="57"/>
  <c r="BR73" i="57"/>
  <c r="BQ73" i="57"/>
  <c r="BR69" i="57"/>
  <c r="BQ69" i="57"/>
  <c r="BR64" i="57"/>
  <c r="BQ64" i="57"/>
  <c r="BR63" i="57"/>
  <c r="BQ63" i="57"/>
  <c r="BR60" i="57"/>
  <c r="BQ60" i="57"/>
  <c r="BR59" i="57"/>
  <c r="BQ59" i="57"/>
  <c r="BR58" i="57"/>
  <c r="BQ58" i="57"/>
  <c r="BR57" i="57"/>
  <c r="BQ57" i="57"/>
  <c r="BR56" i="57"/>
  <c r="BQ56" i="57"/>
  <c r="BR53" i="57"/>
  <c r="BQ53" i="57"/>
  <c r="BR52" i="57"/>
  <c r="BQ52" i="57"/>
  <c r="BR51" i="57"/>
  <c r="BQ51" i="57"/>
  <c r="BR50" i="57"/>
  <c r="BQ50" i="57"/>
  <c r="BR49" i="57"/>
  <c r="BQ49" i="57"/>
  <c r="BR48" i="57"/>
  <c r="BQ48" i="57"/>
  <c r="BR47" i="57"/>
  <c r="BQ47" i="57"/>
  <c r="BR46" i="57"/>
  <c r="BQ46" i="57"/>
  <c r="BR45" i="57"/>
  <c r="BQ45" i="57"/>
  <c r="BR44" i="57"/>
  <c r="BQ44" i="57"/>
  <c r="BR43" i="57"/>
  <c r="BQ43" i="57"/>
  <c r="BR42" i="57"/>
  <c r="BQ42" i="57"/>
  <c r="BR41" i="57"/>
  <c r="BQ41" i="57"/>
  <c r="BR40" i="57"/>
  <c r="BQ40" i="57"/>
  <c r="BR39" i="57"/>
  <c r="BQ39" i="57"/>
  <c r="BR38" i="57"/>
  <c r="BQ38" i="57"/>
  <c r="BR37" i="57"/>
  <c r="BQ37" i="57"/>
  <c r="BR36" i="57"/>
  <c r="BQ36" i="57"/>
  <c r="BR35" i="57"/>
  <c r="BQ35" i="57"/>
  <c r="BR34" i="57"/>
  <c r="BQ34" i="57"/>
  <c r="BR33" i="57"/>
  <c r="BQ33" i="57"/>
  <c r="BR32" i="57"/>
  <c r="BQ32" i="57"/>
  <c r="BR31" i="57"/>
  <c r="BQ31" i="57"/>
  <c r="BR30" i="57"/>
  <c r="BQ30" i="57"/>
  <c r="BR29" i="57"/>
  <c r="BQ29" i="57"/>
  <c r="BR28" i="57"/>
  <c r="BQ28" i="57"/>
  <c r="BR27" i="57"/>
  <c r="BQ27" i="57"/>
  <c r="BR26" i="57"/>
  <c r="BQ26" i="57"/>
  <c r="BQ54" i="57" s="1"/>
  <c r="BR23" i="57"/>
  <c r="BQ23" i="57"/>
  <c r="BR22" i="57"/>
  <c r="BQ22" i="57"/>
  <c r="BR21" i="57"/>
  <c r="BQ21" i="57"/>
  <c r="BR20" i="57"/>
  <c r="BQ20" i="57"/>
  <c r="BR19" i="57"/>
  <c r="BQ19" i="57"/>
  <c r="BR18" i="57"/>
  <c r="BQ18" i="57"/>
  <c r="BR17" i="57"/>
  <c r="BQ17" i="57"/>
  <c r="BR16" i="57"/>
  <c r="BQ16" i="57"/>
  <c r="BR15" i="57"/>
  <c r="BQ15" i="57"/>
  <c r="BR14" i="57"/>
  <c r="BQ14" i="57"/>
  <c r="BR13" i="57"/>
  <c r="BQ13" i="57"/>
  <c r="BR12" i="57"/>
  <c r="BQ12" i="57"/>
  <c r="BR11" i="57"/>
  <c r="BQ11" i="57"/>
  <c r="BR10" i="57"/>
  <c r="BQ10" i="57"/>
  <c r="BR9" i="57"/>
  <c r="BQ9" i="57"/>
  <c r="BR8" i="57"/>
  <c r="BQ8" i="57"/>
  <c r="BR7" i="57"/>
  <c r="BQ7" i="57"/>
  <c r="BR6" i="57"/>
  <c r="BQ6" i="57"/>
  <c r="BQ24" i="57" s="1"/>
  <c r="Y79" i="58"/>
  <c r="Y65" i="58"/>
  <c r="Y61" i="58"/>
  <c r="Y54" i="58"/>
  <c r="BR78" i="58"/>
  <c r="BQ78" i="58"/>
  <c r="BR77" i="58"/>
  <c r="BQ77" i="58"/>
  <c r="BR76" i="58"/>
  <c r="BQ76" i="58"/>
  <c r="BR75" i="58"/>
  <c r="BQ75" i="58"/>
  <c r="BR74" i="58"/>
  <c r="BQ74" i="58"/>
  <c r="BR73" i="58"/>
  <c r="BR79" i="58" s="1"/>
  <c r="BQ73" i="58"/>
  <c r="BR69" i="58"/>
  <c r="BQ69" i="58"/>
  <c r="BR64" i="58"/>
  <c r="BQ64" i="58"/>
  <c r="BR63" i="58"/>
  <c r="BQ63" i="58"/>
  <c r="BR60" i="58"/>
  <c r="BQ60" i="58"/>
  <c r="BR59" i="58"/>
  <c r="BQ59" i="58"/>
  <c r="BR58" i="58"/>
  <c r="BQ58" i="58"/>
  <c r="BR57" i="58"/>
  <c r="BQ57" i="58"/>
  <c r="BR56" i="58"/>
  <c r="BQ56" i="58"/>
  <c r="BR53" i="58"/>
  <c r="BQ53" i="58"/>
  <c r="BR52" i="58"/>
  <c r="BQ52" i="58"/>
  <c r="BR51" i="58"/>
  <c r="BQ51" i="58"/>
  <c r="BR50" i="58"/>
  <c r="BQ50" i="58"/>
  <c r="BR49" i="58"/>
  <c r="BQ49" i="58"/>
  <c r="BR48" i="58"/>
  <c r="BQ48" i="58"/>
  <c r="BR47" i="58"/>
  <c r="BQ47" i="58"/>
  <c r="BR46" i="58"/>
  <c r="BQ46" i="58"/>
  <c r="BR45" i="58"/>
  <c r="BQ45" i="58"/>
  <c r="BR44" i="58"/>
  <c r="BQ44" i="58"/>
  <c r="BR43" i="58"/>
  <c r="BQ43" i="58"/>
  <c r="BR42" i="58"/>
  <c r="BQ42" i="58"/>
  <c r="BR41" i="58"/>
  <c r="BQ41" i="58"/>
  <c r="BR40" i="58"/>
  <c r="BQ40" i="58"/>
  <c r="BR39" i="58"/>
  <c r="BQ39" i="58"/>
  <c r="BR38" i="58"/>
  <c r="BQ38" i="58"/>
  <c r="BR37" i="58"/>
  <c r="BQ37" i="58"/>
  <c r="BR36" i="58"/>
  <c r="BQ36" i="58"/>
  <c r="BR35" i="58"/>
  <c r="BQ35" i="58"/>
  <c r="BR34" i="58"/>
  <c r="BQ34" i="58"/>
  <c r="BR33" i="58"/>
  <c r="BQ33" i="58"/>
  <c r="BR32" i="58"/>
  <c r="BQ32" i="58"/>
  <c r="BR31" i="58"/>
  <c r="BQ31" i="58"/>
  <c r="BR30" i="58"/>
  <c r="BQ30" i="58"/>
  <c r="BR29" i="58"/>
  <c r="BQ29" i="58"/>
  <c r="BR28" i="58"/>
  <c r="BQ28" i="58"/>
  <c r="BR27" i="58"/>
  <c r="BQ27" i="58"/>
  <c r="BR26" i="58"/>
  <c r="BQ26" i="58"/>
  <c r="BQ54" i="58" s="1"/>
  <c r="BQ23" i="58"/>
  <c r="BR22" i="58"/>
  <c r="BQ22" i="58"/>
  <c r="BR21" i="58"/>
  <c r="BQ21" i="58"/>
  <c r="BR20" i="58"/>
  <c r="BQ20" i="58"/>
  <c r="BR19" i="58"/>
  <c r="BQ19" i="58"/>
  <c r="BR18" i="58"/>
  <c r="BQ18" i="58"/>
  <c r="BR17" i="58"/>
  <c r="BQ17" i="58"/>
  <c r="BR16" i="58"/>
  <c r="BQ16" i="58"/>
  <c r="BR15" i="58"/>
  <c r="BQ15" i="58"/>
  <c r="BR14" i="58"/>
  <c r="BQ14" i="58"/>
  <c r="BR13" i="58"/>
  <c r="BQ13" i="58"/>
  <c r="BR12" i="58"/>
  <c r="BQ12" i="58"/>
  <c r="BR11" i="58"/>
  <c r="BQ11" i="58"/>
  <c r="BQ10" i="58"/>
  <c r="BR9" i="58"/>
  <c r="BQ9" i="58"/>
  <c r="BR8" i="58"/>
  <c r="BQ8" i="58"/>
  <c r="BR7" i="58"/>
  <c r="BQ7" i="58"/>
  <c r="BR6" i="58"/>
  <c r="BQ6" i="58"/>
  <c r="Y79" i="59"/>
  <c r="Y65" i="59"/>
  <c r="Y61" i="59"/>
  <c r="Y54" i="59"/>
  <c r="Y24" i="59"/>
  <c r="BR78" i="59"/>
  <c r="BQ78" i="59"/>
  <c r="BR77" i="59"/>
  <c r="BQ77" i="59"/>
  <c r="BR76" i="59"/>
  <c r="BQ76" i="59"/>
  <c r="BR75" i="59"/>
  <c r="BQ75" i="59"/>
  <c r="BR74" i="59"/>
  <c r="BQ74" i="59"/>
  <c r="BR73" i="59"/>
  <c r="BQ73" i="59"/>
  <c r="BQ79" i="59" s="1"/>
  <c r="BR69" i="59"/>
  <c r="BQ69" i="59"/>
  <c r="BR64" i="59"/>
  <c r="BQ64" i="59"/>
  <c r="BR63" i="59"/>
  <c r="BQ63" i="59"/>
  <c r="BR60" i="59"/>
  <c r="BQ60" i="59"/>
  <c r="BR59" i="59"/>
  <c r="BQ59" i="59"/>
  <c r="BR58" i="59"/>
  <c r="BQ58" i="59"/>
  <c r="BR57" i="59"/>
  <c r="BQ57" i="59"/>
  <c r="BR56" i="59"/>
  <c r="BR61" i="59" s="1"/>
  <c r="BQ56" i="59"/>
  <c r="BQ61" i="59" s="1"/>
  <c r="BR53" i="59"/>
  <c r="BQ53" i="59"/>
  <c r="BR52" i="59"/>
  <c r="BQ52" i="59"/>
  <c r="BR51" i="59"/>
  <c r="BQ51" i="59"/>
  <c r="BR50" i="59"/>
  <c r="BQ50" i="59"/>
  <c r="BR49" i="59"/>
  <c r="BQ49" i="59"/>
  <c r="BR48" i="59"/>
  <c r="BQ48" i="59"/>
  <c r="BR47" i="59"/>
  <c r="BQ47" i="59"/>
  <c r="BR46" i="59"/>
  <c r="BQ46" i="59"/>
  <c r="BR45" i="59"/>
  <c r="BQ45" i="59"/>
  <c r="BR44" i="59"/>
  <c r="BQ44" i="59"/>
  <c r="BR43" i="59"/>
  <c r="BQ43" i="59"/>
  <c r="BR42" i="59"/>
  <c r="BQ42" i="59"/>
  <c r="BR41" i="59"/>
  <c r="BQ41" i="59"/>
  <c r="BR40" i="59"/>
  <c r="BQ40" i="59"/>
  <c r="BR39" i="59"/>
  <c r="BQ39" i="59"/>
  <c r="BR38" i="59"/>
  <c r="BQ38" i="59"/>
  <c r="BR37" i="59"/>
  <c r="BQ37" i="59"/>
  <c r="BR36" i="59"/>
  <c r="BQ36" i="59"/>
  <c r="BR35" i="59"/>
  <c r="BQ35" i="59"/>
  <c r="BR34" i="59"/>
  <c r="BQ34" i="59"/>
  <c r="BR33" i="59"/>
  <c r="BQ33" i="59"/>
  <c r="BR32" i="59"/>
  <c r="BQ32" i="59"/>
  <c r="BR31" i="59"/>
  <c r="BQ31" i="59"/>
  <c r="BR30" i="59"/>
  <c r="BQ30" i="59"/>
  <c r="BR29" i="59"/>
  <c r="BQ29" i="59"/>
  <c r="BR28" i="59"/>
  <c r="BQ28" i="59"/>
  <c r="BR27" i="59"/>
  <c r="BQ27" i="59"/>
  <c r="BR26" i="59"/>
  <c r="BR54" i="59" s="1"/>
  <c r="BQ26" i="59"/>
  <c r="BQ54" i="59" s="1"/>
  <c r="BQ23" i="59"/>
  <c r="BR22" i="59"/>
  <c r="BQ22" i="59"/>
  <c r="BR21" i="59"/>
  <c r="BQ21" i="59"/>
  <c r="BR20" i="59"/>
  <c r="BQ20" i="59"/>
  <c r="BR19" i="59"/>
  <c r="BQ19" i="59"/>
  <c r="BR18" i="59"/>
  <c r="BQ18" i="59"/>
  <c r="BR17" i="59"/>
  <c r="BQ17" i="59"/>
  <c r="BR16" i="59"/>
  <c r="BQ16" i="59"/>
  <c r="BR15" i="59"/>
  <c r="BQ15" i="59"/>
  <c r="BR14" i="59"/>
  <c r="BQ14" i="59"/>
  <c r="BR13" i="59"/>
  <c r="BQ13" i="59"/>
  <c r="BR12" i="59"/>
  <c r="BQ12" i="59"/>
  <c r="BR11" i="59"/>
  <c r="BQ11" i="59"/>
  <c r="BR10" i="59"/>
  <c r="BQ10" i="59"/>
  <c r="BR9" i="59"/>
  <c r="BQ9" i="59"/>
  <c r="BR8" i="59"/>
  <c r="BQ8" i="59"/>
  <c r="BR7" i="59"/>
  <c r="BQ7" i="59"/>
  <c r="BR6" i="59"/>
  <c r="BQ6" i="59"/>
  <c r="BQ24" i="59" s="1"/>
  <c r="BR79" i="56"/>
  <c r="BQ79" i="56"/>
  <c r="BQ65" i="56"/>
  <c r="BR61" i="56"/>
  <c r="BQ61" i="56"/>
  <c r="BR54" i="56"/>
  <c r="BQ54" i="56"/>
  <c r="BR24" i="56"/>
  <c r="BQ24" i="56"/>
  <c r="Y79" i="56"/>
  <c r="Y65" i="56"/>
  <c r="Y61" i="56"/>
  <c r="Y54" i="56"/>
  <c r="Y24" i="56"/>
  <c r="Y79" i="69"/>
  <c r="Y61" i="69"/>
  <c r="Y54" i="69"/>
  <c r="Y24" i="69"/>
  <c r="BQ61" i="58" l="1"/>
  <c r="BQ67" i="58" s="1"/>
  <c r="BQ71" i="58" s="1"/>
  <c r="BQ79" i="58"/>
  <c r="BQ61" i="57"/>
  <c r="BQ81" i="57" s="1"/>
  <c r="BQ79" i="57"/>
  <c r="Y67" i="57"/>
  <c r="Y71" i="57" s="1"/>
  <c r="CB79" i="55"/>
  <c r="CA61" i="55"/>
  <c r="CA65" i="55"/>
  <c r="Y67" i="56"/>
  <c r="Y71" i="56" s="1"/>
  <c r="BQ65" i="59"/>
  <c r="S61" i="60"/>
  <c r="BQ24" i="58"/>
  <c r="BQ65" i="58"/>
  <c r="S65" i="60"/>
  <c r="BR24" i="57"/>
  <c r="BR61" i="57"/>
  <c r="BR79" i="57"/>
  <c r="BQ65" i="57"/>
  <c r="Y81" i="57"/>
  <c r="S54" i="60"/>
  <c r="S79" i="60"/>
  <c r="CB54" i="55"/>
  <c r="Y67" i="55"/>
  <c r="Y71" i="55" s="1"/>
  <c r="CB65" i="55"/>
  <c r="Y81" i="55"/>
  <c r="CA24" i="55"/>
  <c r="BR54" i="57"/>
  <c r="BR65" i="57"/>
  <c r="BR54" i="58"/>
  <c r="BR65" i="58"/>
  <c r="BR61" i="58"/>
  <c r="Y81" i="59"/>
  <c r="BR79" i="59"/>
  <c r="Y67" i="59"/>
  <c r="Y71" i="59" s="1"/>
  <c r="BR65" i="59"/>
  <c r="BQ81" i="59"/>
  <c r="BQ67" i="59"/>
  <c r="BQ71" i="59" s="1"/>
  <c r="Y81" i="56"/>
  <c r="BR65" i="56"/>
  <c r="BR81" i="56" s="1"/>
  <c r="BQ81" i="56"/>
  <c r="BQ67" i="56"/>
  <c r="BQ71" i="56" s="1"/>
  <c r="BQ81" i="58" l="1"/>
  <c r="BQ67" i="57"/>
  <c r="BQ71" i="57" s="1"/>
  <c r="CA67" i="55"/>
  <c r="CA71" i="55" s="1"/>
  <c r="BR67" i="56"/>
  <c r="BR71" i="56" s="1"/>
  <c r="CA81" i="55"/>
  <c r="BR81" i="57"/>
  <c r="BR67" i="57"/>
  <c r="BR71" i="57" s="1"/>
  <c r="W17" i="69" l="1"/>
  <c r="W6" i="69"/>
  <c r="W19" i="56"/>
  <c r="W17" i="56"/>
  <c r="W10" i="56"/>
  <c r="W23" i="59"/>
  <c r="W10" i="59"/>
  <c r="W6" i="59"/>
  <c r="W41" i="58"/>
  <c r="W40" i="58"/>
  <c r="W17" i="58"/>
  <c r="W10" i="58"/>
  <c r="U23" i="55"/>
  <c r="W10" i="57"/>
  <c r="W40" i="57"/>
  <c r="W39" i="55"/>
  <c r="W40" i="55"/>
  <c r="W19" i="55"/>
  <c r="W18" i="55"/>
  <c r="AU18" i="55" s="1"/>
  <c r="AI18" i="60" s="1"/>
  <c r="AX18" i="60" s="1"/>
  <c r="W17" i="55"/>
  <c r="W10" i="55"/>
  <c r="W7" i="55"/>
  <c r="W6" i="55"/>
  <c r="BG55" i="60" l="1"/>
  <c r="P78" i="60" l="1"/>
  <c r="P77" i="60"/>
  <c r="P76" i="60"/>
  <c r="P75" i="60"/>
  <c r="P74" i="60"/>
  <c r="P73" i="60"/>
  <c r="P64" i="60"/>
  <c r="P63" i="60"/>
  <c r="P60" i="60"/>
  <c r="P59" i="60"/>
  <c r="P58" i="60"/>
  <c r="P57" i="60"/>
  <c r="P56" i="60"/>
  <c r="P53" i="60"/>
  <c r="P52" i="60"/>
  <c r="P51" i="60"/>
  <c r="P50" i="60"/>
  <c r="P49" i="60"/>
  <c r="P48" i="60"/>
  <c r="P47" i="60"/>
  <c r="P46" i="60"/>
  <c r="P45" i="60"/>
  <c r="P44" i="60"/>
  <c r="P43" i="60"/>
  <c r="P42" i="60"/>
  <c r="P41" i="60"/>
  <c r="P40" i="60"/>
  <c r="P39" i="60"/>
  <c r="P38" i="60"/>
  <c r="P37" i="60"/>
  <c r="P36" i="60"/>
  <c r="P35" i="60"/>
  <c r="P34" i="60"/>
  <c r="P33" i="60"/>
  <c r="P32" i="60"/>
  <c r="P31" i="60"/>
  <c r="P30" i="60"/>
  <c r="P29" i="60"/>
  <c r="P28" i="60"/>
  <c r="P27" i="60"/>
  <c r="P26" i="60"/>
  <c r="P23" i="60"/>
  <c r="P22" i="60"/>
  <c r="P21" i="60"/>
  <c r="P20" i="60"/>
  <c r="P19" i="60"/>
  <c r="P18" i="60"/>
  <c r="P17" i="60"/>
  <c r="P16" i="60"/>
  <c r="P15" i="60"/>
  <c r="P14" i="60"/>
  <c r="P13" i="60"/>
  <c r="P12" i="60"/>
  <c r="P11" i="60"/>
  <c r="P10" i="60"/>
  <c r="P9" i="60"/>
  <c r="P8" i="60"/>
  <c r="P7" i="60"/>
  <c r="P6" i="60"/>
  <c r="CC78" i="55"/>
  <c r="CC77" i="55"/>
  <c r="CC76" i="55"/>
  <c r="CC75" i="55"/>
  <c r="CC74" i="55"/>
  <c r="CC73" i="55"/>
  <c r="CC69" i="55"/>
  <c r="CC64" i="55"/>
  <c r="CC63" i="55"/>
  <c r="CC60" i="55"/>
  <c r="CC59" i="55"/>
  <c r="CC58" i="55"/>
  <c r="CC57" i="55"/>
  <c r="CC56" i="55"/>
  <c r="CC53" i="55"/>
  <c r="CC52" i="55"/>
  <c r="CC51" i="55"/>
  <c r="CC50" i="55"/>
  <c r="CC49" i="55"/>
  <c r="CC48" i="55"/>
  <c r="CC47" i="55"/>
  <c r="CC46" i="55"/>
  <c r="CC45" i="55"/>
  <c r="CC44" i="55"/>
  <c r="CC43" i="55"/>
  <c r="CC42" i="55"/>
  <c r="CC41" i="55"/>
  <c r="CC40" i="55"/>
  <c r="CC39" i="55"/>
  <c r="CC38" i="55"/>
  <c r="CC37" i="55"/>
  <c r="CC36" i="55"/>
  <c r="CC35" i="55"/>
  <c r="CC34" i="55"/>
  <c r="CC33" i="55"/>
  <c r="CC32" i="55"/>
  <c r="CC31" i="55"/>
  <c r="CC30" i="55"/>
  <c r="CC29" i="55"/>
  <c r="CC28" i="55"/>
  <c r="CC27" i="55"/>
  <c r="CC26" i="55"/>
  <c r="CC22" i="55"/>
  <c r="CC21" i="55"/>
  <c r="CC20" i="55"/>
  <c r="CC19" i="55"/>
  <c r="CC18" i="55"/>
  <c r="CC17" i="55"/>
  <c r="CC16" i="55"/>
  <c r="CC15" i="55"/>
  <c r="CC14" i="55"/>
  <c r="CC13" i="55"/>
  <c r="CC12" i="55"/>
  <c r="CC11" i="55"/>
  <c r="CC9" i="55"/>
  <c r="CC8" i="55"/>
  <c r="CC7" i="55"/>
  <c r="W78" i="55"/>
  <c r="AU78" i="55" s="1"/>
  <c r="AI78" i="60" s="1"/>
  <c r="W77" i="55"/>
  <c r="AU77" i="55" s="1"/>
  <c r="AI77" i="60" s="1"/>
  <c r="W76" i="55"/>
  <c r="AU76" i="55" s="1"/>
  <c r="AI76" i="60" s="1"/>
  <c r="W75" i="55"/>
  <c r="AU75" i="55" s="1"/>
  <c r="AI75" i="60" s="1"/>
  <c r="W74" i="55"/>
  <c r="AU74" i="55" s="1"/>
  <c r="AI74" i="60" s="1"/>
  <c r="W73" i="55"/>
  <c r="AU73" i="55" s="1"/>
  <c r="W64" i="55"/>
  <c r="AU64" i="55" s="1"/>
  <c r="AI64" i="60" s="1"/>
  <c r="W63" i="55"/>
  <c r="AU63" i="55" s="1"/>
  <c r="W60" i="55"/>
  <c r="W59" i="55"/>
  <c r="W58" i="55"/>
  <c r="W57" i="55"/>
  <c r="AU57" i="55" s="1"/>
  <c r="AI57" i="60" s="1"/>
  <c r="W56" i="55"/>
  <c r="AU56" i="55" s="1"/>
  <c r="W53" i="55"/>
  <c r="AU53" i="55" s="1"/>
  <c r="AI53" i="60" s="1"/>
  <c r="W52" i="55"/>
  <c r="AU52" i="55" s="1"/>
  <c r="AI52" i="60" s="1"/>
  <c r="W51" i="55"/>
  <c r="AU51" i="55" s="1"/>
  <c r="AI51" i="60" s="1"/>
  <c r="W50" i="55"/>
  <c r="AU50" i="55" s="1"/>
  <c r="AI50" i="60" s="1"/>
  <c r="W49" i="55"/>
  <c r="AU49" i="55" s="1"/>
  <c r="AI49" i="60" s="1"/>
  <c r="W48" i="55"/>
  <c r="AU48" i="55" s="1"/>
  <c r="AI48" i="60" s="1"/>
  <c r="W46" i="55"/>
  <c r="AU46" i="55" s="1"/>
  <c r="AI46" i="60" s="1"/>
  <c r="W45" i="55"/>
  <c r="AU45" i="55" s="1"/>
  <c r="AI45" i="60" s="1"/>
  <c r="W44" i="55"/>
  <c r="AU44" i="55" s="1"/>
  <c r="AI44" i="60" s="1"/>
  <c r="W43" i="55"/>
  <c r="AU43" i="55" s="1"/>
  <c r="AI43" i="60" s="1"/>
  <c r="W42" i="55"/>
  <c r="AU42" i="55" s="1"/>
  <c r="AI42" i="60" s="1"/>
  <c r="W41" i="55"/>
  <c r="AU41" i="55" s="1"/>
  <c r="W38" i="55"/>
  <c r="AI38" i="60" s="1"/>
  <c r="AX38" i="60" s="1"/>
  <c r="W37" i="55"/>
  <c r="AU37" i="55" s="1"/>
  <c r="AI37" i="60" s="1"/>
  <c r="W36" i="55"/>
  <c r="AU36" i="55" s="1"/>
  <c r="AI36" i="60" s="1"/>
  <c r="W35" i="55"/>
  <c r="AU35" i="55" s="1"/>
  <c r="AI35" i="60" s="1"/>
  <c r="W34" i="55"/>
  <c r="AU34" i="55" s="1"/>
  <c r="AI34" i="60" s="1"/>
  <c r="W32" i="55"/>
  <c r="AU32" i="55" s="1"/>
  <c r="AI32" i="60" s="1"/>
  <c r="W30" i="55"/>
  <c r="AU30" i="55" s="1"/>
  <c r="AI30" i="60" s="1"/>
  <c r="W29" i="55"/>
  <c r="AU29" i="55" s="1"/>
  <c r="AI29" i="60" s="1"/>
  <c r="W28" i="55"/>
  <c r="AU28" i="55" s="1"/>
  <c r="AI28" i="60" s="1"/>
  <c r="W27" i="55"/>
  <c r="AU27" i="55" s="1"/>
  <c r="AI27" i="60" s="1"/>
  <c r="W26" i="55"/>
  <c r="AU26" i="55" s="1"/>
  <c r="W23" i="55"/>
  <c r="AU23" i="55" s="1"/>
  <c r="AI23" i="60" s="1"/>
  <c r="W22" i="55"/>
  <c r="AU22" i="55" s="1"/>
  <c r="AI22" i="60" s="1"/>
  <c r="W21" i="55"/>
  <c r="AU21" i="55" s="1"/>
  <c r="AI21" i="60" s="1"/>
  <c r="W20" i="55"/>
  <c r="AU20" i="55" s="1"/>
  <c r="AI20" i="60" s="1"/>
  <c r="W16" i="55"/>
  <c r="AU16" i="55" s="1"/>
  <c r="AI16" i="60" s="1"/>
  <c r="W15" i="55"/>
  <c r="AU15" i="55" s="1"/>
  <c r="AI15" i="60" s="1"/>
  <c r="W14" i="55"/>
  <c r="AU14" i="55" s="1"/>
  <c r="AI14" i="60" s="1"/>
  <c r="W12" i="55"/>
  <c r="AU12" i="55" s="1"/>
  <c r="AI12" i="60" s="1"/>
  <c r="W11" i="55"/>
  <c r="AU11" i="55" s="1"/>
  <c r="AI11" i="60" s="1"/>
  <c r="W9" i="55"/>
  <c r="AI9" i="60" s="1"/>
  <c r="W8" i="55"/>
  <c r="S78" i="55"/>
  <c r="AQ78" i="55" s="1"/>
  <c r="S77" i="55"/>
  <c r="AQ77" i="55" s="1"/>
  <c r="S75" i="55"/>
  <c r="AQ75" i="55" s="1"/>
  <c r="S74" i="55"/>
  <c r="AQ74" i="55" s="1"/>
  <c r="S73" i="55"/>
  <c r="AQ73" i="55" s="1"/>
  <c r="S76" i="55"/>
  <c r="AQ76" i="55" s="1"/>
  <c r="S64" i="55"/>
  <c r="AQ64" i="55" s="1"/>
  <c r="S63" i="55"/>
  <c r="AQ63" i="55" s="1"/>
  <c r="S57" i="55"/>
  <c r="AQ57" i="55" s="1"/>
  <c r="S56" i="55"/>
  <c r="AQ56" i="55" s="1"/>
  <c r="S53" i="55"/>
  <c r="AQ53" i="55" s="1"/>
  <c r="S52" i="55"/>
  <c r="AQ52" i="55" s="1"/>
  <c r="S51" i="55"/>
  <c r="AQ51" i="55" s="1"/>
  <c r="S50" i="55"/>
  <c r="AQ50" i="55" s="1"/>
  <c r="S49" i="55"/>
  <c r="AQ49" i="55" s="1"/>
  <c r="S48" i="55"/>
  <c r="AQ48" i="55" s="1"/>
  <c r="S47" i="55"/>
  <c r="S46" i="55"/>
  <c r="AQ46" i="55" s="1"/>
  <c r="S45" i="55"/>
  <c r="AQ45" i="55" s="1"/>
  <c r="S44" i="55"/>
  <c r="AQ44" i="55" s="1"/>
  <c r="S43" i="55"/>
  <c r="AQ43" i="55" s="1"/>
  <c r="S42" i="55"/>
  <c r="AQ42" i="55" s="1"/>
  <c r="S41" i="55"/>
  <c r="AQ41" i="55" s="1"/>
  <c r="S38" i="55"/>
  <c r="AQ38" i="55" s="1"/>
  <c r="S37" i="55"/>
  <c r="AQ37" i="55" s="1"/>
  <c r="S36" i="55"/>
  <c r="AQ36" i="55" s="1"/>
  <c r="S35" i="55"/>
  <c r="AQ35" i="55" s="1"/>
  <c r="S34" i="55"/>
  <c r="AQ34" i="55" s="1"/>
  <c r="S32" i="55"/>
  <c r="AQ32" i="55" s="1"/>
  <c r="S30" i="55"/>
  <c r="AQ30" i="55" s="1"/>
  <c r="S29" i="55"/>
  <c r="AQ29" i="55" s="1"/>
  <c r="S28" i="55"/>
  <c r="AQ28" i="55" s="1"/>
  <c r="S27" i="55"/>
  <c r="AQ27" i="55" s="1"/>
  <c r="S26" i="55"/>
  <c r="AQ26" i="55" s="1"/>
  <c r="S22" i="55"/>
  <c r="S21" i="55"/>
  <c r="S20" i="55"/>
  <c r="S18" i="55"/>
  <c r="AQ18" i="55" s="1"/>
  <c r="S14" i="55"/>
  <c r="AQ14" i="55" s="1"/>
  <c r="U65" i="55"/>
  <c r="U61" i="55"/>
  <c r="U79" i="55"/>
  <c r="U54" i="55"/>
  <c r="U24" i="55"/>
  <c r="BS78" i="59"/>
  <c r="BS75" i="59"/>
  <c r="BS74" i="59"/>
  <c r="BS69" i="59"/>
  <c r="BS64" i="59"/>
  <c r="BS63" i="59"/>
  <c r="BS60" i="59"/>
  <c r="BS59" i="59"/>
  <c r="BS58" i="59"/>
  <c r="BS57" i="59"/>
  <c r="BS56" i="59"/>
  <c r="BS53" i="59"/>
  <c r="BS52" i="59"/>
  <c r="BS51" i="59"/>
  <c r="BS50" i="59"/>
  <c r="BS49" i="59"/>
  <c r="BS48" i="59"/>
  <c r="BS47" i="59"/>
  <c r="BS46" i="59"/>
  <c r="BS45" i="59"/>
  <c r="BS44" i="59"/>
  <c r="BS43" i="59"/>
  <c r="BS42" i="59"/>
  <c r="BS41" i="59"/>
  <c r="BS40" i="59"/>
  <c r="BS39" i="59"/>
  <c r="BS38" i="59"/>
  <c r="BS37" i="59"/>
  <c r="BS36" i="59"/>
  <c r="BS35" i="59"/>
  <c r="BS34" i="59"/>
  <c r="BS33" i="59"/>
  <c r="BS32" i="59"/>
  <c r="BS31" i="59"/>
  <c r="BS30" i="59"/>
  <c r="BS29" i="59"/>
  <c r="BS28" i="59"/>
  <c r="BS27" i="59"/>
  <c r="BS26" i="59"/>
  <c r="BS22" i="59"/>
  <c r="BS21" i="59"/>
  <c r="BS20" i="59"/>
  <c r="BS19" i="59"/>
  <c r="BS18" i="59"/>
  <c r="BS17" i="59"/>
  <c r="BS16" i="59"/>
  <c r="BS15" i="59"/>
  <c r="BS14" i="59"/>
  <c r="BS13" i="59"/>
  <c r="BS12" i="59"/>
  <c r="BS11" i="59"/>
  <c r="BS9" i="59"/>
  <c r="BS8" i="59"/>
  <c r="BS7" i="59"/>
  <c r="W76" i="59"/>
  <c r="W58" i="59"/>
  <c r="W32" i="59"/>
  <c r="W16" i="59"/>
  <c r="W15" i="59"/>
  <c r="U79" i="59"/>
  <c r="U61" i="59"/>
  <c r="U65" i="59"/>
  <c r="U54" i="59"/>
  <c r="U24" i="59"/>
  <c r="S78" i="59"/>
  <c r="S77" i="59"/>
  <c r="S76" i="59"/>
  <c r="S75" i="59"/>
  <c r="S74" i="59"/>
  <c r="S73" i="59"/>
  <c r="S64" i="59"/>
  <c r="S63" i="59"/>
  <c r="S60" i="59"/>
  <c r="S59" i="59"/>
  <c r="S58" i="59"/>
  <c r="S57" i="59"/>
  <c r="S56" i="59"/>
  <c r="S53" i="59"/>
  <c r="S52" i="59"/>
  <c r="S51" i="59"/>
  <c r="S50" i="59"/>
  <c r="S49" i="59"/>
  <c r="S48" i="59"/>
  <c r="S47" i="59"/>
  <c r="S46" i="59"/>
  <c r="S45" i="59"/>
  <c r="S44" i="59"/>
  <c r="S43" i="59"/>
  <c r="S42" i="59"/>
  <c r="S41" i="59"/>
  <c r="S40" i="59"/>
  <c r="S39" i="59"/>
  <c r="S38" i="59"/>
  <c r="S37" i="59"/>
  <c r="S36" i="59"/>
  <c r="S35" i="59"/>
  <c r="S34" i="59"/>
  <c r="S33" i="59"/>
  <c r="S32" i="59"/>
  <c r="S31" i="59"/>
  <c r="S30" i="59"/>
  <c r="S29" i="59"/>
  <c r="S28" i="59"/>
  <c r="S27" i="59"/>
  <c r="S26" i="59"/>
  <c r="S23" i="59"/>
  <c r="S22" i="59"/>
  <c r="S21" i="59"/>
  <c r="S20" i="59"/>
  <c r="S19" i="59"/>
  <c r="S18" i="59"/>
  <c r="S15" i="59"/>
  <c r="S14" i="59"/>
  <c r="S12" i="59"/>
  <c r="S11" i="59"/>
  <c r="S9" i="59"/>
  <c r="S8" i="59"/>
  <c r="S7" i="59"/>
  <c r="U79" i="56"/>
  <c r="U54" i="56"/>
  <c r="U24" i="56"/>
  <c r="W76" i="56"/>
  <c r="W53" i="56"/>
  <c r="W16" i="56"/>
  <c r="W15" i="56"/>
  <c r="BS78" i="56"/>
  <c r="BS77" i="56"/>
  <c r="BS76" i="56"/>
  <c r="BS75" i="56"/>
  <c r="BS74" i="56"/>
  <c r="BS73" i="56"/>
  <c r="BS69" i="56"/>
  <c r="BS64" i="56"/>
  <c r="BS63" i="56"/>
  <c r="BS60" i="56"/>
  <c r="BS59" i="56"/>
  <c r="BS58" i="56"/>
  <c r="BS57" i="56"/>
  <c r="BS56" i="56"/>
  <c r="BS53" i="56"/>
  <c r="BS52" i="56"/>
  <c r="BS51" i="56"/>
  <c r="BS50" i="56"/>
  <c r="BS49" i="56"/>
  <c r="BS48" i="56"/>
  <c r="BS47" i="56"/>
  <c r="BS46" i="56"/>
  <c r="BS45" i="56"/>
  <c r="BS44" i="56"/>
  <c r="BS43" i="56"/>
  <c r="BS42" i="56"/>
  <c r="BS41" i="56"/>
  <c r="BS40" i="56"/>
  <c r="BS39" i="56"/>
  <c r="BS38" i="56"/>
  <c r="BS37" i="56"/>
  <c r="BS36" i="56"/>
  <c r="BS35" i="56"/>
  <c r="BS34" i="56"/>
  <c r="BS33" i="56"/>
  <c r="BS32" i="56"/>
  <c r="BS31" i="56"/>
  <c r="BS30" i="56"/>
  <c r="BS29" i="56"/>
  <c r="BS28" i="56"/>
  <c r="BS27" i="56"/>
  <c r="BS23" i="56"/>
  <c r="BS22" i="56"/>
  <c r="BS21" i="56"/>
  <c r="BS20" i="56"/>
  <c r="BS19" i="56"/>
  <c r="BS18" i="56"/>
  <c r="BS17" i="56"/>
  <c r="BS16" i="56"/>
  <c r="BS15" i="56"/>
  <c r="BS14" i="56"/>
  <c r="BS13" i="56"/>
  <c r="BS12" i="56"/>
  <c r="BS11" i="56"/>
  <c r="BS9" i="56"/>
  <c r="BS8" i="56"/>
  <c r="BS7" i="56"/>
  <c r="BS6" i="56"/>
  <c r="W76" i="69"/>
  <c r="W16" i="69"/>
  <c r="W15" i="69"/>
  <c r="W14" i="69"/>
  <c r="U24" i="69"/>
  <c r="BS78" i="58"/>
  <c r="BS77" i="58"/>
  <c r="BS76" i="58"/>
  <c r="BS75" i="58"/>
  <c r="BS74" i="58"/>
  <c r="BS73" i="58"/>
  <c r="BS69" i="58"/>
  <c r="BS64" i="58"/>
  <c r="BS63" i="58"/>
  <c r="BS60" i="58"/>
  <c r="BS59" i="58"/>
  <c r="BS58" i="58"/>
  <c r="BS57" i="58"/>
  <c r="BS56" i="58"/>
  <c r="BS53" i="58"/>
  <c r="BS52" i="58"/>
  <c r="BS51" i="58"/>
  <c r="BS50" i="58"/>
  <c r="BS49" i="58"/>
  <c r="BS48" i="58"/>
  <c r="BS47" i="58"/>
  <c r="BS46" i="58"/>
  <c r="BS45" i="58"/>
  <c r="BS44" i="58"/>
  <c r="BS43" i="58"/>
  <c r="BS42" i="58"/>
  <c r="BS41" i="58"/>
  <c r="BS40" i="58"/>
  <c r="BS39" i="58"/>
  <c r="BS38" i="58"/>
  <c r="BS37" i="58"/>
  <c r="BS36" i="58"/>
  <c r="BS35" i="58"/>
  <c r="BS34" i="58"/>
  <c r="BS33" i="58"/>
  <c r="BS32" i="58"/>
  <c r="BS31" i="58"/>
  <c r="BS30" i="58"/>
  <c r="BS29" i="58"/>
  <c r="BS28" i="58"/>
  <c r="BS27" i="58"/>
  <c r="BS26" i="58"/>
  <c r="BS22" i="58"/>
  <c r="BS21" i="58"/>
  <c r="BS20" i="58"/>
  <c r="BS19" i="58"/>
  <c r="BS18" i="58"/>
  <c r="BS17" i="58"/>
  <c r="BS16" i="58"/>
  <c r="BS15" i="58"/>
  <c r="BS14" i="58"/>
  <c r="BS13" i="58"/>
  <c r="BS12" i="58"/>
  <c r="BS11" i="58"/>
  <c r="BS9" i="58"/>
  <c r="BS8" i="58"/>
  <c r="BS7" i="58"/>
  <c r="BS6" i="58"/>
  <c r="W76" i="58"/>
  <c r="W53" i="58"/>
  <c r="W15" i="58"/>
  <c r="S78" i="58"/>
  <c r="S77" i="58"/>
  <c r="S76" i="58"/>
  <c r="S75" i="58"/>
  <c r="S74" i="58"/>
  <c r="S73" i="58"/>
  <c r="S64" i="58"/>
  <c r="S63" i="58"/>
  <c r="S60" i="58"/>
  <c r="S59" i="58"/>
  <c r="S58" i="58"/>
  <c r="S57" i="58"/>
  <c r="S56" i="58"/>
  <c r="S53" i="58"/>
  <c r="S52" i="58"/>
  <c r="S51" i="58"/>
  <c r="S50" i="58"/>
  <c r="S49" i="58"/>
  <c r="S48" i="58"/>
  <c r="S47" i="58"/>
  <c r="S46" i="58"/>
  <c r="S45" i="58"/>
  <c r="S44" i="58"/>
  <c r="S43" i="58"/>
  <c r="S42" i="58"/>
  <c r="S41" i="58"/>
  <c r="S40" i="58"/>
  <c r="S39" i="58"/>
  <c r="S38" i="58"/>
  <c r="S37" i="58"/>
  <c r="S36" i="58"/>
  <c r="S35" i="58"/>
  <c r="S34" i="58"/>
  <c r="S33" i="58"/>
  <c r="S32" i="58"/>
  <c r="S31" i="58"/>
  <c r="S30" i="58"/>
  <c r="S29" i="58"/>
  <c r="S28" i="58"/>
  <c r="S27" i="58"/>
  <c r="S26" i="58"/>
  <c r="S23" i="58"/>
  <c r="S22" i="58"/>
  <c r="S21" i="58"/>
  <c r="S20" i="58"/>
  <c r="S19" i="58"/>
  <c r="S18" i="58"/>
  <c r="S16" i="58"/>
  <c r="S15" i="58"/>
  <c r="S14" i="58"/>
  <c r="S13" i="58"/>
  <c r="S12" i="58"/>
  <c r="S11" i="58"/>
  <c r="S9" i="58"/>
  <c r="S8" i="58"/>
  <c r="S7" i="58"/>
  <c r="S10" i="58"/>
  <c r="S6" i="58"/>
  <c r="U79" i="58"/>
  <c r="U65" i="58"/>
  <c r="U54" i="58"/>
  <c r="U24" i="58"/>
  <c r="BS78" i="57"/>
  <c r="BS77" i="57"/>
  <c r="BS76" i="57"/>
  <c r="BS75" i="57"/>
  <c r="BS74" i="57"/>
  <c r="BS73" i="57"/>
  <c r="BS69" i="57"/>
  <c r="BS64" i="57"/>
  <c r="BS63" i="57"/>
  <c r="BS60" i="57"/>
  <c r="BS59" i="57"/>
  <c r="BS58" i="57"/>
  <c r="BS57" i="57"/>
  <c r="BS56" i="57"/>
  <c r="BS53" i="57"/>
  <c r="BS52" i="57"/>
  <c r="BS51" i="57"/>
  <c r="BS50" i="57"/>
  <c r="BS49" i="57"/>
  <c r="BS48" i="57"/>
  <c r="BS47" i="57"/>
  <c r="BS46" i="57"/>
  <c r="BS45" i="57"/>
  <c r="BS44" i="57"/>
  <c r="BS43" i="57"/>
  <c r="BS42" i="57"/>
  <c r="BS41" i="57"/>
  <c r="BS40" i="57"/>
  <c r="BS39" i="57"/>
  <c r="BS38" i="57"/>
  <c r="BS37" i="57"/>
  <c r="BS36" i="57"/>
  <c r="BS35" i="57"/>
  <c r="BS34" i="57"/>
  <c r="BS33" i="57"/>
  <c r="BS32" i="57"/>
  <c r="BS31" i="57"/>
  <c r="BS30" i="57"/>
  <c r="BS29" i="57"/>
  <c r="BS28" i="57"/>
  <c r="BS27" i="57"/>
  <c r="BS26" i="57"/>
  <c r="BS23" i="57"/>
  <c r="BS22" i="57"/>
  <c r="BS21" i="57"/>
  <c r="BS20" i="57"/>
  <c r="BS19" i="57"/>
  <c r="BS18" i="57"/>
  <c r="BS17" i="57"/>
  <c r="BS16" i="57"/>
  <c r="BS15" i="57"/>
  <c r="BS14" i="57"/>
  <c r="BS13" i="57"/>
  <c r="BS12" i="57"/>
  <c r="BS11" i="57"/>
  <c r="BS10" i="57"/>
  <c r="BS9" i="57"/>
  <c r="BS8" i="57"/>
  <c r="BS7" i="57"/>
  <c r="W76" i="57"/>
  <c r="BT76" i="57" s="1"/>
  <c r="W53" i="57"/>
  <c r="W30" i="57"/>
  <c r="W27" i="57"/>
  <c r="W26" i="57"/>
  <c r="W15" i="57"/>
  <c r="S60" i="57"/>
  <c r="S59" i="57"/>
  <c r="S58" i="57"/>
  <c r="S57" i="57"/>
  <c r="S56" i="57"/>
  <c r="S53" i="57"/>
  <c r="S52" i="57"/>
  <c r="S51" i="57"/>
  <c r="S50" i="57"/>
  <c r="S49" i="57"/>
  <c r="S48" i="57"/>
  <c r="S47" i="57"/>
  <c r="S46" i="57"/>
  <c r="S45" i="57"/>
  <c r="S44" i="57"/>
  <c r="S43" i="57"/>
  <c r="S42" i="57"/>
  <c r="S41" i="57"/>
  <c r="S40" i="57"/>
  <c r="S39" i="57"/>
  <c r="S38" i="57"/>
  <c r="S37" i="57"/>
  <c r="S36" i="57"/>
  <c r="S35" i="57"/>
  <c r="S34" i="57"/>
  <c r="S33" i="57"/>
  <c r="S32" i="57"/>
  <c r="S31" i="57"/>
  <c r="S30" i="57"/>
  <c r="S29" i="57"/>
  <c r="S28" i="57"/>
  <c r="S27" i="57"/>
  <c r="S26" i="57"/>
  <c r="S15" i="57"/>
  <c r="S23" i="57"/>
  <c r="S22" i="57"/>
  <c r="S21" i="57"/>
  <c r="S20" i="57"/>
  <c r="S19" i="57"/>
  <c r="S18" i="57"/>
  <c r="S16" i="57"/>
  <c r="S14" i="57"/>
  <c r="S12" i="57"/>
  <c r="S11" i="57"/>
  <c r="S9" i="57"/>
  <c r="S8" i="57"/>
  <c r="S7" i="57"/>
  <c r="S6" i="57"/>
  <c r="U54" i="57"/>
  <c r="U24" i="57"/>
  <c r="BA38" i="60" l="1"/>
  <c r="AF26" i="60"/>
  <c r="AK26" i="60"/>
  <c r="AF36" i="60"/>
  <c r="AK36" i="60"/>
  <c r="AF46" i="60"/>
  <c r="AK46" i="60"/>
  <c r="AF50" i="60"/>
  <c r="AK50" i="60"/>
  <c r="AF76" i="60"/>
  <c r="AK76" i="60"/>
  <c r="AF77" i="60"/>
  <c r="AK77" i="60"/>
  <c r="AI41" i="60"/>
  <c r="AX41" i="60" s="1"/>
  <c r="AX54" i="60" s="1"/>
  <c r="AX67" i="60" s="1"/>
  <c r="AU83" i="55"/>
  <c r="AQ21" i="55"/>
  <c r="CD21" i="55"/>
  <c r="AF32" i="60"/>
  <c r="AK32" i="60"/>
  <c r="AF43" i="60"/>
  <c r="AK43" i="60"/>
  <c r="AF57" i="60"/>
  <c r="AK57" i="60"/>
  <c r="AF78" i="60"/>
  <c r="AK78" i="60"/>
  <c r="AI26" i="60"/>
  <c r="AU54" i="55"/>
  <c r="AI63" i="60"/>
  <c r="AI65" i="60" s="1"/>
  <c r="AU65" i="55"/>
  <c r="W54" i="55"/>
  <c r="AF14" i="60"/>
  <c r="AK14" i="60"/>
  <c r="AQ22" i="55"/>
  <c r="CD22" i="55"/>
  <c r="AF28" i="60"/>
  <c r="AK28" i="60"/>
  <c r="AF34" i="60"/>
  <c r="AK34" i="60"/>
  <c r="AF38" i="60"/>
  <c r="AK38" i="60"/>
  <c r="AF44" i="60"/>
  <c r="AK44" i="60"/>
  <c r="AF48" i="60"/>
  <c r="AK48" i="60"/>
  <c r="AF52" i="60"/>
  <c r="AK52" i="60"/>
  <c r="AF63" i="60"/>
  <c r="AQ65" i="55"/>
  <c r="AK63" i="60"/>
  <c r="AF74" i="60"/>
  <c r="AK74" i="60"/>
  <c r="AI8" i="60"/>
  <c r="AU24" i="55"/>
  <c r="W61" i="55"/>
  <c r="AQ20" i="55"/>
  <c r="CD20" i="55"/>
  <c r="AF30" i="60"/>
  <c r="AK30" i="60"/>
  <c r="AF42" i="60"/>
  <c r="AK42" i="60"/>
  <c r="AF56" i="60"/>
  <c r="AQ61" i="55"/>
  <c r="AK56" i="60"/>
  <c r="AK61" i="60" s="1"/>
  <c r="AI56" i="60"/>
  <c r="AI61" i="60" s="1"/>
  <c r="AU61" i="55"/>
  <c r="AF27" i="60"/>
  <c r="AK27" i="60"/>
  <c r="AF37" i="60"/>
  <c r="AK37" i="60"/>
  <c r="AF51" i="60"/>
  <c r="AK51" i="60"/>
  <c r="AF73" i="60"/>
  <c r="AK73" i="60"/>
  <c r="AQ79" i="55"/>
  <c r="AF18" i="60"/>
  <c r="AK18" i="60"/>
  <c r="AF29" i="60"/>
  <c r="AK29" i="60"/>
  <c r="AF35" i="60"/>
  <c r="AK35" i="60"/>
  <c r="AF41" i="60"/>
  <c r="AK41" i="60"/>
  <c r="AF45" i="60"/>
  <c r="AK45" i="60"/>
  <c r="AF49" i="60"/>
  <c r="AK49" i="60"/>
  <c r="AF53" i="60"/>
  <c r="AK53" i="60"/>
  <c r="AF64" i="60"/>
  <c r="AK64" i="60"/>
  <c r="AK65" i="60" s="1"/>
  <c r="AF75" i="60"/>
  <c r="AK75" i="60"/>
  <c r="AI73" i="60"/>
  <c r="AI79" i="60" s="1"/>
  <c r="AU79" i="55"/>
  <c r="W79" i="55"/>
  <c r="W65" i="55"/>
  <c r="Q15" i="60"/>
  <c r="Q76" i="60"/>
  <c r="P65" i="60"/>
  <c r="P79" i="60"/>
  <c r="BS10" i="59"/>
  <c r="BS73" i="59"/>
  <c r="U81" i="59"/>
  <c r="BS6" i="59"/>
  <c r="BS76" i="59"/>
  <c r="BS77" i="59"/>
  <c r="P61" i="60"/>
  <c r="P54" i="60"/>
  <c r="U67" i="59"/>
  <c r="U71" i="59" s="1"/>
  <c r="W24" i="55"/>
  <c r="W67" i="55" s="1"/>
  <c r="W71" i="55" s="1"/>
  <c r="U67" i="55"/>
  <c r="U71" i="55" s="1"/>
  <c r="P24" i="60"/>
  <c r="W83" i="55"/>
  <c r="U81" i="55"/>
  <c r="BS26" i="56"/>
  <c r="Q23" i="55"/>
  <c r="S23" i="55" s="1"/>
  <c r="AQ23" i="55" s="1"/>
  <c r="AF23" i="60" s="1"/>
  <c r="Q10" i="55"/>
  <c r="M23" i="55"/>
  <c r="O23" i="55" s="1"/>
  <c r="M10" i="55"/>
  <c r="M23" i="59"/>
  <c r="O23" i="69"/>
  <c r="S23" i="69"/>
  <c r="Q10" i="56"/>
  <c r="BR10" i="56" s="1"/>
  <c r="BS10" i="56" s="1"/>
  <c r="M10" i="69"/>
  <c r="Q10" i="69"/>
  <c r="AI54" i="60" l="1"/>
  <c r="AK79" i="60"/>
  <c r="AF61" i="60"/>
  <c r="AU67" i="55"/>
  <c r="AU71" i="55" s="1"/>
  <c r="AU81" i="55"/>
  <c r="AU85" i="55" s="1"/>
  <c r="AF79" i="60"/>
  <c r="AI83" i="60"/>
  <c r="AI24" i="60"/>
  <c r="AF21" i="60"/>
  <c r="AX21" i="60" s="1"/>
  <c r="BA21" i="60" s="1"/>
  <c r="AK21" i="60"/>
  <c r="AW21" i="60" s="1"/>
  <c r="AZ21" i="60" s="1"/>
  <c r="BB21" i="60" s="1"/>
  <c r="AM23" i="55"/>
  <c r="AC23" i="60" s="1"/>
  <c r="CD23" i="55"/>
  <c r="AF22" i="60"/>
  <c r="AK22" i="60"/>
  <c r="CB10" i="55"/>
  <c r="CC10" i="55" s="1"/>
  <c r="CB23" i="55"/>
  <c r="CC23" i="55" s="1"/>
  <c r="AF20" i="60"/>
  <c r="AK20" i="60"/>
  <c r="AF65" i="60"/>
  <c r="BR10" i="69"/>
  <c r="BR23" i="59"/>
  <c r="BR24" i="59" s="1"/>
  <c r="P67" i="60"/>
  <c r="W81" i="55"/>
  <c r="W85" i="55" s="1"/>
  <c r="S10" i="56"/>
  <c r="S10" i="69"/>
  <c r="O10" i="69"/>
  <c r="S10" i="59"/>
  <c r="O10" i="58"/>
  <c r="S10" i="57"/>
  <c r="S10" i="55"/>
  <c r="O10" i="55"/>
  <c r="AI81" i="60" l="1"/>
  <c r="AI85" i="60" s="1"/>
  <c r="AI67" i="60"/>
  <c r="BS10" i="69"/>
  <c r="BR67" i="59"/>
  <c r="BR71" i="59" s="1"/>
  <c r="BR81" i="59"/>
  <c r="BS23" i="59"/>
  <c r="N10" i="60"/>
  <c r="O76" i="55"/>
  <c r="AM76" i="55" s="1"/>
  <c r="AC76" i="60" s="1"/>
  <c r="K76" i="55"/>
  <c r="AI76" i="55" s="1"/>
  <c r="Z76" i="60" s="1"/>
  <c r="S40" i="55"/>
  <c r="S39" i="55"/>
  <c r="S33" i="55"/>
  <c r="AQ33" i="55" s="1"/>
  <c r="S31" i="55"/>
  <c r="S19" i="55"/>
  <c r="S17" i="55"/>
  <c r="S16" i="55"/>
  <c r="AQ16" i="55" s="1"/>
  <c r="S13" i="55"/>
  <c r="S12" i="55"/>
  <c r="AQ12" i="55" s="1"/>
  <c r="S11" i="55"/>
  <c r="AQ11" i="55" s="1"/>
  <c r="S9" i="55"/>
  <c r="S8" i="55"/>
  <c r="S7" i="55"/>
  <c r="S6" i="55"/>
  <c r="O47" i="55"/>
  <c r="O40" i="55"/>
  <c r="O39" i="55"/>
  <c r="O33" i="55"/>
  <c r="AM33" i="55" s="1"/>
  <c r="O31" i="55"/>
  <c r="O19" i="55"/>
  <c r="O17" i="55"/>
  <c r="O13" i="55"/>
  <c r="O12" i="55"/>
  <c r="AM12" i="55" s="1"/>
  <c r="AC12" i="60" s="1"/>
  <c r="O11" i="55"/>
  <c r="AM11" i="55" s="1"/>
  <c r="AC11" i="60" s="1"/>
  <c r="O9" i="55"/>
  <c r="AC9" i="60" s="1"/>
  <c r="O7" i="55"/>
  <c r="K47" i="55"/>
  <c r="K40" i="55"/>
  <c r="K39" i="55"/>
  <c r="K33" i="55"/>
  <c r="AI33" i="55" s="1"/>
  <c r="K31" i="55"/>
  <c r="K19" i="55"/>
  <c r="K17" i="55"/>
  <c r="K13" i="55"/>
  <c r="K12" i="55"/>
  <c r="AI12" i="55" s="1"/>
  <c r="Z12" i="60" s="1"/>
  <c r="K10" i="55"/>
  <c r="G7" i="55"/>
  <c r="K7" i="55"/>
  <c r="K6" i="55"/>
  <c r="CD7" i="55" l="1"/>
  <c r="AF11" i="60"/>
  <c r="AK11" i="60"/>
  <c r="AF8" i="60"/>
  <c r="AX8" i="60" s="1"/>
  <c r="AK8" i="60"/>
  <c r="AW8" i="60" s="1"/>
  <c r="S83" i="55"/>
  <c r="AC33" i="60"/>
  <c r="AF12" i="60"/>
  <c r="AK12" i="60"/>
  <c r="Z33" i="60"/>
  <c r="AF9" i="60"/>
  <c r="AX9" i="60" s="1"/>
  <c r="AK9" i="60"/>
  <c r="AW9" i="60" s="1"/>
  <c r="AZ9" i="60" s="1"/>
  <c r="BB9" i="60" s="1"/>
  <c r="AF16" i="60"/>
  <c r="AK16" i="60"/>
  <c r="AF33" i="60"/>
  <c r="AF54" i="60" s="1"/>
  <c r="AK33" i="60"/>
  <c r="AK54" i="60" s="1"/>
  <c r="AQ83" i="55"/>
  <c r="BK83" i="55" s="1"/>
  <c r="AQ54" i="55"/>
  <c r="G40" i="55"/>
  <c r="CD40" i="55" s="1"/>
  <c r="G39" i="55"/>
  <c r="CD39" i="55" s="1"/>
  <c r="G33" i="55"/>
  <c r="G19" i="55"/>
  <c r="CD19" i="55" s="1"/>
  <c r="G18" i="55"/>
  <c r="G17" i="55"/>
  <c r="CD17" i="55" s="1"/>
  <c r="G13" i="55"/>
  <c r="CD13" i="55" s="1"/>
  <c r="G10" i="55"/>
  <c r="CD10" i="55" s="1"/>
  <c r="G9" i="55"/>
  <c r="G8" i="55"/>
  <c r="S17" i="57"/>
  <c r="S13" i="57"/>
  <c r="O13" i="57"/>
  <c r="G13" i="57"/>
  <c r="G10" i="57"/>
  <c r="S17" i="58"/>
  <c r="S83" i="58" s="1"/>
  <c r="O41" i="58"/>
  <c r="O40" i="58"/>
  <c r="O19" i="58"/>
  <c r="O20" i="58"/>
  <c r="O18" i="58"/>
  <c r="O17" i="58"/>
  <c r="O13" i="58"/>
  <c r="K41" i="58"/>
  <c r="K40" i="58"/>
  <c r="K33" i="58"/>
  <c r="K19" i="58"/>
  <c r="K20" i="58"/>
  <c r="K17" i="58"/>
  <c r="G40" i="58"/>
  <c r="BT40" i="58" s="1"/>
  <c r="G41" i="58"/>
  <c r="G20" i="58"/>
  <c r="G17" i="58"/>
  <c r="G10" i="58"/>
  <c r="S17" i="59"/>
  <c r="S16" i="59"/>
  <c r="S13" i="59"/>
  <c r="S6" i="59"/>
  <c r="O16" i="59"/>
  <c r="O13" i="59"/>
  <c r="O10" i="59"/>
  <c r="O6" i="59"/>
  <c r="K16" i="59"/>
  <c r="K13" i="59"/>
  <c r="K10" i="59"/>
  <c r="K6" i="59"/>
  <c r="G13" i="59"/>
  <c r="BT13" i="59" s="1"/>
  <c r="G10" i="59"/>
  <c r="BT10" i="59" s="1"/>
  <c r="G6" i="59"/>
  <c r="BT6" i="59" s="1"/>
  <c r="K47" i="59"/>
  <c r="S16" i="69"/>
  <c r="S13" i="69"/>
  <c r="O16" i="69"/>
  <c r="O14" i="69"/>
  <c r="O13" i="69"/>
  <c r="K10" i="69"/>
  <c r="K17" i="69"/>
  <c r="K41" i="69"/>
  <c r="G41" i="69"/>
  <c r="G17" i="69"/>
  <c r="G13" i="69"/>
  <c r="G10" i="69"/>
  <c r="K6" i="69"/>
  <c r="G6" i="69"/>
  <c r="AZ8" i="60" l="1"/>
  <c r="BB8" i="60" s="1"/>
  <c r="W9" i="60"/>
  <c r="AE8" i="55"/>
  <c r="AE18" i="55"/>
  <c r="W18" i="60" s="1"/>
  <c r="AE33" i="55"/>
  <c r="CD33" i="55"/>
  <c r="BT17" i="58"/>
  <c r="BT41" i="58"/>
  <c r="S83" i="57"/>
  <c r="S83" i="59"/>
  <c r="W33" i="60" l="1"/>
  <c r="W8" i="60"/>
  <c r="S16" i="56"/>
  <c r="N16" i="60" s="1"/>
  <c r="S13" i="56"/>
  <c r="N13" i="60" s="1"/>
  <c r="O41" i="56"/>
  <c r="O40" i="56"/>
  <c r="O21" i="56"/>
  <c r="O17" i="56"/>
  <c r="O16" i="56"/>
  <c r="O13" i="56"/>
  <c r="K17" i="56"/>
  <c r="K13" i="56"/>
  <c r="K10" i="56"/>
  <c r="G21" i="56"/>
  <c r="G13" i="56"/>
  <c r="BT13" i="56" s="1"/>
  <c r="G10" i="56"/>
  <c r="BH80" i="60" l="1"/>
  <c r="BH68" i="60"/>
  <c r="BH66" i="60"/>
  <c r="BH62" i="60"/>
  <c r="BH55" i="60"/>
  <c r="BH25" i="60"/>
  <c r="CE80" i="55"/>
  <c r="CE78" i="55"/>
  <c r="CE77" i="55"/>
  <c r="CE76" i="55"/>
  <c r="CE75" i="55"/>
  <c r="CE74" i="55"/>
  <c r="CE73" i="55"/>
  <c r="CE72" i="55"/>
  <c r="CE70" i="55"/>
  <c r="CE69" i="55"/>
  <c r="CE68" i="55"/>
  <c r="CE66" i="55"/>
  <c r="CE64" i="55"/>
  <c r="CE63" i="55"/>
  <c r="CE62" i="55"/>
  <c r="CE60" i="55"/>
  <c r="CE59" i="55"/>
  <c r="CE58" i="55"/>
  <c r="CE57" i="55"/>
  <c r="CE56" i="55"/>
  <c r="CE55" i="55"/>
  <c r="CE54" i="55"/>
  <c r="CE53" i="55"/>
  <c r="CE52" i="55"/>
  <c r="CE51" i="55"/>
  <c r="CE50" i="55"/>
  <c r="CE49" i="55"/>
  <c r="CE48" i="55"/>
  <c r="CE47" i="55"/>
  <c r="CE46" i="55"/>
  <c r="CE45" i="55"/>
  <c r="CE44" i="55"/>
  <c r="CE43" i="55"/>
  <c r="CE42" i="55"/>
  <c r="CE41" i="55"/>
  <c r="CE40" i="55"/>
  <c r="CE39" i="55"/>
  <c r="CE38" i="55"/>
  <c r="CE37" i="55"/>
  <c r="CE36" i="55"/>
  <c r="CE35" i="55"/>
  <c r="CE34" i="55"/>
  <c r="CE33" i="55"/>
  <c r="CE32" i="55"/>
  <c r="CE31" i="55"/>
  <c r="CE30" i="55"/>
  <c r="CE29" i="55"/>
  <c r="CE28" i="55"/>
  <c r="CE27" i="55"/>
  <c r="CE26" i="55"/>
  <c r="CE25" i="55"/>
  <c r="CE22" i="55"/>
  <c r="CE21" i="55"/>
  <c r="CE20" i="55"/>
  <c r="CE19" i="55"/>
  <c r="CE18" i="55"/>
  <c r="CE17" i="55"/>
  <c r="CE16" i="55"/>
  <c r="CE15" i="55"/>
  <c r="CE14" i="55"/>
  <c r="CE13" i="55"/>
  <c r="CE12" i="55"/>
  <c r="CE11" i="55"/>
  <c r="CE9" i="55"/>
  <c r="CE8" i="55"/>
  <c r="CE7" i="55"/>
  <c r="BU80" i="57"/>
  <c r="BU76" i="57"/>
  <c r="BU72" i="57"/>
  <c r="BU70" i="57"/>
  <c r="BU68" i="57"/>
  <c r="BU66" i="57"/>
  <c r="BU62" i="57"/>
  <c r="BU55" i="57"/>
  <c r="BU25" i="57"/>
  <c r="BU80" i="58"/>
  <c r="BU76" i="58"/>
  <c r="BU72" i="58"/>
  <c r="BU70" i="58"/>
  <c r="BU68" i="58"/>
  <c r="BU66" i="58"/>
  <c r="BU62" i="58"/>
  <c r="BU55" i="58"/>
  <c r="BU25" i="58"/>
  <c r="BU80" i="59"/>
  <c r="BU72" i="59"/>
  <c r="BU70" i="59"/>
  <c r="BU68" i="59"/>
  <c r="BU66" i="59"/>
  <c r="BU62" i="59"/>
  <c r="BU55" i="59"/>
  <c r="BU25" i="59"/>
  <c r="BU80" i="56"/>
  <c r="BU72" i="56"/>
  <c r="BU70" i="56"/>
  <c r="BU68" i="56"/>
  <c r="BU66" i="56"/>
  <c r="BU62" i="56"/>
  <c r="BU55" i="56"/>
  <c r="BU25" i="56"/>
  <c r="M78" i="60"/>
  <c r="M77" i="60"/>
  <c r="M76" i="60"/>
  <c r="M75" i="60"/>
  <c r="M74" i="60"/>
  <c r="M73" i="60"/>
  <c r="M64" i="60"/>
  <c r="M63" i="60"/>
  <c r="M60" i="60"/>
  <c r="M59" i="60"/>
  <c r="M58" i="60"/>
  <c r="M57" i="60"/>
  <c r="M56" i="60"/>
  <c r="M53" i="60"/>
  <c r="M52" i="60"/>
  <c r="M51" i="60"/>
  <c r="M50" i="60"/>
  <c r="M49" i="60"/>
  <c r="M48" i="60"/>
  <c r="M47" i="60"/>
  <c r="M46" i="60"/>
  <c r="M45" i="60"/>
  <c r="M44" i="60"/>
  <c r="M43" i="60"/>
  <c r="M42" i="60"/>
  <c r="M41" i="60"/>
  <c r="M40" i="60"/>
  <c r="M39" i="60"/>
  <c r="M38" i="60"/>
  <c r="M37" i="60"/>
  <c r="M36" i="60"/>
  <c r="M35" i="60"/>
  <c r="M34" i="60"/>
  <c r="M33" i="60"/>
  <c r="M32" i="60"/>
  <c r="M31" i="60"/>
  <c r="M30" i="60"/>
  <c r="M29" i="60"/>
  <c r="M28" i="60"/>
  <c r="M27" i="60"/>
  <c r="M26" i="60"/>
  <c r="M23" i="60"/>
  <c r="M22" i="60"/>
  <c r="M21" i="60"/>
  <c r="M20" i="60"/>
  <c r="M19" i="60"/>
  <c r="M18" i="60"/>
  <c r="M17" i="60"/>
  <c r="M16" i="60"/>
  <c r="M15" i="60"/>
  <c r="M14" i="60"/>
  <c r="M13" i="60"/>
  <c r="M12" i="60"/>
  <c r="M11" i="60"/>
  <c r="M10" i="60"/>
  <c r="M9" i="60"/>
  <c r="M8" i="60"/>
  <c r="M7" i="60"/>
  <c r="M6" i="60"/>
  <c r="BS6" i="57"/>
  <c r="BS80" i="59"/>
  <c r="BS72" i="59"/>
  <c r="BS70" i="59"/>
  <c r="BS68" i="59"/>
  <c r="BS66" i="59"/>
  <c r="BS62" i="59"/>
  <c r="BS55" i="59"/>
  <c r="BS25" i="59"/>
  <c r="BS80" i="58"/>
  <c r="BS72" i="58"/>
  <c r="BS70" i="58"/>
  <c r="BS68" i="58"/>
  <c r="BS66" i="58"/>
  <c r="BS62" i="58"/>
  <c r="BS55" i="58"/>
  <c r="BS25" i="58"/>
  <c r="BS80" i="57"/>
  <c r="BS72" i="57"/>
  <c r="BS70" i="57"/>
  <c r="BS68" i="57"/>
  <c r="BS66" i="57"/>
  <c r="BS62" i="57"/>
  <c r="BS55" i="57"/>
  <c r="BS25" i="57"/>
  <c r="CC80" i="55"/>
  <c r="CC72" i="55"/>
  <c r="CC70" i="55"/>
  <c r="CC68" i="55"/>
  <c r="CC66" i="55"/>
  <c r="CC62" i="55"/>
  <c r="CC55" i="55"/>
  <c r="CC54" i="55"/>
  <c r="CC25" i="55"/>
  <c r="CE23" i="55"/>
  <c r="Q79" i="55"/>
  <c r="S79" i="55"/>
  <c r="Q65" i="55"/>
  <c r="Q61" i="55"/>
  <c r="Q54" i="55"/>
  <c r="Q24" i="55"/>
  <c r="Q79" i="59"/>
  <c r="S79" i="59"/>
  <c r="Q65" i="59"/>
  <c r="Q61" i="59"/>
  <c r="Q54" i="59"/>
  <c r="Q24" i="59"/>
  <c r="S79" i="57"/>
  <c r="Q79" i="57"/>
  <c r="Q61" i="57"/>
  <c r="Q54" i="57"/>
  <c r="Q24" i="57"/>
  <c r="S79" i="58"/>
  <c r="S71" i="58"/>
  <c r="S67" i="58"/>
  <c r="S65" i="58"/>
  <c r="Q61" i="58"/>
  <c r="Q54" i="58"/>
  <c r="Q24" i="58"/>
  <c r="M65" i="60" l="1"/>
  <c r="BS79" i="59"/>
  <c r="BS79" i="58"/>
  <c r="CE10" i="55"/>
  <c r="M54" i="60"/>
  <c r="M61" i="60"/>
  <c r="M79" i="60"/>
  <c r="M24" i="60"/>
  <c r="BS54" i="59"/>
  <c r="BS65" i="59"/>
  <c r="BS54" i="58"/>
  <c r="BS54" i="57"/>
  <c r="BS24" i="57"/>
  <c r="S54" i="55"/>
  <c r="S65" i="55"/>
  <c r="S61" i="55"/>
  <c r="Q67" i="55"/>
  <c r="Q71" i="55" s="1"/>
  <c r="Q81" i="55"/>
  <c r="Q81" i="59"/>
  <c r="S54" i="59"/>
  <c r="Q67" i="59"/>
  <c r="Q71" i="59" s="1"/>
  <c r="Q81" i="57"/>
  <c r="S54" i="57"/>
  <c r="Q67" i="57"/>
  <c r="Q71" i="57" s="1"/>
  <c r="Q67" i="58"/>
  <c r="Q71" i="58" s="1"/>
  <c r="S54" i="58"/>
  <c r="Q81" i="58"/>
  <c r="S78" i="69"/>
  <c r="S77" i="69"/>
  <c r="S76" i="69"/>
  <c r="S75" i="69"/>
  <c r="S79" i="69" s="1"/>
  <c r="S74" i="69"/>
  <c r="S73" i="69"/>
  <c r="S60" i="69"/>
  <c r="S59" i="69"/>
  <c r="S58" i="69"/>
  <c r="S57" i="69"/>
  <c r="S56" i="69"/>
  <c r="S53" i="69"/>
  <c r="S52" i="69"/>
  <c r="S51" i="69"/>
  <c r="S50" i="69"/>
  <c r="S49" i="69"/>
  <c r="S48" i="69"/>
  <c r="S47" i="69"/>
  <c r="S46" i="69"/>
  <c r="S45" i="69"/>
  <c r="S44" i="69"/>
  <c r="S43" i="69"/>
  <c r="S42" i="69"/>
  <c r="S41" i="69"/>
  <c r="S40" i="69"/>
  <c r="S39" i="69"/>
  <c r="S38" i="69"/>
  <c r="S37" i="69"/>
  <c r="S36" i="69"/>
  <c r="S35" i="69"/>
  <c r="S34" i="69"/>
  <c r="S33" i="69"/>
  <c r="S32" i="69"/>
  <c r="S31" i="69"/>
  <c r="S30" i="69"/>
  <c r="S29" i="69"/>
  <c r="S28" i="69"/>
  <c r="S27" i="69"/>
  <c r="S26" i="69"/>
  <c r="S22" i="69"/>
  <c r="S21" i="69"/>
  <c r="S20" i="69"/>
  <c r="S19" i="69"/>
  <c r="S18" i="69"/>
  <c r="S17" i="69"/>
  <c r="S15" i="69"/>
  <c r="S14" i="69"/>
  <c r="S12" i="69"/>
  <c r="S11" i="69"/>
  <c r="S9" i="69"/>
  <c r="S8" i="69"/>
  <c r="S7" i="69"/>
  <c r="S6" i="69"/>
  <c r="Q79" i="69"/>
  <c r="S65" i="69"/>
  <c r="Q65" i="69"/>
  <c r="Q61" i="69"/>
  <c r="Q54" i="69"/>
  <c r="Q24" i="69"/>
  <c r="BU76" i="56"/>
  <c r="S78" i="56"/>
  <c r="N78" i="60" s="1"/>
  <c r="S77" i="56"/>
  <c r="N77" i="60" s="1"/>
  <c r="S76" i="56"/>
  <c r="N76" i="60" s="1"/>
  <c r="S75" i="56"/>
  <c r="N75" i="60" s="1"/>
  <c r="S74" i="56"/>
  <c r="N74" i="60" s="1"/>
  <c r="S73" i="56"/>
  <c r="N73" i="60" s="1"/>
  <c r="S64" i="56"/>
  <c r="S63" i="56"/>
  <c r="S60" i="56"/>
  <c r="N60" i="60" s="1"/>
  <c r="S59" i="56"/>
  <c r="S58" i="56"/>
  <c r="N58" i="60" s="1"/>
  <c r="S57" i="56"/>
  <c r="N57" i="60" s="1"/>
  <c r="S56" i="56"/>
  <c r="N56" i="60" s="1"/>
  <c r="S53" i="56"/>
  <c r="S52" i="56"/>
  <c r="N52" i="60" s="1"/>
  <c r="S51" i="56"/>
  <c r="N51" i="60" s="1"/>
  <c r="S50" i="56"/>
  <c r="N50" i="60" s="1"/>
  <c r="S49" i="56"/>
  <c r="S48" i="56"/>
  <c r="N48" i="60" s="1"/>
  <c r="S47" i="56"/>
  <c r="N47" i="60" s="1"/>
  <c r="S46" i="56"/>
  <c r="N46" i="60" s="1"/>
  <c r="S45" i="56"/>
  <c r="S44" i="56"/>
  <c r="N44" i="60" s="1"/>
  <c r="S43" i="56"/>
  <c r="N43" i="60" s="1"/>
  <c r="S42" i="56"/>
  <c r="N42" i="60" s="1"/>
  <c r="S41" i="56"/>
  <c r="S40" i="56"/>
  <c r="N40" i="60" s="1"/>
  <c r="S39" i="56"/>
  <c r="N39" i="60" s="1"/>
  <c r="S38" i="56"/>
  <c r="N38" i="60" s="1"/>
  <c r="S37" i="56"/>
  <c r="S36" i="56"/>
  <c r="N36" i="60" s="1"/>
  <c r="S35" i="56"/>
  <c r="N35" i="60" s="1"/>
  <c r="S34" i="56"/>
  <c r="N34" i="60" s="1"/>
  <c r="S33" i="56"/>
  <c r="S32" i="56"/>
  <c r="N32" i="60" s="1"/>
  <c r="S31" i="56"/>
  <c r="S30" i="56"/>
  <c r="N30" i="60" s="1"/>
  <c r="S29" i="56"/>
  <c r="S28" i="56"/>
  <c r="N28" i="60" s="1"/>
  <c r="S27" i="56"/>
  <c r="N27" i="60" s="1"/>
  <c r="S26" i="56"/>
  <c r="N26" i="60" s="1"/>
  <c r="S23" i="56"/>
  <c r="S22" i="56"/>
  <c r="S21" i="56"/>
  <c r="N21" i="60" s="1"/>
  <c r="S20" i="56"/>
  <c r="N20" i="60" s="1"/>
  <c r="S19" i="56"/>
  <c r="N19" i="60" s="1"/>
  <c r="S18" i="56"/>
  <c r="S17" i="56"/>
  <c r="N17" i="60" s="1"/>
  <c r="S15" i="56"/>
  <c r="S14" i="56"/>
  <c r="N14" i="60" s="1"/>
  <c r="S12" i="56"/>
  <c r="S11" i="56"/>
  <c r="N11" i="60" s="1"/>
  <c r="S9" i="56"/>
  <c r="N9" i="60" s="1"/>
  <c r="S8" i="56"/>
  <c r="N8" i="60" s="1"/>
  <c r="S7" i="56"/>
  <c r="S6" i="56"/>
  <c r="Q79" i="56"/>
  <c r="Q65" i="56"/>
  <c r="Q61" i="56"/>
  <c r="Q54" i="56"/>
  <c r="Q24" i="56"/>
  <c r="N7" i="60" l="1"/>
  <c r="N12" i="60"/>
  <c r="N18" i="60"/>
  <c r="N22" i="60"/>
  <c r="Q67" i="69"/>
  <c r="Q71" i="69" s="1"/>
  <c r="S54" i="69"/>
  <c r="N29" i="60"/>
  <c r="N33" i="60"/>
  <c r="N37" i="60"/>
  <c r="N41" i="60"/>
  <c r="N45" i="60"/>
  <c r="N49" i="60"/>
  <c r="N53" i="60"/>
  <c r="N59" i="60"/>
  <c r="S83" i="69"/>
  <c r="N31" i="60"/>
  <c r="S83" i="56"/>
  <c r="M67" i="60"/>
  <c r="CC79" i="55"/>
  <c r="CE79" i="55"/>
  <c r="CC65" i="55"/>
  <c r="CE65" i="55"/>
  <c r="CC61" i="55"/>
  <c r="CE61" i="55"/>
  <c r="BS61" i="59"/>
  <c r="BS24" i="59"/>
  <c r="BS65" i="58"/>
  <c r="BS61" i="58"/>
  <c r="BS79" i="57"/>
  <c r="BS65" i="57"/>
  <c r="BS61" i="57"/>
  <c r="M81" i="60"/>
  <c r="N63" i="60"/>
  <c r="S65" i="56"/>
  <c r="N64" i="60"/>
  <c r="N6" i="60"/>
  <c r="Q67" i="56"/>
  <c r="Q71" i="56" s="1"/>
  <c r="S79" i="56"/>
  <c r="S24" i="69"/>
  <c r="S81" i="69" s="1"/>
  <c r="Q81" i="69"/>
  <c r="S54" i="56"/>
  <c r="S24" i="56"/>
  <c r="Q81" i="56"/>
  <c r="I31" i="75"/>
  <c r="I28" i="75"/>
  <c r="I27" i="75"/>
  <c r="I26" i="75"/>
  <c r="I25" i="75"/>
  <c r="I24" i="75"/>
  <c r="I23" i="75"/>
  <c r="I21" i="75"/>
  <c r="I20" i="75"/>
  <c r="I19" i="75"/>
  <c r="I18" i="75"/>
  <c r="I17" i="75"/>
  <c r="I16" i="75"/>
  <c r="I14" i="75"/>
  <c r="I13" i="75"/>
  <c r="I12" i="75"/>
  <c r="I11" i="75"/>
  <c r="I10" i="75"/>
  <c r="I8" i="75"/>
  <c r="I7" i="75"/>
  <c r="I6" i="75"/>
  <c r="I5" i="75"/>
  <c r="I3" i="75"/>
  <c r="C31" i="75"/>
  <c r="B31" i="75"/>
  <c r="C25" i="75"/>
  <c r="C20" i="75"/>
  <c r="C19" i="75"/>
  <c r="C18" i="75"/>
  <c r="C17" i="75"/>
  <c r="C16" i="75"/>
  <c r="C13" i="75"/>
  <c r="C12" i="75"/>
  <c r="C11" i="75"/>
  <c r="C10" i="75"/>
  <c r="C8" i="75"/>
  <c r="C7" i="75"/>
  <c r="C6" i="75"/>
  <c r="C5" i="75"/>
  <c r="C3" i="75"/>
  <c r="S85" i="69" l="1"/>
  <c r="N83" i="60"/>
  <c r="BS67" i="59"/>
  <c r="BS81" i="59"/>
  <c r="BS71" i="59"/>
  <c r="BS81" i="57"/>
  <c r="BS67" i="57"/>
  <c r="S67" i="69"/>
  <c r="S71" i="69" s="1"/>
  <c r="S67" i="56"/>
  <c r="S71" i="56" s="1"/>
  <c r="S81" i="56"/>
  <c r="S85" i="56" s="1"/>
  <c r="D28" i="75"/>
  <c r="D27" i="75"/>
  <c r="D26" i="75"/>
  <c r="D25" i="75"/>
  <c r="D24" i="75"/>
  <c r="D23" i="75"/>
  <c r="D20" i="75"/>
  <c r="D19" i="75"/>
  <c r="D18" i="75"/>
  <c r="D17" i="75"/>
  <c r="D16" i="75"/>
  <c r="D13" i="75"/>
  <c r="D12" i="75"/>
  <c r="D11" i="75"/>
  <c r="D10" i="75"/>
  <c r="D8" i="75"/>
  <c r="D7" i="75"/>
  <c r="D6" i="75"/>
  <c r="D5" i="75"/>
  <c r="D3" i="75"/>
  <c r="BS71" i="57" l="1"/>
  <c r="D31" i="75"/>
  <c r="O65" i="69" l="1"/>
  <c r="O78" i="69"/>
  <c r="O77" i="69"/>
  <c r="O76" i="69"/>
  <c r="O75" i="69"/>
  <c r="O74" i="69"/>
  <c r="O73" i="69"/>
  <c r="O60" i="69"/>
  <c r="O59" i="69"/>
  <c r="O58" i="69"/>
  <c r="O57" i="69"/>
  <c r="O56" i="69"/>
  <c r="O53" i="69"/>
  <c r="O52" i="69"/>
  <c r="O51" i="69"/>
  <c r="O50" i="69"/>
  <c r="O49" i="69"/>
  <c r="O48" i="69"/>
  <c r="O47" i="69"/>
  <c r="O46" i="69"/>
  <c r="O45" i="69"/>
  <c r="O44" i="69"/>
  <c r="O43" i="69"/>
  <c r="O42" i="69"/>
  <c r="O41" i="69"/>
  <c r="O40" i="69"/>
  <c r="O39" i="69"/>
  <c r="O38" i="69"/>
  <c r="O37" i="69"/>
  <c r="O36" i="69"/>
  <c r="O35" i="69"/>
  <c r="O34" i="69"/>
  <c r="O33" i="69"/>
  <c r="O32" i="69"/>
  <c r="O31" i="69"/>
  <c r="O30" i="69"/>
  <c r="O29" i="69"/>
  <c r="O28" i="69"/>
  <c r="O27" i="69"/>
  <c r="O26" i="69"/>
  <c r="O22" i="69"/>
  <c r="O21" i="69"/>
  <c r="O20" i="69"/>
  <c r="O19" i="69"/>
  <c r="O18" i="69"/>
  <c r="O17" i="69"/>
  <c r="BT17" i="69" s="1"/>
  <c r="O15" i="69"/>
  <c r="O12" i="69"/>
  <c r="O11" i="69"/>
  <c r="O9" i="69"/>
  <c r="O8" i="69"/>
  <c r="O7" i="69"/>
  <c r="K78" i="69"/>
  <c r="K77" i="69"/>
  <c r="K76" i="69"/>
  <c r="K75" i="69"/>
  <c r="K74" i="69"/>
  <c r="K73" i="69"/>
  <c r="K64" i="69"/>
  <c r="K63" i="69"/>
  <c r="K60" i="69"/>
  <c r="K59" i="69"/>
  <c r="K58" i="69"/>
  <c r="K57" i="69"/>
  <c r="K56" i="69"/>
  <c r="K53" i="69"/>
  <c r="K52" i="69"/>
  <c r="K51" i="69"/>
  <c r="K50" i="69"/>
  <c r="K49" i="69"/>
  <c r="K48" i="69"/>
  <c r="K47" i="69"/>
  <c r="K46" i="69"/>
  <c r="K45" i="69"/>
  <c r="K44" i="69"/>
  <c r="K43" i="69"/>
  <c r="K42" i="69"/>
  <c r="K40" i="69"/>
  <c r="K39" i="69"/>
  <c r="K38" i="69"/>
  <c r="K37" i="69"/>
  <c r="K36" i="69"/>
  <c r="K35" i="69"/>
  <c r="K34" i="69"/>
  <c r="K33" i="69"/>
  <c r="K32" i="69"/>
  <c r="K31" i="69"/>
  <c r="K30" i="69"/>
  <c r="K29" i="69"/>
  <c r="K28" i="69"/>
  <c r="K27" i="69"/>
  <c r="K26" i="69"/>
  <c r="K23" i="69"/>
  <c r="K22" i="69"/>
  <c r="K21" i="69"/>
  <c r="K20" i="69"/>
  <c r="K19" i="69"/>
  <c r="K18" i="69"/>
  <c r="K16" i="69"/>
  <c r="K15" i="69"/>
  <c r="K14" i="69"/>
  <c r="K13" i="69"/>
  <c r="BT13" i="69" s="1"/>
  <c r="K12" i="69"/>
  <c r="K11" i="69"/>
  <c r="K9" i="69"/>
  <c r="K8" i="69"/>
  <c r="K7" i="69"/>
  <c r="G78" i="69"/>
  <c r="G77" i="69"/>
  <c r="G76" i="69"/>
  <c r="BT76" i="69" s="1"/>
  <c r="G75" i="69"/>
  <c r="G74" i="69"/>
  <c r="G73" i="69"/>
  <c r="G64" i="69"/>
  <c r="G63" i="69"/>
  <c r="G60" i="69"/>
  <c r="G59" i="69"/>
  <c r="G58" i="69"/>
  <c r="G57" i="69"/>
  <c r="G56" i="69"/>
  <c r="G53" i="69"/>
  <c r="G52" i="69"/>
  <c r="G51" i="69"/>
  <c r="G50" i="69"/>
  <c r="G49" i="69"/>
  <c r="G48" i="69"/>
  <c r="G47" i="69"/>
  <c r="G46" i="69"/>
  <c r="G45" i="69"/>
  <c r="G44" i="69"/>
  <c r="G43" i="69"/>
  <c r="G42" i="69"/>
  <c r="G40" i="69"/>
  <c r="G39" i="69"/>
  <c r="G38" i="69"/>
  <c r="G37" i="69"/>
  <c r="G36" i="69"/>
  <c r="G35" i="69"/>
  <c r="G34" i="69"/>
  <c r="G33" i="69"/>
  <c r="G32" i="69"/>
  <c r="G31" i="69"/>
  <c r="G30" i="69"/>
  <c r="G29" i="69"/>
  <c r="G28" i="69"/>
  <c r="G27" i="69"/>
  <c r="G26" i="69"/>
  <c r="G23" i="69"/>
  <c r="G22" i="69"/>
  <c r="G21" i="69"/>
  <c r="G20" i="69"/>
  <c r="G19" i="69"/>
  <c r="G18" i="69"/>
  <c r="G16" i="69"/>
  <c r="G15" i="69"/>
  <c r="BT15" i="69" s="1"/>
  <c r="G14" i="69"/>
  <c r="BT14" i="69" s="1"/>
  <c r="G12" i="69"/>
  <c r="G11" i="69"/>
  <c r="G9" i="69"/>
  <c r="G8" i="69"/>
  <c r="G7" i="69"/>
  <c r="O6" i="69"/>
  <c r="BT6" i="69" s="1"/>
  <c r="O65" i="56"/>
  <c r="K65" i="56"/>
  <c r="G65" i="56"/>
  <c r="O78" i="56"/>
  <c r="O77" i="56"/>
  <c r="O76" i="56"/>
  <c r="O75" i="56"/>
  <c r="O74" i="56"/>
  <c r="O60" i="56"/>
  <c r="O59" i="56"/>
  <c r="O58" i="56"/>
  <c r="O57" i="56"/>
  <c r="O56" i="56"/>
  <c r="O53" i="56"/>
  <c r="O52" i="56"/>
  <c r="O51" i="56"/>
  <c r="O50" i="56"/>
  <c r="O49" i="56"/>
  <c r="O48" i="56"/>
  <c r="O47" i="56"/>
  <c r="O46" i="56"/>
  <c r="O45" i="56"/>
  <c r="O44" i="56"/>
  <c r="O43" i="56"/>
  <c r="O42" i="56"/>
  <c r="O39" i="56"/>
  <c r="O38" i="56"/>
  <c r="O37" i="56"/>
  <c r="O36" i="56"/>
  <c r="O35" i="56"/>
  <c r="O34" i="56"/>
  <c r="O33" i="56"/>
  <c r="O32" i="56"/>
  <c r="O31" i="56"/>
  <c r="O30" i="56"/>
  <c r="O29" i="56"/>
  <c r="O28" i="56"/>
  <c r="O27" i="56"/>
  <c r="O26" i="56"/>
  <c r="O23" i="56"/>
  <c r="O22" i="56"/>
  <c r="O20" i="56"/>
  <c r="O19" i="56"/>
  <c r="O18" i="56"/>
  <c r="O15" i="56"/>
  <c r="O14" i="56"/>
  <c r="O12" i="56"/>
  <c r="O11" i="56"/>
  <c r="O10" i="56"/>
  <c r="BT10" i="56" s="1"/>
  <c r="O9" i="56"/>
  <c r="O8" i="56"/>
  <c r="O7" i="56"/>
  <c r="K78" i="56"/>
  <c r="K77" i="56"/>
  <c r="K76" i="56"/>
  <c r="K75" i="56"/>
  <c r="K74" i="56"/>
  <c r="K73" i="56"/>
  <c r="K60" i="56"/>
  <c r="K59" i="56"/>
  <c r="K58" i="56"/>
  <c r="K57" i="56"/>
  <c r="K56" i="56"/>
  <c r="K53" i="56"/>
  <c r="K52" i="56"/>
  <c r="K51" i="56"/>
  <c r="K50" i="56"/>
  <c r="K49" i="56"/>
  <c r="K48" i="56"/>
  <c r="K47" i="56"/>
  <c r="K46" i="56"/>
  <c r="K45" i="56"/>
  <c r="K44" i="56"/>
  <c r="K43" i="56"/>
  <c r="K42" i="56"/>
  <c r="K41" i="56"/>
  <c r="K40" i="56"/>
  <c r="K39" i="56"/>
  <c r="K38" i="56"/>
  <c r="K37" i="56"/>
  <c r="K36" i="56"/>
  <c r="K35" i="56"/>
  <c r="K34" i="56"/>
  <c r="K33" i="56"/>
  <c r="K32" i="56"/>
  <c r="K31" i="56"/>
  <c r="K30" i="56"/>
  <c r="K29" i="56"/>
  <c r="K28" i="56"/>
  <c r="K27" i="56"/>
  <c r="K26" i="56"/>
  <c r="K23" i="56"/>
  <c r="K22" i="56"/>
  <c r="K21" i="56"/>
  <c r="BT21" i="56" s="1"/>
  <c r="K20" i="56"/>
  <c r="K19" i="56"/>
  <c r="K18" i="56"/>
  <c r="K16" i="56"/>
  <c r="K15" i="56"/>
  <c r="K14" i="56"/>
  <c r="K12" i="56"/>
  <c r="K11" i="56"/>
  <c r="K9" i="56"/>
  <c r="K8" i="56"/>
  <c r="K7" i="56"/>
  <c r="G78" i="56"/>
  <c r="G77" i="56"/>
  <c r="G76" i="56"/>
  <c r="G75" i="56"/>
  <c r="G74" i="56"/>
  <c r="G73" i="56"/>
  <c r="G60" i="56"/>
  <c r="G59" i="56"/>
  <c r="G58" i="56"/>
  <c r="G57" i="56"/>
  <c r="G56" i="56"/>
  <c r="G53" i="56"/>
  <c r="G52" i="56"/>
  <c r="G51" i="56"/>
  <c r="G50" i="56"/>
  <c r="G49" i="56"/>
  <c r="G48" i="56"/>
  <c r="G47" i="56"/>
  <c r="G46" i="56"/>
  <c r="G45" i="56"/>
  <c r="G44" i="56"/>
  <c r="G43" i="56"/>
  <c r="G42" i="56"/>
  <c r="G41" i="56"/>
  <c r="G40" i="56"/>
  <c r="G39" i="56"/>
  <c r="G38" i="56"/>
  <c r="G37" i="56"/>
  <c r="G36" i="56"/>
  <c r="G35" i="56"/>
  <c r="G34" i="56"/>
  <c r="G33" i="56"/>
  <c r="G32" i="56"/>
  <c r="G31" i="56"/>
  <c r="G30" i="56"/>
  <c r="G29" i="56"/>
  <c r="G28" i="56"/>
  <c r="G27" i="56"/>
  <c r="G26" i="56"/>
  <c r="G23" i="56"/>
  <c r="G22" i="56"/>
  <c r="G20" i="56"/>
  <c r="G19" i="56"/>
  <c r="BT19" i="56" s="1"/>
  <c r="G18" i="56"/>
  <c r="G17" i="56"/>
  <c r="BT17" i="56" s="1"/>
  <c r="G16" i="56"/>
  <c r="G15" i="56"/>
  <c r="BT15" i="56" s="1"/>
  <c r="G14" i="56"/>
  <c r="G12" i="56"/>
  <c r="G11" i="56"/>
  <c r="G9" i="56"/>
  <c r="G8" i="56"/>
  <c r="G7" i="56"/>
  <c r="O6" i="56"/>
  <c r="K6" i="56"/>
  <c r="G6" i="56"/>
  <c r="O79" i="57"/>
  <c r="M79" i="57"/>
  <c r="K79" i="57"/>
  <c r="I79" i="57"/>
  <c r="G79" i="57"/>
  <c r="E79" i="57"/>
  <c r="O78" i="59"/>
  <c r="O77" i="59"/>
  <c r="O76" i="59"/>
  <c r="O75" i="59"/>
  <c r="O74" i="59"/>
  <c r="O73" i="59"/>
  <c r="O64" i="59"/>
  <c r="O63" i="59"/>
  <c r="O60" i="59"/>
  <c r="O59" i="59"/>
  <c r="O58" i="59"/>
  <c r="O57" i="59"/>
  <c r="O56" i="59"/>
  <c r="O53" i="59"/>
  <c r="O52" i="59"/>
  <c r="O51" i="59"/>
  <c r="O50" i="59"/>
  <c r="O49" i="59"/>
  <c r="O48" i="59"/>
  <c r="O47" i="59"/>
  <c r="O46" i="59"/>
  <c r="O45" i="59"/>
  <c r="O44" i="59"/>
  <c r="O43" i="59"/>
  <c r="O42" i="59"/>
  <c r="O41" i="59"/>
  <c r="O40" i="59"/>
  <c r="O39" i="59"/>
  <c r="O38" i="59"/>
  <c r="O37" i="59"/>
  <c r="O36" i="59"/>
  <c r="O35" i="59"/>
  <c r="O34" i="59"/>
  <c r="O33" i="59"/>
  <c r="O32" i="59"/>
  <c r="O31" i="59"/>
  <c r="O30" i="59"/>
  <c r="O29" i="59"/>
  <c r="O28" i="59"/>
  <c r="O27" i="59"/>
  <c r="O26" i="59"/>
  <c r="O23" i="59"/>
  <c r="O22" i="59"/>
  <c r="O21" i="59"/>
  <c r="O20" i="59"/>
  <c r="O19" i="59"/>
  <c r="O18" i="59"/>
  <c r="O17" i="59"/>
  <c r="O15" i="59"/>
  <c r="O14" i="59"/>
  <c r="O12" i="59"/>
  <c r="O11" i="59"/>
  <c r="O9" i="59"/>
  <c r="O8" i="59"/>
  <c r="O7" i="59"/>
  <c r="K78" i="59"/>
  <c r="K77" i="59"/>
  <c r="K76" i="59"/>
  <c r="K75" i="59"/>
  <c r="K74" i="59"/>
  <c r="K73" i="59"/>
  <c r="K64" i="59"/>
  <c r="K63" i="59"/>
  <c r="K60" i="59"/>
  <c r="K59" i="59"/>
  <c r="K58" i="59"/>
  <c r="K57" i="59"/>
  <c r="K56" i="59"/>
  <c r="K53" i="59"/>
  <c r="K52" i="59"/>
  <c r="K51" i="59"/>
  <c r="K50" i="59"/>
  <c r="K49" i="59"/>
  <c r="K48" i="59"/>
  <c r="K46" i="59"/>
  <c r="K45" i="59"/>
  <c r="K44" i="59"/>
  <c r="K43" i="59"/>
  <c r="K42" i="59"/>
  <c r="K41" i="59"/>
  <c r="K40" i="59"/>
  <c r="K39" i="59"/>
  <c r="K38" i="59"/>
  <c r="K37" i="59"/>
  <c r="K36" i="59"/>
  <c r="K35" i="59"/>
  <c r="K34" i="59"/>
  <c r="K33" i="59"/>
  <c r="K32" i="59"/>
  <c r="K31" i="59"/>
  <c r="K30" i="59"/>
  <c r="K29" i="59"/>
  <c r="K28" i="59"/>
  <c r="K27" i="59"/>
  <c r="K26" i="59"/>
  <c r="K23" i="59"/>
  <c r="K22" i="59"/>
  <c r="K21" i="59"/>
  <c r="K20" i="59"/>
  <c r="K19" i="59"/>
  <c r="K18" i="59"/>
  <c r="K17" i="59"/>
  <c r="K15" i="59"/>
  <c r="K14" i="59"/>
  <c r="K12" i="59"/>
  <c r="K11" i="59"/>
  <c r="K9" i="59"/>
  <c r="K8" i="59"/>
  <c r="K7" i="59"/>
  <c r="G78" i="59"/>
  <c r="G77" i="59"/>
  <c r="G76" i="59"/>
  <c r="G75" i="59"/>
  <c r="G74" i="59"/>
  <c r="G73" i="59"/>
  <c r="G64" i="59"/>
  <c r="G63" i="59"/>
  <c r="G59" i="59"/>
  <c r="G58" i="59"/>
  <c r="BT58" i="59" s="1"/>
  <c r="G57" i="59"/>
  <c r="G56" i="59"/>
  <c r="G53" i="59"/>
  <c r="G52" i="59"/>
  <c r="G51" i="59"/>
  <c r="G50" i="59"/>
  <c r="G49" i="59"/>
  <c r="G48" i="59"/>
  <c r="G47" i="59"/>
  <c r="G46" i="59"/>
  <c r="G45" i="59"/>
  <c r="G44" i="59"/>
  <c r="G43" i="59"/>
  <c r="G42" i="59"/>
  <c r="G41" i="59"/>
  <c r="G40" i="59"/>
  <c r="G39" i="59"/>
  <c r="G38" i="59"/>
  <c r="G37" i="59"/>
  <c r="G36" i="59"/>
  <c r="G35" i="59"/>
  <c r="G34" i="59"/>
  <c r="G33" i="59"/>
  <c r="G32" i="59"/>
  <c r="BT32" i="59" s="1"/>
  <c r="G31" i="59"/>
  <c r="G30" i="59"/>
  <c r="G29" i="59"/>
  <c r="G28" i="59"/>
  <c r="G27" i="59"/>
  <c r="G26" i="59"/>
  <c r="G23" i="59"/>
  <c r="BT23" i="59" s="1"/>
  <c r="G22" i="59"/>
  <c r="G21" i="59"/>
  <c r="G20" i="59"/>
  <c r="G19" i="59"/>
  <c r="G18" i="59"/>
  <c r="G17" i="59"/>
  <c r="G16" i="59"/>
  <c r="BT16" i="59" s="1"/>
  <c r="G15" i="59"/>
  <c r="G14" i="59"/>
  <c r="G12" i="59"/>
  <c r="G11" i="59"/>
  <c r="G9" i="59"/>
  <c r="G8" i="59"/>
  <c r="G7" i="59"/>
  <c r="G83" i="69" l="1"/>
  <c r="BT16" i="69"/>
  <c r="K83" i="69"/>
  <c r="O83" i="69"/>
  <c r="BT16" i="56"/>
  <c r="G83" i="56"/>
  <c r="BT53" i="56"/>
  <c r="K83" i="56"/>
  <c r="O83" i="56"/>
  <c r="BT76" i="56"/>
  <c r="BT76" i="59"/>
  <c r="BT15" i="59"/>
  <c r="K83" i="59"/>
  <c r="G83" i="59"/>
  <c r="O83" i="59"/>
  <c r="G65" i="69"/>
  <c r="K24" i="56"/>
  <c r="E77" i="60"/>
  <c r="G79" i="56"/>
  <c r="K79" i="56"/>
  <c r="O79" i="56"/>
  <c r="G79" i="59"/>
  <c r="G54" i="59"/>
  <c r="K79" i="59"/>
  <c r="O54" i="59"/>
  <c r="O79" i="59"/>
  <c r="K54" i="59"/>
  <c r="O24" i="56"/>
  <c r="G24" i="56"/>
  <c r="G54" i="56"/>
  <c r="K54" i="56"/>
  <c r="O54" i="56"/>
  <c r="G24" i="69"/>
  <c r="G81" i="69" s="1"/>
  <c r="G85" i="69" s="1"/>
  <c r="G79" i="69"/>
  <c r="O79" i="69"/>
  <c r="K24" i="69"/>
  <c r="G54" i="69"/>
  <c r="K79" i="69"/>
  <c r="K65" i="69"/>
  <c r="K54" i="69"/>
  <c r="K67" i="69" s="1"/>
  <c r="O24" i="69"/>
  <c r="O67" i="69" s="1"/>
  <c r="O54" i="69"/>
  <c r="K24" i="59"/>
  <c r="O24" i="59"/>
  <c r="O78" i="58"/>
  <c r="O77" i="58"/>
  <c r="K77" i="60" s="1"/>
  <c r="O76" i="58"/>
  <c r="K76" i="60" s="1"/>
  <c r="O75" i="58"/>
  <c r="O74" i="58"/>
  <c r="O73" i="58"/>
  <c r="O64" i="58"/>
  <c r="O63" i="58"/>
  <c r="O60" i="58"/>
  <c r="O59" i="58"/>
  <c r="O58" i="58"/>
  <c r="O57" i="58"/>
  <c r="O56" i="58"/>
  <c r="O53" i="58"/>
  <c r="O52" i="58"/>
  <c r="O51" i="58"/>
  <c r="O50" i="58"/>
  <c r="O49" i="58"/>
  <c r="O48" i="58"/>
  <c r="O47" i="58"/>
  <c r="O46" i="58"/>
  <c r="O45" i="58"/>
  <c r="O44" i="58"/>
  <c r="O43" i="58"/>
  <c r="O42" i="58"/>
  <c r="O39" i="58"/>
  <c r="O38" i="58"/>
  <c r="O37" i="58"/>
  <c r="O36" i="58"/>
  <c r="O35" i="58"/>
  <c r="O34" i="58"/>
  <c r="O33" i="58"/>
  <c r="O32" i="58"/>
  <c r="O31" i="58"/>
  <c r="O30" i="58"/>
  <c r="O29" i="58"/>
  <c r="O28" i="58"/>
  <c r="O27" i="58"/>
  <c r="O26" i="58"/>
  <c r="O23" i="58"/>
  <c r="O22" i="58"/>
  <c r="O21" i="58"/>
  <c r="O16" i="58"/>
  <c r="O15" i="58"/>
  <c r="O14" i="58"/>
  <c r="O12" i="58"/>
  <c r="O11" i="58"/>
  <c r="O9" i="58"/>
  <c r="O8" i="58"/>
  <c r="O7" i="58"/>
  <c r="O6" i="58"/>
  <c r="K78" i="58"/>
  <c r="K77" i="58"/>
  <c r="K76" i="58"/>
  <c r="H76" i="60" s="1"/>
  <c r="K75" i="58"/>
  <c r="K74" i="58"/>
  <c r="K73" i="58"/>
  <c r="K60" i="58"/>
  <c r="H60" i="60" s="1"/>
  <c r="K59" i="58"/>
  <c r="H59" i="60" s="1"/>
  <c r="K58" i="58"/>
  <c r="H58" i="60" s="1"/>
  <c r="K57" i="58"/>
  <c r="K56" i="58"/>
  <c r="H56" i="60" s="1"/>
  <c r="K53" i="58"/>
  <c r="K52" i="58"/>
  <c r="K51" i="58"/>
  <c r="K50" i="58"/>
  <c r="K49" i="58"/>
  <c r="K48" i="58"/>
  <c r="K47" i="58"/>
  <c r="K46" i="58"/>
  <c r="K45" i="58"/>
  <c r="K44" i="58"/>
  <c r="K43" i="58"/>
  <c r="K42" i="58"/>
  <c r="K39" i="58"/>
  <c r="K38" i="58"/>
  <c r="K37" i="58"/>
  <c r="K36" i="58"/>
  <c r="K35" i="58"/>
  <c r="K34" i="58"/>
  <c r="K32" i="58"/>
  <c r="K31" i="58"/>
  <c r="K30" i="58"/>
  <c r="K29" i="58"/>
  <c r="K28" i="58"/>
  <c r="K27" i="58"/>
  <c r="K26" i="58"/>
  <c r="K23" i="58"/>
  <c r="K22" i="58"/>
  <c r="K21" i="58"/>
  <c r="K18" i="58"/>
  <c r="K16" i="58"/>
  <c r="K15" i="58"/>
  <c r="K14" i="58"/>
  <c r="K13" i="58"/>
  <c r="K12" i="58"/>
  <c r="K11" i="58"/>
  <c r="K10" i="58"/>
  <c r="K9" i="58"/>
  <c r="K8" i="58"/>
  <c r="K7" i="58"/>
  <c r="K6" i="58"/>
  <c r="G78" i="58"/>
  <c r="G77" i="58"/>
  <c r="G76" i="58"/>
  <c r="G75" i="58"/>
  <c r="G74" i="58"/>
  <c r="G73" i="58"/>
  <c r="G60" i="58"/>
  <c r="G59" i="58"/>
  <c r="G58" i="58"/>
  <c r="G57" i="58"/>
  <c r="G56" i="58"/>
  <c r="G53" i="58"/>
  <c r="BT53" i="58" s="1"/>
  <c r="G52" i="58"/>
  <c r="G51" i="58"/>
  <c r="G50" i="58"/>
  <c r="G49" i="58"/>
  <c r="G48" i="58"/>
  <c r="G47" i="58"/>
  <c r="G46" i="58"/>
  <c r="G45" i="58"/>
  <c r="G44" i="58"/>
  <c r="G43" i="58"/>
  <c r="G42" i="58"/>
  <c r="G39" i="58"/>
  <c r="G38" i="58"/>
  <c r="G37" i="58"/>
  <c r="G36" i="58"/>
  <c r="G35" i="58"/>
  <c r="G34" i="58"/>
  <c r="G33" i="58"/>
  <c r="G32" i="58"/>
  <c r="G31" i="58"/>
  <c r="G30" i="58"/>
  <c r="G29" i="58"/>
  <c r="G28" i="58"/>
  <c r="G27" i="58"/>
  <c r="G26" i="58"/>
  <c r="G23" i="58"/>
  <c r="G22" i="58"/>
  <c r="G21" i="58"/>
  <c r="G19" i="58"/>
  <c r="G18" i="58"/>
  <c r="G16" i="58"/>
  <c r="G15" i="58"/>
  <c r="G14" i="58"/>
  <c r="G13" i="58"/>
  <c r="G12" i="58"/>
  <c r="G11" i="58"/>
  <c r="G9" i="58"/>
  <c r="G8" i="58"/>
  <c r="G7" i="58"/>
  <c r="G6" i="58"/>
  <c r="K61" i="57"/>
  <c r="O60" i="57"/>
  <c r="O59" i="57"/>
  <c r="O58" i="57"/>
  <c r="O57" i="57"/>
  <c r="O56" i="57"/>
  <c r="O53" i="57"/>
  <c r="O52" i="57"/>
  <c r="O51" i="57"/>
  <c r="O50" i="57"/>
  <c r="O49" i="57"/>
  <c r="O48" i="57"/>
  <c r="O47" i="57"/>
  <c r="K47" i="60" s="1"/>
  <c r="O46" i="57"/>
  <c r="O45" i="57"/>
  <c r="O44" i="57"/>
  <c r="O43" i="57"/>
  <c r="O42" i="57"/>
  <c r="O41" i="57"/>
  <c r="O40" i="57"/>
  <c r="O39" i="57"/>
  <c r="O38" i="57"/>
  <c r="O37" i="57"/>
  <c r="O36" i="57"/>
  <c r="O35" i="57"/>
  <c r="O34" i="57"/>
  <c r="O33" i="57"/>
  <c r="O32" i="57"/>
  <c r="O31" i="57"/>
  <c r="O30" i="57"/>
  <c r="O29" i="57"/>
  <c r="O28" i="57"/>
  <c r="O27" i="57"/>
  <c r="O26" i="57"/>
  <c r="O23" i="57"/>
  <c r="O22" i="57"/>
  <c r="O21" i="57"/>
  <c r="O20" i="57"/>
  <c r="K20" i="60" s="1"/>
  <c r="O19" i="57"/>
  <c r="K19" i="60" s="1"/>
  <c r="O18" i="57"/>
  <c r="O17" i="57"/>
  <c r="O16" i="57"/>
  <c r="O15" i="57"/>
  <c r="O14" i="57"/>
  <c r="O11" i="57"/>
  <c r="O10" i="57"/>
  <c r="K10" i="60" s="1"/>
  <c r="O9" i="57"/>
  <c r="O8" i="57"/>
  <c r="O7" i="57"/>
  <c r="O6" i="57"/>
  <c r="O12" i="57"/>
  <c r="K53" i="57"/>
  <c r="K52" i="57"/>
  <c r="K51" i="57"/>
  <c r="K50" i="57"/>
  <c r="K49" i="57"/>
  <c r="K48" i="57"/>
  <c r="K47" i="57"/>
  <c r="K46" i="57"/>
  <c r="K45" i="57"/>
  <c r="K44" i="57"/>
  <c r="K43" i="57"/>
  <c r="K42" i="57"/>
  <c r="K41" i="57"/>
  <c r="K40" i="57"/>
  <c r="H40" i="60" s="1"/>
  <c r="K39" i="57"/>
  <c r="K38" i="57"/>
  <c r="K37" i="57"/>
  <c r="K36" i="57"/>
  <c r="K35" i="57"/>
  <c r="K34" i="57"/>
  <c r="K33" i="57"/>
  <c r="K32" i="57"/>
  <c r="K31" i="57"/>
  <c r="K30" i="57"/>
  <c r="H30" i="60" s="1"/>
  <c r="K29" i="57"/>
  <c r="K28" i="57"/>
  <c r="K27" i="57"/>
  <c r="K26" i="57"/>
  <c r="K23" i="57"/>
  <c r="K22" i="57"/>
  <c r="K21" i="57"/>
  <c r="K20" i="57"/>
  <c r="K19" i="57"/>
  <c r="K18" i="57"/>
  <c r="K17" i="57"/>
  <c r="K16" i="57"/>
  <c r="K14" i="57"/>
  <c r="K13" i="57"/>
  <c r="BT13" i="57" s="1"/>
  <c r="K12" i="57"/>
  <c r="K11" i="57"/>
  <c r="K10" i="57"/>
  <c r="K9" i="57"/>
  <c r="K8" i="57"/>
  <c r="K7" i="57"/>
  <c r="K6" i="57"/>
  <c r="K15" i="57"/>
  <c r="G64" i="57"/>
  <c r="G63" i="57"/>
  <c r="G60" i="57"/>
  <c r="G59" i="57"/>
  <c r="G58" i="57"/>
  <c r="G57" i="57"/>
  <c r="G56" i="57"/>
  <c r="G53" i="57"/>
  <c r="BT53" i="57" s="1"/>
  <c r="G52" i="57"/>
  <c r="G51" i="57"/>
  <c r="G50" i="57"/>
  <c r="G49" i="57"/>
  <c r="G48" i="57"/>
  <c r="G47" i="57"/>
  <c r="G46" i="57"/>
  <c r="G45" i="57"/>
  <c r="G44" i="57"/>
  <c r="G43" i="57"/>
  <c r="G42" i="57"/>
  <c r="G41" i="57"/>
  <c r="G40" i="57"/>
  <c r="BT40" i="57" s="1"/>
  <c r="G39" i="57"/>
  <c r="G38" i="57"/>
  <c r="G37" i="57"/>
  <c r="G36" i="57"/>
  <c r="G35" i="57"/>
  <c r="G34" i="57"/>
  <c r="G33" i="57"/>
  <c r="G32" i="57"/>
  <c r="G31" i="57"/>
  <c r="G30" i="57"/>
  <c r="BT30" i="57" s="1"/>
  <c r="G29" i="57"/>
  <c r="G28" i="57"/>
  <c r="G27" i="57"/>
  <c r="G26" i="57"/>
  <c r="G23" i="57"/>
  <c r="G22" i="57"/>
  <c r="G21" i="57"/>
  <c r="G20" i="57"/>
  <c r="G19" i="57"/>
  <c r="G18" i="57"/>
  <c r="G17" i="57"/>
  <c r="G16" i="57"/>
  <c r="G14" i="57"/>
  <c r="G12" i="57"/>
  <c r="G11" i="57"/>
  <c r="G9" i="57"/>
  <c r="G8" i="57"/>
  <c r="G7" i="57"/>
  <c r="G6" i="57"/>
  <c r="O78" i="55"/>
  <c r="AM78" i="55" s="1"/>
  <c r="AC78" i="60" s="1"/>
  <c r="O77" i="55"/>
  <c r="AM77" i="55" s="1"/>
  <c r="AC77" i="60" s="1"/>
  <c r="O75" i="55"/>
  <c r="AM75" i="55" s="1"/>
  <c r="AC75" i="60" s="1"/>
  <c r="O74" i="55"/>
  <c r="AM74" i="55" s="1"/>
  <c r="AC74" i="60" s="1"/>
  <c r="O73" i="55"/>
  <c r="O64" i="55"/>
  <c r="AM64" i="55" s="1"/>
  <c r="AC64" i="60" s="1"/>
  <c r="O63" i="55"/>
  <c r="AM63" i="55" s="1"/>
  <c r="O57" i="55"/>
  <c r="AM57" i="55" s="1"/>
  <c r="AC57" i="60" s="1"/>
  <c r="O56" i="55"/>
  <c r="AM56" i="55" s="1"/>
  <c r="O53" i="55"/>
  <c r="AM53" i="55" s="1"/>
  <c r="AC53" i="60" s="1"/>
  <c r="O52" i="55"/>
  <c r="AM52" i="55" s="1"/>
  <c r="AC52" i="60" s="1"/>
  <c r="O51" i="55"/>
  <c r="AM51" i="55" s="1"/>
  <c r="AC51" i="60" s="1"/>
  <c r="O50" i="55"/>
  <c r="AM50" i="55" s="1"/>
  <c r="AC50" i="60" s="1"/>
  <c r="O49" i="55"/>
  <c r="AM49" i="55" s="1"/>
  <c r="AC49" i="60" s="1"/>
  <c r="O48" i="55"/>
  <c r="AM48" i="55" s="1"/>
  <c r="AC48" i="60" s="1"/>
  <c r="O46" i="55"/>
  <c r="AM46" i="55" s="1"/>
  <c r="AC46" i="60" s="1"/>
  <c r="O45" i="55"/>
  <c r="AM45" i="55" s="1"/>
  <c r="AC45" i="60" s="1"/>
  <c r="O44" i="55"/>
  <c r="AM44" i="55" s="1"/>
  <c r="AC44" i="60" s="1"/>
  <c r="O43" i="55"/>
  <c r="AM43" i="55" s="1"/>
  <c r="AC43" i="60" s="1"/>
  <c r="O42" i="55"/>
  <c r="AM42" i="55" s="1"/>
  <c r="AC42" i="60" s="1"/>
  <c r="O41" i="55"/>
  <c r="O38" i="55"/>
  <c r="AM38" i="55" s="1"/>
  <c r="AC38" i="60" s="1"/>
  <c r="O37" i="55"/>
  <c r="AM37" i="55" s="1"/>
  <c r="AC37" i="60" s="1"/>
  <c r="O36" i="55"/>
  <c r="AM36" i="55" s="1"/>
  <c r="AC36" i="60" s="1"/>
  <c r="O35" i="55"/>
  <c r="AM35" i="55" s="1"/>
  <c r="AC35" i="60" s="1"/>
  <c r="O34" i="55"/>
  <c r="AM34" i="55" s="1"/>
  <c r="AC34" i="60" s="1"/>
  <c r="O32" i="55"/>
  <c r="AM32" i="55" s="1"/>
  <c r="AC32" i="60" s="1"/>
  <c r="O30" i="55"/>
  <c r="AM30" i="55" s="1"/>
  <c r="AC30" i="60" s="1"/>
  <c r="O29" i="55"/>
  <c r="AM29" i="55" s="1"/>
  <c r="AC29" i="60" s="1"/>
  <c r="O28" i="55"/>
  <c r="AM28" i="55" s="1"/>
  <c r="AC28" i="60" s="1"/>
  <c r="O27" i="55"/>
  <c r="AM27" i="55" s="1"/>
  <c r="AC27" i="60" s="1"/>
  <c r="O26" i="55"/>
  <c r="AM26" i="55" s="1"/>
  <c r="O8" i="55"/>
  <c r="O18" i="55"/>
  <c r="AC18" i="60" s="1"/>
  <c r="O16" i="55"/>
  <c r="AM16" i="55" s="1"/>
  <c r="AC16" i="60" s="1"/>
  <c r="O15" i="55"/>
  <c r="AM15" i="55" s="1"/>
  <c r="AC15" i="60" s="1"/>
  <c r="O14" i="55"/>
  <c r="AM14" i="55" s="1"/>
  <c r="AC14" i="60" s="1"/>
  <c r="K78" i="55"/>
  <c r="AI78" i="55" s="1"/>
  <c r="Z78" i="60" s="1"/>
  <c r="K77" i="55"/>
  <c r="AI77" i="55" s="1"/>
  <c r="Z77" i="60" s="1"/>
  <c r="K75" i="55"/>
  <c r="AI75" i="55" s="1"/>
  <c r="Z75" i="60" s="1"/>
  <c r="K74" i="55"/>
  <c r="AI74" i="55" s="1"/>
  <c r="Z74" i="60" s="1"/>
  <c r="K73" i="55"/>
  <c r="AI73" i="55" s="1"/>
  <c r="K64" i="55"/>
  <c r="AI64" i="55" s="1"/>
  <c r="Z64" i="60" s="1"/>
  <c r="K63" i="55"/>
  <c r="AI63" i="55" s="1"/>
  <c r="K57" i="55"/>
  <c r="AI57" i="55" s="1"/>
  <c r="Z57" i="60" s="1"/>
  <c r="K56" i="55"/>
  <c r="AI56" i="55" s="1"/>
  <c r="K53" i="55"/>
  <c r="AI53" i="55" s="1"/>
  <c r="Z53" i="60" s="1"/>
  <c r="K52" i="55"/>
  <c r="AI52" i="55" s="1"/>
  <c r="Z52" i="60" s="1"/>
  <c r="K51" i="55"/>
  <c r="AI51" i="55" s="1"/>
  <c r="Z51" i="60" s="1"/>
  <c r="K50" i="55"/>
  <c r="AI50" i="55" s="1"/>
  <c r="Z50" i="60" s="1"/>
  <c r="K49" i="55"/>
  <c r="AI49" i="55" s="1"/>
  <c r="Z49" i="60" s="1"/>
  <c r="K48" i="55"/>
  <c r="AI48" i="55" s="1"/>
  <c r="Z48" i="60" s="1"/>
  <c r="K46" i="55"/>
  <c r="AI46" i="55" s="1"/>
  <c r="Z46" i="60" s="1"/>
  <c r="K45" i="55"/>
  <c r="AI45" i="55" s="1"/>
  <c r="Z45" i="60" s="1"/>
  <c r="K44" i="55"/>
  <c r="AI44" i="55" s="1"/>
  <c r="Z44" i="60" s="1"/>
  <c r="K43" i="55"/>
  <c r="AI43" i="55" s="1"/>
  <c r="Z43" i="60" s="1"/>
  <c r="K42" i="55"/>
  <c r="AI42" i="55" s="1"/>
  <c r="Z42" i="60" s="1"/>
  <c r="K41" i="55"/>
  <c r="K38" i="55"/>
  <c r="AI38" i="55" s="1"/>
  <c r="Z38" i="60" s="1"/>
  <c r="K37" i="55"/>
  <c r="AI37" i="55" s="1"/>
  <c r="Z37" i="60" s="1"/>
  <c r="K36" i="55"/>
  <c r="AI36" i="55" s="1"/>
  <c r="Z36" i="60" s="1"/>
  <c r="K35" i="55"/>
  <c r="AI35" i="55" s="1"/>
  <c r="Z35" i="60" s="1"/>
  <c r="K34" i="55"/>
  <c r="AI34" i="55" s="1"/>
  <c r="Z34" i="60" s="1"/>
  <c r="K32" i="55"/>
  <c r="AI32" i="55" s="1"/>
  <c r="Z32" i="60" s="1"/>
  <c r="K30" i="55"/>
  <c r="AI30" i="55" s="1"/>
  <c r="Z30" i="60" s="1"/>
  <c r="K29" i="55"/>
  <c r="AI29" i="55" s="1"/>
  <c r="Z29" i="60" s="1"/>
  <c r="K28" i="55"/>
  <c r="AI28" i="55" s="1"/>
  <c r="Z28" i="60" s="1"/>
  <c r="K27" i="55"/>
  <c r="AI27" i="55" s="1"/>
  <c r="Z27" i="60" s="1"/>
  <c r="K26" i="55"/>
  <c r="AI26" i="55" s="1"/>
  <c r="K18" i="55"/>
  <c r="K16" i="55"/>
  <c r="AI16" i="55" s="1"/>
  <c r="Z16" i="60" s="1"/>
  <c r="K15" i="55"/>
  <c r="AI15" i="55" s="1"/>
  <c r="Z15" i="60" s="1"/>
  <c r="K14" i="55"/>
  <c r="AI14" i="55" s="1"/>
  <c r="Z14" i="60" s="1"/>
  <c r="K11" i="55"/>
  <c r="AI11" i="55" s="1"/>
  <c r="Z11" i="60" s="1"/>
  <c r="K9" i="55"/>
  <c r="K8" i="55"/>
  <c r="G78" i="55"/>
  <c r="G77" i="55"/>
  <c r="G76" i="55"/>
  <c r="G75" i="55"/>
  <c r="G74" i="55"/>
  <c r="G73" i="55"/>
  <c r="G64" i="55"/>
  <c r="G63" i="55"/>
  <c r="G60" i="55"/>
  <c r="CD60" i="55" s="1"/>
  <c r="G59" i="55"/>
  <c r="CD59" i="55" s="1"/>
  <c r="G58" i="55"/>
  <c r="CD58" i="55" s="1"/>
  <c r="G57" i="55"/>
  <c r="G56" i="55"/>
  <c r="G53" i="55"/>
  <c r="G52" i="55"/>
  <c r="G51" i="55"/>
  <c r="G50" i="55"/>
  <c r="G49" i="55"/>
  <c r="G48" i="55"/>
  <c r="G47" i="55"/>
  <c r="CD47" i="55" s="1"/>
  <c r="G46" i="55"/>
  <c r="G45" i="55"/>
  <c r="G44" i="55"/>
  <c r="G43" i="55"/>
  <c r="G42" i="55"/>
  <c r="G41" i="55"/>
  <c r="G38" i="55"/>
  <c r="G37" i="55"/>
  <c r="G36" i="55"/>
  <c r="G35" i="55"/>
  <c r="G34" i="55"/>
  <c r="G32" i="55"/>
  <c r="G31" i="55"/>
  <c r="G30" i="55"/>
  <c r="G29" i="55"/>
  <c r="G28" i="55"/>
  <c r="G27" i="55"/>
  <c r="G26" i="55"/>
  <c r="G16" i="55"/>
  <c r="G15" i="55"/>
  <c r="G14" i="55"/>
  <c r="G11" i="55"/>
  <c r="E38" i="60" l="1"/>
  <c r="H29" i="60"/>
  <c r="H45" i="60"/>
  <c r="AE15" i="55"/>
  <c r="W15" i="60" s="1"/>
  <c r="S15" i="55"/>
  <c r="CD15" i="55" s="1"/>
  <c r="AE32" i="55"/>
  <c r="W32" i="60" s="1"/>
  <c r="CD32" i="55"/>
  <c r="AE57" i="55"/>
  <c r="W57" i="60" s="1"/>
  <c r="CD57" i="55"/>
  <c r="AC26" i="60"/>
  <c r="H63" i="60"/>
  <c r="AE29" i="55"/>
  <c r="W29" i="60" s="1"/>
  <c r="CD29" i="55"/>
  <c r="AE38" i="55"/>
  <c r="W38" i="60" s="1"/>
  <c r="CD38" i="55"/>
  <c r="AE48" i="55"/>
  <c r="W48" i="60" s="1"/>
  <c r="CD48" i="55"/>
  <c r="AE52" i="55"/>
  <c r="W52" i="60" s="1"/>
  <c r="CD52" i="55"/>
  <c r="AE64" i="55"/>
  <c r="W64" i="60" s="1"/>
  <c r="CD64" i="55"/>
  <c r="Z9" i="60"/>
  <c r="AU9" i="60" s="1"/>
  <c r="CD9" i="55"/>
  <c r="AC63" i="60"/>
  <c r="AC65" i="60" s="1"/>
  <c r="AM65" i="55"/>
  <c r="K37" i="60"/>
  <c r="AE11" i="55"/>
  <c r="CD11" i="55"/>
  <c r="AE26" i="55"/>
  <c r="CD26" i="55"/>
  <c r="AE30" i="55"/>
  <c r="W30" i="60" s="1"/>
  <c r="CD30" i="55"/>
  <c r="AE35" i="55"/>
  <c r="W35" i="60" s="1"/>
  <c r="CD35" i="55"/>
  <c r="AE41" i="55"/>
  <c r="CD41" i="55"/>
  <c r="AE45" i="55"/>
  <c r="W45" i="60" s="1"/>
  <c r="CD45" i="55"/>
  <c r="AE49" i="55"/>
  <c r="W49" i="60" s="1"/>
  <c r="CD49" i="55"/>
  <c r="AE53" i="55"/>
  <c r="W53" i="60" s="1"/>
  <c r="CD53" i="55"/>
  <c r="AE73" i="55"/>
  <c r="CD73" i="55"/>
  <c r="AE77" i="55"/>
  <c r="W77" i="60" s="1"/>
  <c r="CD77" i="55"/>
  <c r="AI18" i="55"/>
  <c r="Z18" i="60" s="1"/>
  <c r="AU18" i="60" s="1"/>
  <c r="BA18" i="60" s="1"/>
  <c r="CD18" i="55"/>
  <c r="AI41" i="55"/>
  <c r="AI54" i="55" s="1"/>
  <c r="K83" i="55"/>
  <c r="Z56" i="60"/>
  <c r="Z61" i="60" s="1"/>
  <c r="AI61" i="55"/>
  <c r="Z73" i="60"/>
  <c r="Z79" i="60" s="1"/>
  <c r="AI79" i="55"/>
  <c r="H57" i="60"/>
  <c r="H61" i="60" s="1"/>
  <c r="H73" i="60"/>
  <c r="H77" i="60"/>
  <c r="K74" i="60"/>
  <c r="K78" i="60"/>
  <c r="H64" i="60"/>
  <c r="H65" i="60" s="1"/>
  <c r="AE28" i="55"/>
  <c r="W28" i="60" s="1"/>
  <c r="CD28" i="55"/>
  <c r="AE37" i="55"/>
  <c r="W37" i="60" s="1"/>
  <c r="CD37" i="55"/>
  <c r="AE43" i="55"/>
  <c r="W43" i="60" s="1"/>
  <c r="CD43" i="55"/>
  <c r="AE51" i="55"/>
  <c r="W51" i="60" s="1"/>
  <c r="CD51" i="55"/>
  <c r="AE63" i="55"/>
  <c r="CD63" i="55"/>
  <c r="AE75" i="55"/>
  <c r="W75" i="60" s="1"/>
  <c r="CD75" i="55"/>
  <c r="AI8" i="55"/>
  <c r="CD8" i="55"/>
  <c r="Z63" i="60"/>
  <c r="Z65" i="60" s="1"/>
  <c r="AI65" i="55"/>
  <c r="H75" i="60"/>
  <c r="AE16" i="55"/>
  <c r="W16" i="60" s="1"/>
  <c r="CD16" i="55"/>
  <c r="AE34" i="55"/>
  <c r="W34" i="60" s="1"/>
  <c r="CD34" i="55"/>
  <c r="AE44" i="55"/>
  <c r="W44" i="60" s="1"/>
  <c r="CD44" i="55"/>
  <c r="AE76" i="55"/>
  <c r="W76" i="60" s="1"/>
  <c r="CD76" i="55"/>
  <c r="AE14" i="55"/>
  <c r="W14" i="60" s="1"/>
  <c r="CD14" i="55"/>
  <c r="AE27" i="55"/>
  <c r="W27" i="60" s="1"/>
  <c r="CD27" i="55"/>
  <c r="CD31" i="55"/>
  <c r="AE36" i="55"/>
  <c r="W36" i="60" s="1"/>
  <c r="CD36" i="55"/>
  <c r="AE42" i="55"/>
  <c r="W42" i="60" s="1"/>
  <c r="CD42" i="55"/>
  <c r="AE46" i="55"/>
  <c r="W46" i="60" s="1"/>
  <c r="CD46" i="55"/>
  <c r="AE50" i="55"/>
  <c r="W50" i="60" s="1"/>
  <c r="CD50" i="55"/>
  <c r="AE56" i="55"/>
  <c r="CD56" i="55"/>
  <c r="AE74" i="55"/>
  <c r="W74" i="60" s="1"/>
  <c r="CD74" i="55"/>
  <c r="AE78" i="55"/>
  <c r="W78" i="60" s="1"/>
  <c r="CD78" i="55"/>
  <c r="Z26" i="60"/>
  <c r="AC8" i="60"/>
  <c r="AU8" i="60" s="1"/>
  <c r="BA8" i="60" s="1"/>
  <c r="AM24" i="55"/>
  <c r="AM41" i="55"/>
  <c r="AC56" i="60"/>
  <c r="AC61" i="60" s="1"/>
  <c r="AM61" i="55"/>
  <c r="AM73" i="55"/>
  <c r="H44" i="60"/>
  <c r="H48" i="60"/>
  <c r="H74" i="60"/>
  <c r="K75" i="60"/>
  <c r="H78" i="60"/>
  <c r="K83" i="58"/>
  <c r="O83" i="58"/>
  <c r="E59" i="60"/>
  <c r="K35" i="60"/>
  <c r="BT76" i="58"/>
  <c r="H11" i="60"/>
  <c r="H46" i="60"/>
  <c r="K53" i="60"/>
  <c r="BT15" i="58"/>
  <c r="G83" i="58"/>
  <c r="K83" i="57"/>
  <c r="H21" i="60"/>
  <c r="H27" i="60"/>
  <c r="H31" i="60"/>
  <c r="H36" i="60"/>
  <c r="K11" i="60"/>
  <c r="K16" i="60"/>
  <c r="K43" i="60"/>
  <c r="K51" i="60"/>
  <c r="K57" i="60"/>
  <c r="E41" i="60"/>
  <c r="O83" i="57"/>
  <c r="H22" i="60"/>
  <c r="H28" i="60"/>
  <c r="H32" i="60"/>
  <c r="K7" i="60"/>
  <c r="K26" i="60"/>
  <c r="K30" i="60"/>
  <c r="K34" i="60"/>
  <c r="K38" i="60"/>
  <c r="E26" i="60"/>
  <c r="BT26" i="57"/>
  <c r="H10" i="60"/>
  <c r="BT10" i="57"/>
  <c r="H8" i="60"/>
  <c r="H12" i="60"/>
  <c r="H43" i="60"/>
  <c r="H47" i="60"/>
  <c r="H51" i="60"/>
  <c r="K8" i="60"/>
  <c r="K21" i="60"/>
  <c r="K27" i="60"/>
  <c r="K31" i="60"/>
  <c r="K39" i="60"/>
  <c r="E7" i="60"/>
  <c r="BT27" i="57"/>
  <c r="G83" i="57"/>
  <c r="H9" i="60"/>
  <c r="H13" i="60"/>
  <c r="H18" i="60"/>
  <c r="H35" i="60"/>
  <c r="H39" i="60"/>
  <c r="H52" i="60"/>
  <c r="K15" i="60"/>
  <c r="K42" i="60"/>
  <c r="K46" i="60"/>
  <c r="K50" i="60"/>
  <c r="K56" i="60"/>
  <c r="K60" i="60"/>
  <c r="E60" i="60"/>
  <c r="E33" i="60"/>
  <c r="K73" i="60"/>
  <c r="S24" i="57"/>
  <c r="S24" i="58"/>
  <c r="E23" i="60"/>
  <c r="S24" i="59"/>
  <c r="S61" i="57"/>
  <c r="S61" i="58"/>
  <c r="O67" i="56"/>
  <c r="O71" i="56" s="1"/>
  <c r="K67" i="59"/>
  <c r="K71" i="59" s="1"/>
  <c r="G24" i="59"/>
  <c r="G67" i="59" s="1"/>
  <c r="G71" i="59" s="1"/>
  <c r="H16" i="60"/>
  <c r="H17" i="60"/>
  <c r="K12" i="60"/>
  <c r="H6" i="60"/>
  <c r="H14" i="60"/>
  <c r="H19" i="60"/>
  <c r="H23" i="60"/>
  <c r="H33" i="60"/>
  <c r="H37" i="60"/>
  <c r="H41" i="60"/>
  <c r="H49" i="60"/>
  <c r="H53" i="60"/>
  <c r="K17" i="60"/>
  <c r="K9" i="60"/>
  <c r="K13" i="60"/>
  <c r="K18" i="60"/>
  <c r="K22" i="60"/>
  <c r="K28" i="60"/>
  <c r="K32" i="60"/>
  <c r="K36" i="60"/>
  <c r="K40" i="60"/>
  <c r="K44" i="60"/>
  <c r="K48" i="60"/>
  <c r="K52" i="60"/>
  <c r="K58" i="60"/>
  <c r="E47" i="60"/>
  <c r="E56" i="60"/>
  <c r="E64" i="60"/>
  <c r="E8" i="60"/>
  <c r="H7" i="60"/>
  <c r="H15" i="60"/>
  <c r="H20" i="60"/>
  <c r="H26" i="60"/>
  <c r="H34" i="60"/>
  <c r="H38" i="60"/>
  <c r="H42" i="60"/>
  <c r="H50" i="60"/>
  <c r="K14" i="60"/>
  <c r="K23" i="60"/>
  <c r="K29" i="60"/>
  <c r="K33" i="60"/>
  <c r="K41" i="60"/>
  <c r="K45" i="60"/>
  <c r="K49" i="60"/>
  <c r="K59" i="60"/>
  <c r="E27" i="60"/>
  <c r="E42" i="60"/>
  <c r="E49" i="60"/>
  <c r="E13" i="60"/>
  <c r="E63" i="60"/>
  <c r="K64" i="60"/>
  <c r="E58" i="60"/>
  <c r="E73" i="60"/>
  <c r="E43" i="60"/>
  <c r="E9" i="60"/>
  <c r="E31" i="60"/>
  <c r="E36" i="60"/>
  <c r="E48" i="60"/>
  <c r="E32" i="60"/>
  <c r="E14" i="60"/>
  <c r="E20" i="60"/>
  <c r="K63" i="60"/>
  <c r="E78" i="60"/>
  <c r="E52" i="60"/>
  <c r="E18" i="60"/>
  <c r="E35" i="60"/>
  <c r="E17" i="60"/>
  <c r="E76" i="60"/>
  <c r="BG76" i="60" s="1"/>
  <c r="E75" i="60"/>
  <c r="E57" i="60"/>
  <c r="E21" i="60"/>
  <c r="E44" i="60"/>
  <c r="E28" i="60"/>
  <c r="E51" i="60"/>
  <c r="E50" i="60"/>
  <c r="E34" i="60"/>
  <c r="E16" i="60"/>
  <c r="E53" i="60"/>
  <c r="E45" i="60"/>
  <c r="E37" i="60"/>
  <c r="E29" i="60"/>
  <c r="E19" i="60"/>
  <c r="E11" i="60"/>
  <c r="E74" i="60"/>
  <c r="E40" i="60"/>
  <c r="E22" i="60"/>
  <c r="E10" i="60"/>
  <c r="E39" i="60"/>
  <c r="E46" i="60"/>
  <c r="E30" i="60"/>
  <c r="K81" i="56"/>
  <c r="K85" i="56" s="1"/>
  <c r="O81" i="56"/>
  <c r="O85" i="56" s="1"/>
  <c r="O81" i="69"/>
  <c r="O85" i="69" s="1"/>
  <c r="K67" i="56"/>
  <c r="K71" i="56" s="1"/>
  <c r="G81" i="56"/>
  <c r="G85" i="56" s="1"/>
  <c r="G81" i="59"/>
  <c r="G85" i="59" s="1"/>
  <c r="G24" i="58"/>
  <c r="K54" i="58"/>
  <c r="K79" i="58"/>
  <c r="O24" i="58"/>
  <c r="O54" i="58"/>
  <c r="O61" i="58"/>
  <c r="G79" i="55"/>
  <c r="G65" i="55"/>
  <c r="O24" i="57"/>
  <c r="G54" i="57"/>
  <c r="G61" i="57"/>
  <c r="K24" i="57"/>
  <c r="K54" i="57"/>
  <c r="O54" i="57"/>
  <c r="O61" i="57"/>
  <c r="G54" i="58"/>
  <c r="G61" i="58"/>
  <c r="K24" i="58"/>
  <c r="K61" i="58"/>
  <c r="G79" i="58"/>
  <c r="O79" i="58"/>
  <c r="O67" i="59"/>
  <c r="O71" i="59" s="1"/>
  <c r="K81" i="59"/>
  <c r="K85" i="59" s="1"/>
  <c r="O81" i="59"/>
  <c r="O85" i="59" s="1"/>
  <c r="G67" i="56"/>
  <c r="G71" i="56" s="1"/>
  <c r="K81" i="69"/>
  <c r="K85" i="69" s="1"/>
  <c r="G67" i="69"/>
  <c r="BA9" i="60" l="1"/>
  <c r="AU24" i="60"/>
  <c r="H79" i="60"/>
  <c r="CD61" i="55"/>
  <c r="CD79" i="55"/>
  <c r="CD65" i="55"/>
  <c r="AC73" i="60"/>
  <c r="AC79" i="60" s="1"/>
  <c r="AM79" i="55"/>
  <c r="W73" i="60"/>
  <c r="W79" i="60" s="1"/>
  <c r="AE79" i="55"/>
  <c r="AC41" i="60"/>
  <c r="AC54" i="60" s="1"/>
  <c r="AM83" i="55"/>
  <c r="CD54" i="55"/>
  <c r="AM54" i="55"/>
  <c r="Z8" i="60"/>
  <c r="AI24" i="55"/>
  <c r="W63" i="60"/>
  <c r="W65" i="60" s="1"/>
  <c r="AE65" i="55"/>
  <c r="Z41" i="60"/>
  <c r="Z54" i="60" s="1"/>
  <c r="AI83" i="55"/>
  <c r="W26" i="60"/>
  <c r="AE54" i="55"/>
  <c r="W41" i="60"/>
  <c r="W11" i="60"/>
  <c r="K79" i="60"/>
  <c r="AC24" i="60"/>
  <c r="W56" i="60"/>
  <c r="W61" i="60" s="1"/>
  <c r="AE61" i="55"/>
  <c r="AQ15" i="55"/>
  <c r="S24" i="55"/>
  <c r="N15" i="60"/>
  <c r="E65" i="60"/>
  <c r="H83" i="60"/>
  <c r="S81" i="58"/>
  <c r="S85" i="58" s="1"/>
  <c r="N23" i="60"/>
  <c r="S67" i="59"/>
  <c r="S71" i="59" s="1"/>
  <c r="S81" i="59"/>
  <c r="S85" i="59" s="1"/>
  <c r="S67" i="57"/>
  <c r="S71" i="57" s="1"/>
  <c r="S81" i="57"/>
  <c r="S85" i="57" s="1"/>
  <c r="K61" i="60"/>
  <c r="H54" i="60"/>
  <c r="H24" i="60"/>
  <c r="E54" i="60"/>
  <c r="K54" i="60"/>
  <c r="O67" i="57"/>
  <c r="O71" i="57" s="1"/>
  <c r="E79" i="60"/>
  <c r="E61" i="60"/>
  <c r="K65" i="60"/>
  <c r="K81" i="57"/>
  <c r="K85" i="57" s="1"/>
  <c r="O81" i="57"/>
  <c r="O85" i="57" s="1"/>
  <c r="K67" i="57"/>
  <c r="K71" i="57" s="1"/>
  <c r="AU41" i="60" l="1"/>
  <c r="BA41" i="60" s="1"/>
  <c r="BA54" i="60" s="1"/>
  <c r="AU54" i="60"/>
  <c r="AU67" i="60" s="1"/>
  <c r="AM81" i="55"/>
  <c r="AM85" i="55" s="1"/>
  <c r="AI67" i="55"/>
  <c r="AI71" i="55" s="1"/>
  <c r="AI81" i="55"/>
  <c r="AI85" i="55" s="1"/>
  <c r="S81" i="55"/>
  <c r="S85" i="55" s="1"/>
  <c r="S67" i="55"/>
  <c r="S71" i="55" s="1"/>
  <c r="AF15" i="60"/>
  <c r="AK15" i="60"/>
  <c r="AQ24" i="55"/>
  <c r="AC83" i="60"/>
  <c r="AM67" i="55"/>
  <c r="AM71" i="55" s="1"/>
  <c r="AC67" i="60"/>
  <c r="AC81" i="60"/>
  <c r="W54" i="60"/>
  <c r="H67" i="60"/>
  <c r="H81" i="60"/>
  <c r="H85" i="60" s="1"/>
  <c r="E54" i="59"/>
  <c r="E65" i="59"/>
  <c r="E61" i="59"/>
  <c r="E79" i="59"/>
  <c r="I54" i="56"/>
  <c r="I61" i="56"/>
  <c r="I65" i="56"/>
  <c r="E79" i="56"/>
  <c r="E65" i="56"/>
  <c r="E61" i="56"/>
  <c r="E54" i="56"/>
  <c r="I65" i="69"/>
  <c r="E79" i="69"/>
  <c r="I79" i="58"/>
  <c r="E61" i="58"/>
  <c r="M61" i="57"/>
  <c r="AU81" i="60" l="1"/>
  <c r="AC85" i="60"/>
  <c r="AQ81" i="55"/>
  <c r="AQ67" i="55"/>
  <c r="AQ71" i="55" s="1"/>
  <c r="G15" i="57"/>
  <c r="BT15" i="57" s="1"/>
  <c r="O65" i="55"/>
  <c r="K79" i="55"/>
  <c r="AQ85" i="55" l="1"/>
  <c r="BK85" i="55" s="1"/>
  <c r="BK81" i="55"/>
  <c r="G24" i="57"/>
  <c r="E15" i="60"/>
  <c r="BG15" i="60" s="1"/>
  <c r="G81" i="57"/>
  <c r="G85" i="57" s="1"/>
  <c r="G67" i="57"/>
  <c r="G71" i="57" s="1"/>
  <c r="O54" i="55"/>
  <c r="O79" i="55"/>
  <c r="O61" i="55"/>
  <c r="BF80" i="60"/>
  <c r="BF69" i="60"/>
  <c r="BF68" i="60"/>
  <c r="BF66" i="60"/>
  <c r="BF62" i="60"/>
  <c r="BF55" i="60"/>
  <c r="BF25" i="60"/>
  <c r="BQ76" i="55"/>
  <c r="BU80" i="55"/>
  <c r="BU72" i="55"/>
  <c r="BU70" i="55"/>
  <c r="BU68" i="55"/>
  <c r="BU66" i="55"/>
  <c r="BU62" i="55"/>
  <c r="BU55" i="55"/>
  <c r="BU25" i="55"/>
  <c r="BS80" i="56" l="1"/>
  <c r="BS72" i="56"/>
  <c r="BS70" i="56"/>
  <c r="BS68" i="56"/>
  <c r="BS66" i="56"/>
  <c r="BS62" i="56"/>
  <c r="BS55" i="56"/>
  <c r="BS25" i="56"/>
  <c r="BR78" i="55"/>
  <c r="BR76" i="55"/>
  <c r="BU76" i="55" s="1"/>
  <c r="BR75" i="55"/>
  <c r="BR74" i="55"/>
  <c r="BR69" i="55"/>
  <c r="BR64" i="55"/>
  <c r="BR63" i="55"/>
  <c r="BR60" i="55"/>
  <c r="BR59" i="55"/>
  <c r="BR58" i="55"/>
  <c r="BR57" i="55"/>
  <c r="BR56" i="55"/>
  <c r="BR53" i="55"/>
  <c r="BR52" i="55"/>
  <c r="BR51" i="55"/>
  <c r="BR50" i="55"/>
  <c r="BR49" i="55"/>
  <c r="BR48" i="55"/>
  <c r="BR47" i="55"/>
  <c r="BR46" i="55"/>
  <c r="BR45" i="55"/>
  <c r="BR44" i="55"/>
  <c r="BR43" i="55"/>
  <c r="BR42" i="55"/>
  <c r="BR41" i="55"/>
  <c r="BR40" i="55"/>
  <c r="BR39" i="55"/>
  <c r="BR38" i="55"/>
  <c r="BR37" i="55"/>
  <c r="BR36" i="55"/>
  <c r="BR35" i="55"/>
  <c r="BR34" i="55"/>
  <c r="BR33" i="55"/>
  <c r="BR32" i="55"/>
  <c r="BR31" i="55"/>
  <c r="BR30" i="55"/>
  <c r="BR29" i="55"/>
  <c r="BR28" i="55"/>
  <c r="BR27" i="55"/>
  <c r="BR26" i="55"/>
  <c r="BR23" i="55"/>
  <c r="BR22" i="55"/>
  <c r="BR20" i="55"/>
  <c r="BR19" i="55"/>
  <c r="BR18" i="55"/>
  <c r="BR16" i="55"/>
  <c r="BR15" i="55"/>
  <c r="BR14" i="55"/>
  <c r="BR12" i="55"/>
  <c r="BR11" i="55"/>
  <c r="BR8" i="55"/>
  <c r="BR7" i="55"/>
  <c r="J78" i="60"/>
  <c r="J77" i="60"/>
  <c r="J76" i="60"/>
  <c r="J75" i="60"/>
  <c r="J74" i="60"/>
  <c r="J73" i="60"/>
  <c r="J64" i="60"/>
  <c r="J63" i="60"/>
  <c r="J60" i="60"/>
  <c r="J59" i="60"/>
  <c r="J58" i="60"/>
  <c r="J57" i="60"/>
  <c r="J56" i="60"/>
  <c r="J53" i="60"/>
  <c r="J52" i="60"/>
  <c r="J51" i="60"/>
  <c r="J50" i="60"/>
  <c r="J49" i="60"/>
  <c r="J48" i="60"/>
  <c r="J47" i="60"/>
  <c r="J46" i="60"/>
  <c r="J45" i="60"/>
  <c r="J44" i="60"/>
  <c r="J43" i="60"/>
  <c r="J42" i="60"/>
  <c r="J41" i="60"/>
  <c r="J40" i="60"/>
  <c r="J39" i="60"/>
  <c r="J38" i="60"/>
  <c r="J37" i="60"/>
  <c r="J36" i="60"/>
  <c r="J35" i="60"/>
  <c r="J34" i="60"/>
  <c r="J33" i="60"/>
  <c r="J32" i="60"/>
  <c r="J31" i="60"/>
  <c r="J30" i="60"/>
  <c r="J29" i="60"/>
  <c r="J28" i="60"/>
  <c r="J27" i="60"/>
  <c r="J26" i="60"/>
  <c r="J23" i="60"/>
  <c r="J22" i="60"/>
  <c r="J21" i="60"/>
  <c r="J20" i="60"/>
  <c r="J19" i="60"/>
  <c r="J18" i="60"/>
  <c r="J17" i="60"/>
  <c r="J16" i="60"/>
  <c r="J15" i="60"/>
  <c r="J14" i="60"/>
  <c r="J13" i="60"/>
  <c r="J12" i="60"/>
  <c r="J11" i="60"/>
  <c r="J9" i="60"/>
  <c r="J8" i="60"/>
  <c r="J7" i="60"/>
  <c r="M54" i="55"/>
  <c r="M6" i="55"/>
  <c r="O6" i="55" s="1"/>
  <c r="M79" i="55"/>
  <c r="M65" i="55"/>
  <c r="M61" i="55"/>
  <c r="M79" i="59"/>
  <c r="M65" i="59"/>
  <c r="M61" i="59"/>
  <c r="M54" i="59"/>
  <c r="M24" i="59"/>
  <c r="M79" i="56"/>
  <c r="M65" i="56"/>
  <c r="M61" i="56"/>
  <c r="M24" i="56"/>
  <c r="M54" i="56"/>
  <c r="M79" i="69"/>
  <c r="M65" i="69"/>
  <c r="M61" i="69"/>
  <c r="M54" i="69"/>
  <c r="M24" i="69"/>
  <c r="M61" i="58"/>
  <c r="M54" i="58"/>
  <c r="M24" i="58"/>
  <c r="M54" i="57"/>
  <c r="M24" i="57"/>
  <c r="K6" i="60" l="1"/>
  <c r="O83" i="55"/>
  <c r="M81" i="58"/>
  <c r="J6" i="60"/>
  <c r="O24" i="55"/>
  <c r="M67" i="57"/>
  <c r="M71" i="57" s="1"/>
  <c r="M67" i="59"/>
  <c r="M71" i="59" s="1"/>
  <c r="M81" i="56"/>
  <c r="M67" i="56"/>
  <c r="M71" i="56" s="1"/>
  <c r="M67" i="69"/>
  <c r="M71" i="69" s="1"/>
  <c r="M81" i="59"/>
  <c r="M81" i="57"/>
  <c r="J10" i="60"/>
  <c r="BR54" i="55"/>
  <c r="BR61" i="55"/>
  <c r="BR73" i="55"/>
  <c r="BR77" i="55"/>
  <c r="M24" i="55"/>
  <c r="M67" i="55" s="1"/>
  <c r="M71" i="55" s="1"/>
  <c r="BR13" i="55"/>
  <c r="BR17" i="55"/>
  <c r="BR21" i="55"/>
  <c r="BR9" i="55"/>
  <c r="BR65" i="55"/>
  <c r="J54" i="60"/>
  <c r="J79" i="60"/>
  <c r="J65" i="60"/>
  <c r="J61" i="60"/>
  <c r="M81" i="69"/>
  <c r="M67" i="58"/>
  <c r="M71" i="58" s="1"/>
  <c r="K24" i="60" l="1"/>
  <c r="K83" i="60"/>
  <c r="J24" i="60"/>
  <c r="J81" i="60" s="1"/>
  <c r="M81" i="55"/>
  <c r="O81" i="55"/>
  <c r="O85" i="55" s="1"/>
  <c r="O67" i="55"/>
  <c r="O71" i="55" s="1"/>
  <c r="BR10" i="55"/>
  <c r="BR79" i="55"/>
  <c r="K67" i="60" l="1"/>
  <c r="K81" i="60"/>
  <c r="K85" i="60" s="1"/>
  <c r="J67" i="60"/>
  <c r="G78" i="60"/>
  <c r="G77" i="60"/>
  <c r="G76" i="60"/>
  <c r="G75" i="60"/>
  <c r="G74" i="60"/>
  <c r="G73" i="60"/>
  <c r="G64" i="60"/>
  <c r="G63" i="60"/>
  <c r="G60" i="60"/>
  <c r="G59" i="60"/>
  <c r="G58" i="60"/>
  <c r="G57" i="60"/>
  <c r="G56" i="60"/>
  <c r="G53" i="60"/>
  <c r="G52" i="60"/>
  <c r="G51" i="60"/>
  <c r="G50" i="60"/>
  <c r="G49" i="60"/>
  <c r="G48" i="60"/>
  <c r="G47" i="60"/>
  <c r="G46" i="60"/>
  <c r="G45" i="60"/>
  <c r="G44" i="60"/>
  <c r="G43" i="60"/>
  <c r="G42" i="60"/>
  <c r="G41" i="60"/>
  <c r="G40" i="60"/>
  <c r="G39" i="60"/>
  <c r="G38" i="60"/>
  <c r="G37" i="60"/>
  <c r="G36" i="60"/>
  <c r="G35" i="60"/>
  <c r="G34" i="60"/>
  <c r="G33" i="60"/>
  <c r="G32" i="60"/>
  <c r="G31" i="60"/>
  <c r="G30" i="60"/>
  <c r="G29" i="60"/>
  <c r="G28" i="60"/>
  <c r="G27" i="60"/>
  <c r="G26" i="60"/>
  <c r="G23" i="60"/>
  <c r="G22" i="60"/>
  <c r="G21" i="60"/>
  <c r="G20" i="60"/>
  <c r="G19" i="60"/>
  <c r="G18" i="60"/>
  <c r="G17" i="60"/>
  <c r="G16" i="60"/>
  <c r="G15" i="60"/>
  <c r="G14" i="60"/>
  <c r="G13" i="60"/>
  <c r="G12" i="60"/>
  <c r="G11" i="60"/>
  <c r="G10" i="60"/>
  <c r="G9" i="60"/>
  <c r="G8" i="60"/>
  <c r="G7" i="60"/>
  <c r="G6" i="60"/>
  <c r="D78" i="60"/>
  <c r="D77" i="60"/>
  <c r="D76" i="60"/>
  <c r="D75" i="60"/>
  <c r="D74" i="60"/>
  <c r="D73" i="60"/>
  <c r="D64" i="60"/>
  <c r="D63" i="60"/>
  <c r="D60" i="60"/>
  <c r="D59" i="60"/>
  <c r="D58" i="60"/>
  <c r="D57" i="60"/>
  <c r="D56" i="60"/>
  <c r="D53" i="60"/>
  <c r="D52" i="60"/>
  <c r="D51" i="60"/>
  <c r="D50" i="60"/>
  <c r="D49" i="60"/>
  <c r="D48" i="60"/>
  <c r="D47" i="60"/>
  <c r="D46" i="60"/>
  <c r="D45" i="60"/>
  <c r="D44" i="60"/>
  <c r="D43" i="60"/>
  <c r="D42" i="60"/>
  <c r="D41" i="60"/>
  <c r="D40" i="60"/>
  <c r="D39" i="60"/>
  <c r="D38" i="60"/>
  <c r="D37" i="60"/>
  <c r="D36" i="60"/>
  <c r="D35" i="60"/>
  <c r="D34" i="60"/>
  <c r="D33" i="60"/>
  <c r="D32" i="60"/>
  <c r="D31" i="60"/>
  <c r="D30" i="60"/>
  <c r="D29" i="60"/>
  <c r="D28" i="60"/>
  <c r="D27" i="60"/>
  <c r="D26" i="60"/>
  <c r="D23" i="60"/>
  <c r="D22" i="60"/>
  <c r="D21" i="60"/>
  <c r="D20" i="60"/>
  <c r="D19" i="60"/>
  <c r="D18" i="60"/>
  <c r="D17" i="60"/>
  <c r="D16" i="60"/>
  <c r="D15" i="60"/>
  <c r="D14" i="60"/>
  <c r="D13" i="60"/>
  <c r="D12" i="60"/>
  <c r="D11" i="60"/>
  <c r="D10" i="60"/>
  <c r="D9" i="60"/>
  <c r="D8" i="60"/>
  <c r="D7" i="60"/>
  <c r="BE11" i="60" l="1"/>
  <c r="BE19" i="60"/>
  <c r="BE29" i="60"/>
  <c r="BE33" i="60"/>
  <c r="BE37" i="60"/>
  <c r="BE41" i="60"/>
  <c r="BE45" i="60"/>
  <c r="BE49" i="60"/>
  <c r="BE53" i="60"/>
  <c r="BE59" i="60"/>
  <c r="BE73" i="60"/>
  <c r="BE77" i="60"/>
  <c r="BE7" i="60"/>
  <c r="BE15" i="60"/>
  <c r="BE9" i="60"/>
  <c r="BE17" i="60"/>
  <c r="BE21" i="60"/>
  <c r="BE27" i="60"/>
  <c r="BE31" i="60"/>
  <c r="BE35" i="60"/>
  <c r="BE39" i="60"/>
  <c r="BE43" i="60"/>
  <c r="BE47" i="60"/>
  <c r="BE51" i="60"/>
  <c r="BE57" i="60"/>
  <c r="BE63" i="60"/>
  <c r="BE75" i="60"/>
  <c r="BE13" i="60"/>
  <c r="BE8" i="60"/>
  <c r="BE12" i="60"/>
  <c r="BE16" i="60"/>
  <c r="BE20" i="60"/>
  <c r="BE26" i="60"/>
  <c r="BE30" i="60"/>
  <c r="BE34" i="60"/>
  <c r="BE38" i="60"/>
  <c r="BE42" i="60"/>
  <c r="BE46" i="60"/>
  <c r="BE50" i="60"/>
  <c r="BE56" i="60"/>
  <c r="BE60" i="60"/>
  <c r="BE74" i="60"/>
  <c r="BE78" i="60"/>
  <c r="BE14" i="60"/>
  <c r="BE18" i="60"/>
  <c r="BE22" i="60"/>
  <c r="BE28" i="60"/>
  <c r="BE32" i="60"/>
  <c r="BE36" i="60"/>
  <c r="BE40" i="60"/>
  <c r="BE44" i="60"/>
  <c r="BE48" i="60"/>
  <c r="BE52" i="60"/>
  <c r="BE58" i="60"/>
  <c r="BE64" i="60"/>
  <c r="BE76" i="60"/>
  <c r="G24" i="60"/>
  <c r="D54" i="60"/>
  <c r="D61" i="60"/>
  <c r="D65" i="60"/>
  <c r="D79" i="60"/>
  <c r="G54" i="60"/>
  <c r="G61" i="60"/>
  <c r="G65" i="60"/>
  <c r="G79" i="60"/>
  <c r="K61" i="55"/>
  <c r="BE61" i="60" l="1"/>
  <c r="BE65" i="60"/>
  <c r="BE54" i="60"/>
  <c r="BE79" i="60"/>
  <c r="K65" i="55"/>
  <c r="K54" i="55"/>
  <c r="G67" i="60"/>
  <c r="G81" i="60"/>
  <c r="BB79" i="55"/>
  <c r="G12" i="55"/>
  <c r="AE12" i="55" l="1"/>
  <c r="CD12" i="55"/>
  <c r="E12" i="60"/>
  <c r="BB54" i="55"/>
  <c r="K24" i="55"/>
  <c r="K67" i="55" s="1"/>
  <c r="K71" i="55" s="1"/>
  <c r="I65" i="55"/>
  <c r="I79" i="55"/>
  <c r="I61" i="55"/>
  <c r="I54" i="55"/>
  <c r="I24" i="55"/>
  <c r="I54" i="69"/>
  <c r="I67" i="69" s="1"/>
  <c r="I71" i="69" s="1"/>
  <c r="I24" i="69"/>
  <c r="I24" i="56"/>
  <c r="I54" i="59"/>
  <c r="I24" i="59"/>
  <c r="I24" i="57"/>
  <c r="I54" i="57"/>
  <c r="I54" i="58"/>
  <c r="I24" i="58"/>
  <c r="W12" i="60" l="1"/>
  <c r="AE83" i="55"/>
  <c r="BH83" i="55" s="1"/>
  <c r="BN83" i="55" s="1"/>
  <c r="AE24" i="55"/>
  <c r="I67" i="57"/>
  <c r="I71" i="57" s="1"/>
  <c r="I81" i="57"/>
  <c r="I67" i="58"/>
  <c r="I71" i="58" s="1"/>
  <c r="I81" i="58"/>
  <c r="I81" i="59"/>
  <c r="I81" i="69"/>
  <c r="K81" i="55"/>
  <c r="K85" i="55" s="1"/>
  <c r="I67" i="59"/>
  <c r="I71" i="59" s="1"/>
  <c r="I67" i="56"/>
  <c r="I71" i="56" s="1"/>
  <c r="I81" i="56"/>
  <c r="I81" i="55"/>
  <c r="I67" i="55"/>
  <c r="I71" i="55" s="1"/>
  <c r="W83" i="60" l="1"/>
  <c r="W24" i="60"/>
  <c r="AE81" i="55"/>
  <c r="AE67" i="55"/>
  <c r="AE71" i="55" s="1"/>
  <c r="B83" i="74"/>
  <c r="B81" i="74"/>
  <c r="B80" i="74"/>
  <c r="B79" i="74"/>
  <c r="B76" i="74"/>
  <c r="B78" i="74"/>
  <c r="B77" i="74"/>
  <c r="AE85" i="55" l="1"/>
  <c r="BH85" i="55" s="1"/>
  <c r="BN85" i="55" s="1"/>
  <c r="BH81" i="55"/>
  <c r="BN81" i="55" s="1"/>
  <c r="W81" i="60"/>
  <c r="W85" i="60" s="1"/>
  <c r="W67" i="60"/>
  <c r="E54" i="69"/>
  <c r="E24" i="69"/>
  <c r="E24" i="56"/>
  <c r="E24" i="59"/>
  <c r="E54" i="58"/>
  <c r="E24" i="58"/>
  <c r="E54" i="57"/>
  <c r="E24" i="57"/>
  <c r="E81" i="57" s="1"/>
  <c r="CA76" i="73"/>
  <c r="E79" i="55"/>
  <c r="E65" i="55"/>
  <c r="E54" i="55"/>
  <c r="E61" i="55"/>
  <c r="E6" i="55"/>
  <c r="CB6" i="55" l="1"/>
  <c r="G6" i="55"/>
  <c r="G24" i="55" s="1"/>
  <c r="E81" i="56"/>
  <c r="E67" i="56"/>
  <c r="E71" i="56" s="1"/>
  <c r="E81" i="69"/>
  <c r="E67" i="69"/>
  <c r="E71" i="69" s="1"/>
  <c r="E67" i="59"/>
  <c r="E71" i="59" s="1"/>
  <c r="E81" i="59"/>
  <c r="E67" i="58"/>
  <c r="E71" i="58" s="1"/>
  <c r="E81" i="58"/>
  <c r="E67" i="57"/>
  <c r="E71" i="57" s="1"/>
  <c r="D6" i="60"/>
  <c r="BE6" i="60" s="1"/>
  <c r="E24" i="55"/>
  <c r="E81" i="55" s="1"/>
  <c r="G61" i="55"/>
  <c r="G54" i="55"/>
  <c r="BB24" i="55" l="1"/>
  <c r="BB71" i="55" s="1"/>
  <c r="CB24" i="55"/>
  <c r="CE6" i="55"/>
  <c r="CC6" i="55"/>
  <c r="CD6" i="55"/>
  <c r="E6" i="60"/>
  <c r="G83" i="55"/>
  <c r="D24" i="60"/>
  <c r="D67" i="60" s="1"/>
  <c r="E67" i="55"/>
  <c r="E71" i="55" s="1"/>
  <c r="G81" i="55"/>
  <c r="G67" i="55"/>
  <c r="G71" i="55" s="1"/>
  <c r="BR6" i="55"/>
  <c r="BQ85" i="73"/>
  <c r="F85" i="73"/>
  <c r="AQ83" i="73"/>
  <c r="AP83" i="73"/>
  <c r="AJ83" i="73"/>
  <c r="AI83" i="73"/>
  <c r="AH83" i="73"/>
  <c r="AO83" i="73" s="1"/>
  <c r="AG83" i="73"/>
  <c r="AN83" i="73" s="1"/>
  <c r="AE83" i="73"/>
  <c r="AD83" i="73"/>
  <c r="X83" i="73"/>
  <c r="AL83" i="73" s="1"/>
  <c r="AS83" i="73" s="1"/>
  <c r="W83" i="73"/>
  <c r="AK83" i="73" s="1"/>
  <c r="AR83" i="73" s="1"/>
  <c r="AQ82" i="73"/>
  <c r="AP82" i="73"/>
  <c r="AJ82" i="73"/>
  <c r="AI82" i="73"/>
  <c r="AH82" i="73"/>
  <c r="AO82" i="73" s="1"/>
  <c r="AG82" i="73"/>
  <c r="AN82" i="73" s="1"/>
  <c r="AE82" i="73"/>
  <c r="AD82" i="73"/>
  <c r="X82" i="73"/>
  <c r="W82" i="73"/>
  <c r="B82" i="73"/>
  <c r="CX81" i="73"/>
  <c r="AE81" i="73"/>
  <c r="AD81" i="73"/>
  <c r="AC81" i="73"/>
  <c r="AB81" i="73"/>
  <c r="AA81" i="73"/>
  <c r="Z81" i="73"/>
  <c r="X81" i="73"/>
  <c r="BP81" i="73" s="1"/>
  <c r="CY81" i="73" s="1"/>
  <c r="W81" i="73"/>
  <c r="BO81" i="73" s="1"/>
  <c r="V81" i="73"/>
  <c r="AJ81" i="73" s="1"/>
  <c r="AQ81" i="73" s="1"/>
  <c r="U81" i="73"/>
  <c r="BM81" i="73" s="1"/>
  <c r="CV81" i="73" s="1"/>
  <c r="T81" i="73"/>
  <c r="BL81" i="73" s="1"/>
  <c r="CU81" i="73" s="1"/>
  <c r="S81" i="73"/>
  <c r="D81" i="73"/>
  <c r="C81" i="73"/>
  <c r="B81" i="73"/>
  <c r="BO80" i="73"/>
  <c r="CX80" i="73" s="1"/>
  <c r="AE80" i="73"/>
  <c r="AL80" i="73" s="1"/>
  <c r="AS80" i="73" s="1"/>
  <c r="AD80" i="73"/>
  <c r="AC80" i="73"/>
  <c r="AB80" i="73"/>
  <c r="AA80" i="73"/>
  <c r="Z80" i="73"/>
  <c r="X80" i="73"/>
  <c r="BP80" i="73" s="1"/>
  <c r="CY80" i="73" s="1"/>
  <c r="W80" i="73"/>
  <c r="V80" i="73"/>
  <c r="BN80" i="73" s="1"/>
  <c r="CW80" i="73" s="1"/>
  <c r="U80" i="73"/>
  <c r="BM80" i="73" s="1"/>
  <c r="CV80" i="73" s="1"/>
  <c r="T80" i="73"/>
  <c r="S80" i="73"/>
  <c r="BK80" i="73" s="1"/>
  <c r="D80" i="73"/>
  <c r="C80" i="73"/>
  <c r="B80" i="73"/>
  <c r="BP79" i="73"/>
  <c r="CY79" i="73" s="1"/>
  <c r="BM79" i="73"/>
  <c r="CV79" i="73" s="1"/>
  <c r="BL79" i="73"/>
  <c r="CU79" i="73" s="1"/>
  <c r="AE79" i="73"/>
  <c r="AD79" i="73"/>
  <c r="AC79" i="73"/>
  <c r="AB79" i="73"/>
  <c r="AA79" i="73"/>
  <c r="AH79" i="73" s="1"/>
  <c r="AO79" i="73" s="1"/>
  <c r="Z79" i="73"/>
  <c r="X79" i="73"/>
  <c r="AL79" i="73" s="1"/>
  <c r="AS79" i="73" s="1"/>
  <c r="W79" i="73"/>
  <c r="BO79" i="73" s="1"/>
  <c r="CX79" i="73" s="1"/>
  <c r="V79" i="73"/>
  <c r="BN79" i="73" s="1"/>
  <c r="CW79" i="73" s="1"/>
  <c r="U79" i="73"/>
  <c r="AI79" i="73" s="1"/>
  <c r="AP79" i="73" s="1"/>
  <c r="T79" i="73"/>
  <c r="S79" i="73"/>
  <c r="BK79" i="73" s="1"/>
  <c r="D79" i="73"/>
  <c r="C79" i="73"/>
  <c r="B79" i="73"/>
  <c r="AE78" i="73"/>
  <c r="BG78" i="73" s="1"/>
  <c r="AD78" i="73"/>
  <c r="BF78" i="73" s="1"/>
  <c r="AC78" i="73"/>
  <c r="BE78" i="73" s="1"/>
  <c r="BN78" i="73" s="1"/>
  <c r="CW78" i="73" s="1"/>
  <c r="AB78" i="73"/>
  <c r="AA78" i="73"/>
  <c r="BC78" i="73" s="1"/>
  <c r="Z78" i="73"/>
  <c r="X78" i="73"/>
  <c r="AL78" i="73" s="1"/>
  <c r="AS78" i="73" s="1"/>
  <c r="W78" i="73"/>
  <c r="AK78" i="73" s="1"/>
  <c r="AR78" i="73" s="1"/>
  <c r="V78" i="73"/>
  <c r="U78" i="73"/>
  <c r="T78" i="73"/>
  <c r="S78" i="73"/>
  <c r="G78" i="73"/>
  <c r="F78" i="73"/>
  <c r="D78" i="73"/>
  <c r="C78" i="73"/>
  <c r="B78" i="73"/>
  <c r="AE77" i="73"/>
  <c r="BG77" i="73" s="1"/>
  <c r="BP77" i="73" s="1"/>
  <c r="CY77" i="73" s="1"/>
  <c r="AD77" i="73"/>
  <c r="BF77" i="73" s="1"/>
  <c r="AC77" i="73"/>
  <c r="AB77" i="73"/>
  <c r="BD77" i="73" s="1"/>
  <c r="BM77" i="73" s="1"/>
  <c r="CV77" i="73" s="1"/>
  <c r="AA77" i="73"/>
  <c r="BC77" i="73" s="1"/>
  <c r="BL77" i="73" s="1"/>
  <c r="CU77" i="73" s="1"/>
  <c r="Z77" i="73"/>
  <c r="BB77" i="73" s="1"/>
  <c r="X77" i="73"/>
  <c r="W77" i="73"/>
  <c r="V77" i="73"/>
  <c r="U77" i="73"/>
  <c r="T77" i="73"/>
  <c r="S77" i="73"/>
  <c r="G77" i="73"/>
  <c r="F77" i="73"/>
  <c r="D77" i="73"/>
  <c r="C77" i="73"/>
  <c r="B77" i="73"/>
  <c r="BC76" i="73"/>
  <c r="AE76" i="73"/>
  <c r="BG76" i="73" s="1"/>
  <c r="AD76" i="73"/>
  <c r="BF76" i="73" s="1"/>
  <c r="BO76" i="73" s="1"/>
  <c r="CX76" i="73" s="1"/>
  <c r="AC76" i="73"/>
  <c r="AJ76" i="73" s="1"/>
  <c r="AQ76" i="73" s="1"/>
  <c r="AB76" i="73"/>
  <c r="BD76" i="73" s="1"/>
  <c r="AA76" i="73"/>
  <c r="Z76" i="73"/>
  <c r="X76" i="73"/>
  <c r="AL76" i="73" s="1"/>
  <c r="AS76" i="73" s="1"/>
  <c r="W76" i="73"/>
  <c r="V76" i="73"/>
  <c r="U76" i="73"/>
  <c r="T76" i="73"/>
  <c r="AH76" i="73" s="1"/>
  <c r="AO76" i="73" s="1"/>
  <c r="S76" i="73"/>
  <c r="G76" i="73"/>
  <c r="F76" i="73"/>
  <c r="D76" i="73"/>
  <c r="J76" i="73" s="1"/>
  <c r="AU76" i="73" s="1"/>
  <c r="AV76" i="73" s="1"/>
  <c r="AW76" i="73" s="1"/>
  <c r="AX76" i="73" s="1"/>
  <c r="AY76" i="73" s="1"/>
  <c r="AZ76" i="73" s="1"/>
  <c r="C76" i="73"/>
  <c r="I76" i="73" s="1"/>
  <c r="B76" i="73"/>
  <c r="CU75" i="73"/>
  <c r="CT75" i="73"/>
  <c r="BK75" i="73"/>
  <c r="AE75" i="73"/>
  <c r="AD75" i="73"/>
  <c r="AC75" i="73"/>
  <c r="AB75" i="73"/>
  <c r="AA75" i="73"/>
  <c r="Z75" i="73"/>
  <c r="X75" i="73"/>
  <c r="BP75" i="73" s="1"/>
  <c r="CY75" i="73" s="1"/>
  <c r="W75" i="73"/>
  <c r="BO75" i="73" s="1"/>
  <c r="CX75" i="73" s="1"/>
  <c r="V75" i="73"/>
  <c r="U75" i="73"/>
  <c r="BM75" i="73" s="1"/>
  <c r="CV75" i="73" s="1"/>
  <c r="T75" i="73"/>
  <c r="BL75" i="73" s="1"/>
  <c r="S75" i="73"/>
  <c r="B75" i="73"/>
  <c r="CY74" i="73"/>
  <c r="CX74" i="73"/>
  <c r="CU74" i="73"/>
  <c r="CT74" i="73"/>
  <c r="BP74" i="73"/>
  <c r="BO74" i="73"/>
  <c r="BN74" i="73"/>
  <c r="CW74" i="73" s="1"/>
  <c r="BM74" i="73"/>
  <c r="CV74" i="73" s="1"/>
  <c r="BL74" i="73"/>
  <c r="BK74" i="73"/>
  <c r="AS74" i="73"/>
  <c r="AR74" i="73"/>
  <c r="AO74" i="73"/>
  <c r="AN74" i="73"/>
  <c r="AL74" i="73"/>
  <c r="AK74" i="73"/>
  <c r="AJ74" i="73"/>
  <c r="AQ74" i="73" s="1"/>
  <c r="AI74" i="73"/>
  <c r="AP74" i="73" s="1"/>
  <c r="AH74" i="73"/>
  <c r="AG74" i="73"/>
  <c r="B74" i="73"/>
  <c r="AE73" i="73"/>
  <c r="AL73" i="73" s="1"/>
  <c r="AS73" i="73" s="1"/>
  <c r="AD73" i="73"/>
  <c r="AC73" i="73"/>
  <c r="AB73" i="73"/>
  <c r="AA73" i="73"/>
  <c r="Z73" i="73"/>
  <c r="X73" i="73"/>
  <c r="BP73" i="73" s="1"/>
  <c r="CY73" i="73" s="1"/>
  <c r="W73" i="73"/>
  <c r="V73" i="73"/>
  <c r="AJ73" i="73" s="1"/>
  <c r="AQ73" i="73" s="1"/>
  <c r="U73" i="73"/>
  <c r="BM73" i="73" s="1"/>
  <c r="CV73" i="73" s="1"/>
  <c r="T73" i="73"/>
  <c r="BL73" i="73" s="1"/>
  <c r="CU73" i="73" s="1"/>
  <c r="S73" i="73"/>
  <c r="BK73" i="73" s="1"/>
  <c r="CT73" i="73" s="1"/>
  <c r="B73" i="73"/>
  <c r="AE72" i="73"/>
  <c r="AD72" i="73"/>
  <c r="AC72" i="73"/>
  <c r="AB72" i="73"/>
  <c r="AA72" i="73"/>
  <c r="Z72" i="73"/>
  <c r="X72" i="73"/>
  <c r="BP72" i="73" s="1"/>
  <c r="CY72" i="73" s="1"/>
  <c r="W72" i="73"/>
  <c r="V72" i="73"/>
  <c r="BN72" i="73" s="1"/>
  <c r="CW72" i="73" s="1"/>
  <c r="U72" i="73"/>
  <c r="BM72" i="73" s="1"/>
  <c r="CV72" i="73" s="1"/>
  <c r="T72" i="73"/>
  <c r="BL72" i="73" s="1"/>
  <c r="CU72" i="73" s="1"/>
  <c r="S72" i="73"/>
  <c r="B72" i="73"/>
  <c r="AE71" i="73"/>
  <c r="AD71" i="73"/>
  <c r="AC71" i="73"/>
  <c r="AB71" i="73"/>
  <c r="AA71" i="73"/>
  <c r="Z71" i="73"/>
  <c r="X71" i="73"/>
  <c r="BP71" i="73" s="1"/>
  <c r="CY71" i="73" s="1"/>
  <c r="W71" i="73"/>
  <c r="BO71" i="73" s="1"/>
  <c r="CX71" i="73" s="1"/>
  <c r="V71" i="73"/>
  <c r="U71" i="73"/>
  <c r="T71" i="73"/>
  <c r="BL71" i="73" s="1"/>
  <c r="CU71" i="73" s="1"/>
  <c r="S71" i="73"/>
  <c r="BK71" i="73" s="1"/>
  <c r="CT71" i="73" s="1"/>
  <c r="B71" i="73"/>
  <c r="CW70" i="73"/>
  <c r="BP70" i="73"/>
  <c r="CY70" i="73" s="1"/>
  <c r="BO70" i="73"/>
  <c r="CX70" i="73" s="1"/>
  <c r="BN70" i="73"/>
  <c r="BM70" i="73"/>
  <c r="CV70" i="73" s="1"/>
  <c r="BL70" i="73"/>
  <c r="BK70" i="73"/>
  <c r="CT70" i="73" s="1"/>
  <c r="AR70" i="73"/>
  <c r="AQ70" i="73"/>
  <c r="AN70" i="73"/>
  <c r="AL70" i="73"/>
  <c r="AS70" i="73" s="1"/>
  <c r="AK70" i="73"/>
  <c r="AJ70" i="73"/>
  <c r="AI70" i="73"/>
  <c r="AP70" i="73" s="1"/>
  <c r="AH70" i="73"/>
  <c r="AO70" i="73" s="1"/>
  <c r="AG70" i="73"/>
  <c r="B70" i="73"/>
  <c r="AE69" i="73"/>
  <c r="AD69" i="73"/>
  <c r="AC69" i="73"/>
  <c r="AB69" i="73"/>
  <c r="AA69" i="73"/>
  <c r="Z69" i="73"/>
  <c r="X69" i="73"/>
  <c r="W69" i="73"/>
  <c r="BO69" i="73" s="1"/>
  <c r="CX69" i="73" s="1"/>
  <c r="V69" i="73"/>
  <c r="BN69" i="73" s="1"/>
  <c r="CW69" i="73" s="1"/>
  <c r="U69" i="73"/>
  <c r="BM69" i="73" s="1"/>
  <c r="CV69" i="73" s="1"/>
  <c r="T69" i="73"/>
  <c r="S69" i="73"/>
  <c r="B69" i="73"/>
  <c r="CY68" i="73"/>
  <c r="BK68" i="73"/>
  <c r="CT68" i="73" s="1"/>
  <c r="AG68" i="73"/>
  <c r="AN68" i="73" s="1"/>
  <c r="AE68" i="73"/>
  <c r="AD68" i="73"/>
  <c r="AC68" i="73"/>
  <c r="AB68" i="73"/>
  <c r="AA68" i="73"/>
  <c r="X68" i="73"/>
  <c r="BP68" i="73" s="1"/>
  <c r="W68" i="73"/>
  <c r="BO68" i="73" s="1"/>
  <c r="CX68" i="73" s="1"/>
  <c r="V68" i="73"/>
  <c r="U68" i="73"/>
  <c r="T68" i="73"/>
  <c r="BL68" i="73" s="1"/>
  <c r="CU68" i="73" s="1"/>
  <c r="B68" i="73"/>
  <c r="CD67" i="73"/>
  <c r="CC67" i="73"/>
  <c r="AL67" i="73"/>
  <c r="AS67" i="73" s="1"/>
  <c r="AE67" i="73"/>
  <c r="CF67" i="73" s="1"/>
  <c r="AD67" i="73"/>
  <c r="CE67" i="73" s="1"/>
  <c r="AC67" i="73"/>
  <c r="AB67" i="73"/>
  <c r="AA67" i="73"/>
  <c r="CB67" i="73" s="1"/>
  <c r="CK67" i="73" s="1"/>
  <c r="Z67" i="73"/>
  <c r="X67" i="73"/>
  <c r="BP67" i="73" s="1"/>
  <c r="W67" i="73"/>
  <c r="CN67" i="73" s="1"/>
  <c r="V67" i="73"/>
  <c r="U67" i="73"/>
  <c r="BM67" i="73" s="1"/>
  <c r="T67" i="73"/>
  <c r="S67" i="73"/>
  <c r="O67" i="73"/>
  <c r="N67" i="73"/>
  <c r="M67" i="73"/>
  <c r="D67" i="73"/>
  <c r="C67" i="73"/>
  <c r="B67" i="73"/>
  <c r="CF66" i="73"/>
  <c r="AE66" i="73"/>
  <c r="AD66" i="73"/>
  <c r="CE66" i="73" s="1"/>
  <c r="CN66" i="73" s="1"/>
  <c r="AC66" i="73"/>
  <c r="CD66" i="73" s="1"/>
  <c r="CM66" i="73" s="1"/>
  <c r="AB66" i="73"/>
  <c r="CC66" i="73" s="1"/>
  <c r="AA66" i="73"/>
  <c r="CB66" i="73" s="1"/>
  <c r="Z66" i="73"/>
  <c r="X66" i="73"/>
  <c r="BP66" i="73" s="1"/>
  <c r="W66" i="73"/>
  <c r="V66" i="73"/>
  <c r="BN66" i="73" s="1"/>
  <c r="U66" i="73"/>
  <c r="BM66" i="73" s="1"/>
  <c r="T66" i="73"/>
  <c r="S66" i="73"/>
  <c r="M66" i="73"/>
  <c r="N66" i="73" s="1"/>
  <c r="O66" i="73" s="1"/>
  <c r="D66" i="73"/>
  <c r="C66" i="73"/>
  <c r="B66" i="73"/>
  <c r="CV65" i="73"/>
  <c r="CU65" i="73"/>
  <c r="BP65" i="73"/>
  <c r="CY65" i="73" s="1"/>
  <c r="BO65" i="73"/>
  <c r="CX65" i="73" s="1"/>
  <c r="BN65" i="73"/>
  <c r="CW65" i="73" s="1"/>
  <c r="BM65" i="73"/>
  <c r="BL65" i="73"/>
  <c r="BK65" i="73"/>
  <c r="AQ65" i="73"/>
  <c r="AP65" i="73"/>
  <c r="AL65" i="73"/>
  <c r="AS65" i="73" s="1"/>
  <c r="AK65" i="73"/>
  <c r="AR65" i="73" s="1"/>
  <c r="AJ65" i="73"/>
  <c r="AI65" i="73"/>
  <c r="AH65" i="73"/>
  <c r="AO65" i="73" s="1"/>
  <c r="AG65" i="73"/>
  <c r="AN65" i="73" s="1"/>
  <c r="CT64" i="73"/>
  <c r="BN64" i="73"/>
  <c r="CW64" i="73" s="1"/>
  <c r="BK64" i="73"/>
  <c r="AN64" i="73"/>
  <c r="AJ64" i="73"/>
  <c r="AQ64" i="73" s="1"/>
  <c r="AG64" i="73"/>
  <c r="AE64" i="73"/>
  <c r="AD64" i="73"/>
  <c r="AC64" i="73"/>
  <c r="AB64" i="73"/>
  <c r="AA64" i="73"/>
  <c r="X64" i="73"/>
  <c r="W64" i="73"/>
  <c r="BO64" i="73" s="1"/>
  <c r="CX64" i="73" s="1"/>
  <c r="V64" i="73"/>
  <c r="U64" i="73"/>
  <c r="T64" i="73"/>
  <c r="B64" i="73"/>
  <c r="BP63" i="73"/>
  <c r="BK63" i="73"/>
  <c r="AE63" i="73"/>
  <c r="CF63" i="73" s="1"/>
  <c r="AD63" i="73"/>
  <c r="CE63" i="73" s="1"/>
  <c r="AC63" i="73"/>
  <c r="CD63" i="73" s="1"/>
  <c r="AB63" i="73"/>
  <c r="CC63" i="73" s="1"/>
  <c r="AA63" i="73"/>
  <c r="Z63" i="73"/>
  <c r="CA63" i="73" s="1"/>
  <c r="X63" i="73"/>
  <c r="W63" i="73"/>
  <c r="BO63" i="73" s="1"/>
  <c r="V63" i="73"/>
  <c r="BN63" i="73" s="1"/>
  <c r="U63" i="73"/>
  <c r="BM63" i="73" s="1"/>
  <c r="T63" i="73"/>
  <c r="S63" i="73"/>
  <c r="D63" i="73"/>
  <c r="C63" i="73"/>
  <c r="B63" i="73"/>
  <c r="CE62" i="73"/>
  <c r="AE62" i="73"/>
  <c r="CF62" i="73" s="1"/>
  <c r="AD62" i="73"/>
  <c r="AC62" i="73"/>
  <c r="AJ62" i="73" s="1"/>
  <c r="AQ62" i="73" s="1"/>
  <c r="AB62" i="73"/>
  <c r="CC62" i="73" s="1"/>
  <c r="AA62" i="73"/>
  <c r="CB62" i="73" s="1"/>
  <c r="Z62" i="73"/>
  <c r="CA62" i="73" s="1"/>
  <c r="CJ62" i="73" s="1"/>
  <c r="X62" i="73"/>
  <c r="BP62" i="73" s="1"/>
  <c r="W62" i="73"/>
  <c r="BO62" i="73" s="1"/>
  <c r="V62" i="73"/>
  <c r="U62" i="73"/>
  <c r="T62" i="73"/>
  <c r="S62" i="73"/>
  <c r="BK62" i="73" s="1"/>
  <c r="D62" i="73"/>
  <c r="C62" i="73"/>
  <c r="B62" i="73"/>
  <c r="CA61" i="73"/>
  <c r="AE61" i="73"/>
  <c r="CF61" i="73" s="1"/>
  <c r="AD61" i="73"/>
  <c r="CE61" i="73" s="1"/>
  <c r="CN61" i="73" s="1"/>
  <c r="AC61" i="73"/>
  <c r="CD61" i="73" s="1"/>
  <c r="AB61" i="73"/>
  <c r="CC61" i="73" s="1"/>
  <c r="AA61" i="73"/>
  <c r="CB61" i="73" s="1"/>
  <c r="Z61" i="73"/>
  <c r="X61" i="73"/>
  <c r="BP61" i="73" s="1"/>
  <c r="W61" i="73"/>
  <c r="BO61" i="73" s="1"/>
  <c r="V61" i="73"/>
  <c r="BN61" i="73" s="1"/>
  <c r="U61" i="73"/>
  <c r="BM61" i="73" s="1"/>
  <c r="T61" i="73"/>
  <c r="S61" i="73"/>
  <c r="D61" i="73"/>
  <c r="C61" i="73"/>
  <c r="B61" i="73"/>
  <c r="CE60" i="73"/>
  <c r="CN60" i="73" s="1"/>
  <c r="CD60" i="73"/>
  <c r="AE60" i="73"/>
  <c r="CF60" i="73" s="1"/>
  <c r="AD60" i="73"/>
  <c r="AC60" i="73"/>
  <c r="AJ60" i="73" s="1"/>
  <c r="AQ60" i="73" s="1"/>
  <c r="AB60" i="73"/>
  <c r="CC60" i="73" s="1"/>
  <c r="AA60" i="73"/>
  <c r="CB60" i="73" s="1"/>
  <c r="Z60" i="73"/>
  <c r="CA60" i="73" s="1"/>
  <c r="CJ60" i="73" s="1"/>
  <c r="X60" i="73"/>
  <c r="BP60" i="73" s="1"/>
  <c r="W60" i="73"/>
  <c r="BO60" i="73" s="1"/>
  <c r="V60" i="73"/>
  <c r="U60" i="73"/>
  <c r="T60" i="73"/>
  <c r="S60" i="73"/>
  <c r="BK60" i="73" s="1"/>
  <c r="O60" i="73"/>
  <c r="N60" i="73"/>
  <c r="M60" i="73"/>
  <c r="D60" i="73"/>
  <c r="C60" i="73"/>
  <c r="B60" i="73"/>
  <c r="CE59" i="73"/>
  <c r="BN59" i="73"/>
  <c r="BK59" i="73"/>
  <c r="AE59" i="73"/>
  <c r="CF59" i="73" s="1"/>
  <c r="AD59" i="73"/>
  <c r="AC59" i="73"/>
  <c r="CD59" i="73" s="1"/>
  <c r="AB59" i="73"/>
  <c r="CC59" i="73" s="1"/>
  <c r="CL59" i="73" s="1"/>
  <c r="AA59" i="73"/>
  <c r="CB59" i="73" s="1"/>
  <c r="Z59" i="73"/>
  <c r="X59" i="73"/>
  <c r="BP59" i="73" s="1"/>
  <c r="W59" i="73"/>
  <c r="CN59" i="73" s="1"/>
  <c r="V59" i="73"/>
  <c r="U59" i="73"/>
  <c r="BM59" i="73" s="1"/>
  <c r="T59" i="73"/>
  <c r="BL59" i="73" s="1"/>
  <c r="S59" i="73"/>
  <c r="O59" i="73"/>
  <c r="N59" i="73"/>
  <c r="M59" i="73"/>
  <c r="D59" i="73"/>
  <c r="C59" i="73"/>
  <c r="B59" i="73"/>
  <c r="CY58" i="73"/>
  <c r="CU58" i="73"/>
  <c r="CT58" i="73"/>
  <c r="BP58" i="73"/>
  <c r="BO58" i="73"/>
  <c r="CX58" i="73" s="1"/>
  <c r="BN58" i="73"/>
  <c r="CW58" i="73" s="1"/>
  <c r="BM58" i="73"/>
  <c r="CV58" i="73" s="1"/>
  <c r="BL58" i="73"/>
  <c r="BK58" i="73"/>
  <c r="AS58" i="73"/>
  <c r="AP58" i="73"/>
  <c r="AO58" i="73"/>
  <c r="AL58" i="73"/>
  <c r="AK58" i="73"/>
  <c r="AR58" i="73" s="1"/>
  <c r="AJ58" i="73"/>
  <c r="AQ58" i="73" s="1"/>
  <c r="AI58" i="73"/>
  <c r="AH58" i="73"/>
  <c r="AG58" i="73"/>
  <c r="AN58" i="73" s="1"/>
  <c r="CW57" i="73"/>
  <c r="CZ57" i="73" s="1"/>
  <c r="BP57" i="73"/>
  <c r="CY57" i="73" s="1"/>
  <c r="BO57" i="73"/>
  <c r="CX57" i="73" s="1"/>
  <c r="BN57" i="73"/>
  <c r="BM57" i="73"/>
  <c r="CV57" i="73" s="1"/>
  <c r="BL57" i="73"/>
  <c r="CU57" i="73" s="1"/>
  <c r="BK57" i="73"/>
  <c r="CT57" i="73" s="1"/>
  <c r="AR57" i="73"/>
  <c r="AQ57" i="73"/>
  <c r="AN57" i="73"/>
  <c r="AL57" i="73"/>
  <c r="AS57" i="73" s="1"/>
  <c r="AK57" i="73"/>
  <c r="AJ57" i="73"/>
  <c r="AI57" i="73"/>
  <c r="AP57" i="73" s="1"/>
  <c r="AH57" i="73"/>
  <c r="AO57" i="73" s="1"/>
  <c r="AG57" i="73"/>
  <c r="B57" i="73"/>
  <c r="BP56" i="73"/>
  <c r="BM56" i="73"/>
  <c r="AH56" i="73"/>
  <c r="AO56" i="73" s="1"/>
  <c r="AE56" i="73"/>
  <c r="AD56" i="73"/>
  <c r="AC56" i="73"/>
  <c r="CD56" i="73" s="1"/>
  <c r="CM56" i="73" s="1"/>
  <c r="AB56" i="73"/>
  <c r="AA56" i="73"/>
  <c r="Z56" i="73"/>
  <c r="X56" i="73"/>
  <c r="AL56" i="73" s="1"/>
  <c r="AS56" i="73" s="1"/>
  <c r="W56" i="73"/>
  <c r="BO56" i="73" s="1"/>
  <c r="V56" i="73"/>
  <c r="BN56" i="73" s="1"/>
  <c r="U56" i="73"/>
  <c r="T56" i="73"/>
  <c r="BL56" i="73" s="1"/>
  <c r="S56" i="73"/>
  <c r="BK56" i="73" s="1"/>
  <c r="N56" i="73"/>
  <c r="O56" i="73" s="1"/>
  <c r="M56" i="73"/>
  <c r="L56" i="73"/>
  <c r="D56" i="73"/>
  <c r="C56" i="73"/>
  <c r="B56" i="73"/>
  <c r="CE55" i="73"/>
  <c r="CD55" i="73"/>
  <c r="BO55" i="73"/>
  <c r="BK55" i="73"/>
  <c r="AE55" i="73"/>
  <c r="CF55" i="73" s="1"/>
  <c r="CO55" i="73" s="1"/>
  <c r="AD55" i="73"/>
  <c r="AC55" i="73"/>
  <c r="AB55" i="73"/>
  <c r="CC55" i="73" s="1"/>
  <c r="AA55" i="73"/>
  <c r="CB55" i="73" s="1"/>
  <c r="CK55" i="73" s="1"/>
  <c r="Z55" i="73"/>
  <c r="CA55" i="73" s="1"/>
  <c r="X55" i="73"/>
  <c r="BP55" i="73" s="1"/>
  <c r="W55" i="73"/>
  <c r="AK55" i="73" s="1"/>
  <c r="AR55" i="73" s="1"/>
  <c r="V55" i="73"/>
  <c r="U55" i="73"/>
  <c r="BM55" i="73" s="1"/>
  <c r="T55" i="73"/>
  <c r="BL55" i="73" s="1"/>
  <c r="S55" i="73"/>
  <c r="D55" i="73"/>
  <c r="C55" i="73"/>
  <c r="B55" i="73"/>
  <c r="CF54" i="73"/>
  <c r="CB54" i="73"/>
  <c r="AE54" i="73"/>
  <c r="AD54" i="73"/>
  <c r="CE54" i="73" s="1"/>
  <c r="AC54" i="73"/>
  <c r="CD54" i="73" s="1"/>
  <c r="CM54" i="73" s="1"/>
  <c r="AB54" i="73"/>
  <c r="AA54" i="73"/>
  <c r="Z54" i="73"/>
  <c r="CA54" i="73" s="1"/>
  <c r="X54" i="73"/>
  <c r="AL54" i="73" s="1"/>
  <c r="AS54" i="73" s="1"/>
  <c r="W54" i="73"/>
  <c r="BO54" i="73" s="1"/>
  <c r="V54" i="73"/>
  <c r="BN54" i="73" s="1"/>
  <c r="U54" i="73"/>
  <c r="T54" i="73"/>
  <c r="S54" i="73"/>
  <c r="BK54" i="73" s="1"/>
  <c r="M54" i="73"/>
  <c r="N54" i="73" s="1"/>
  <c r="O54" i="73" s="1"/>
  <c r="L54" i="73"/>
  <c r="D54" i="73"/>
  <c r="C54" i="73"/>
  <c r="B54" i="73"/>
  <c r="CF53" i="73"/>
  <c r="CO53" i="73" s="1"/>
  <c r="CD53" i="73"/>
  <c r="AJ53" i="73"/>
  <c r="AQ53" i="73" s="1"/>
  <c r="AE53" i="73"/>
  <c r="AD53" i="73"/>
  <c r="CE53" i="73" s="1"/>
  <c r="AC53" i="73"/>
  <c r="AB53" i="73"/>
  <c r="CC53" i="73" s="1"/>
  <c r="AA53" i="73"/>
  <c r="CB53" i="73" s="1"/>
  <c r="CK53" i="73" s="1"/>
  <c r="Z53" i="73"/>
  <c r="CA53" i="73" s="1"/>
  <c r="X53" i="73"/>
  <c r="BP53" i="73" s="1"/>
  <c r="W53" i="73"/>
  <c r="BO53" i="73" s="1"/>
  <c r="V53" i="73"/>
  <c r="U53" i="73"/>
  <c r="T53" i="73"/>
  <c r="BL53" i="73" s="1"/>
  <c r="S53" i="73"/>
  <c r="BK53" i="73" s="1"/>
  <c r="D53" i="73"/>
  <c r="C53" i="73"/>
  <c r="B53" i="73"/>
  <c r="CD52" i="73"/>
  <c r="BM52" i="73"/>
  <c r="BL52" i="73"/>
  <c r="AE52" i="73"/>
  <c r="CF52" i="73" s="1"/>
  <c r="AD52" i="73"/>
  <c r="CE52" i="73" s="1"/>
  <c r="AC52" i="73"/>
  <c r="AB52" i="73"/>
  <c r="CC52" i="73" s="1"/>
  <c r="AA52" i="73"/>
  <c r="CB52" i="73" s="1"/>
  <c r="Z52" i="73"/>
  <c r="CA52" i="73" s="1"/>
  <c r="X52" i="73"/>
  <c r="W52" i="73"/>
  <c r="V52" i="73"/>
  <c r="BN52" i="73" s="1"/>
  <c r="U52" i="73"/>
  <c r="T52" i="73"/>
  <c r="S52" i="73"/>
  <c r="D52" i="73"/>
  <c r="C52" i="73"/>
  <c r="B52" i="73"/>
  <c r="CB51" i="73"/>
  <c r="BM51" i="73"/>
  <c r="AE51" i="73"/>
  <c r="CF51" i="73" s="1"/>
  <c r="AD51" i="73"/>
  <c r="CE51" i="73" s="1"/>
  <c r="AC51" i="73"/>
  <c r="CD51" i="73" s="1"/>
  <c r="CM51" i="73" s="1"/>
  <c r="AB51" i="73"/>
  <c r="CC51" i="73" s="1"/>
  <c r="CL51" i="73" s="1"/>
  <c r="CV51" i="73" s="1"/>
  <c r="AA51" i="73"/>
  <c r="Z51" i="73"/>
  <c r="CA51" i="73" s="1"/>
  <c r="X51" i="73"/>
  <c r="W51" i="73"/>
  <c r="V51" i="73"/>
  <c r="BN51" i="73" s="1"/>
  <c r="U51" i="73"/>
  <c r="T51" i="73"/>
  <c r="AH51" i="73" s="1"/>
  <c r="AO51" i="73" s="1"/>
  <c r="S51" i="73"/>
  <c r="D51" i="73"/>
  <c r="C51" i="73"/>
  <c r="B51" i="73"/>
  <c r="BN50" i="73"/>
  <c r="CW50" i="73" s="1"/>
  <c r="AE50" i="73"/>
  <c r="AD50" i="73"/>
  <c r="AC50" i="73"/>
  <c r="BE50" i="73" s="1"/>
  <c r="AB50" i="73"/>
  <c r="BD50" i="73" s="1"/>
  <c r="AA50" i="73"/>
  <c r="BC50" i="73" s="1"/>
  <c r="Z50" i="73"/>
  <c r="X50" i="73"/>
  <c r="W50" i="73"/>
  <c r="V50" i="73"/>
  <c r="AJ50" i="73" s="1"/>
  <c r="AQ50" i="73" s="1"/>
  <c r="U50" i="73"/>
  <c r="T50" i="73"/>
  <c r="S50" i="73"/>
  <c r="G50" i="73"/>
  <c r="F50" i="73"/>
  <c r="D50" i="73"/>
  <c r="C50" i="73"/>
  <c r="B50" i="73"/>
  <c r="CD49" i="73"/>
  <c r="CC49" i="73"/>
  <c r="AE49" i="73"/>
  <c r="CF49" i="73" s="1"/>
  <c r="CO49" i="73" s="1"/>
  <c r="AD49" i="73"/>
  <c r="CE49" i="73" s="1"/>
  <c r="CN49" i="73" s="1"/>
  <c r="AC49" i="73"/>
  <c r="AB49" i="73"/>
  <c r="AA49" i="73"/>
  <c r="CB49" i="73" s="1"/>
  <c r="CK49" i="73" s="1"/>
  <c r="Z49" i="73"/>
  <c r="CA49" i="73" s="1"/>
  <c r="CJ49" i="73" s="1"/>
  <c r="X49" i="73"/>
  <c r="BP49" i="73" s="1"/>
  <c r="W49" i="73"/>
  <c r="BO49" i="73" s="1"/>
  <c r="V49" i="73"/>
  <c r="U49" i="73"/>
  <c r="T49" i="73"/>
  <c r="BL49" i="73" s="1"/>
  <c r="S49" i="73"/>
  <c r="BK49" i="73" s="1"/>
  <c r="D49" i="73"/>
  <c r="C49" i="73"/>
  <c r="B49" i="73"/>
  <c r="AE48" i="73"/>
  <c r="CF48" i="73" s="1"/>
  <c r="AD48" i="73"/>
  <c r="AC48" i="73"/>
  <c r="CD48" i="73" s="1"/>
  <c r="AB48" i="73"/>
  <c r="CC48" i="73" s="1"/>
  <c r="CL48" i="73" s="1"/>
  <c r="AA48" i="73"/>
  <c r="CB48" i="73" s="1"/>
  <c r="Z48" i="73"/>
  <c r="X48" i="73"/>
  <c r="W48" i="73"/>
  <c r="BO48" i="73" s="1"/>
  <c r="V48" i="73"/>
  <c r="U48" i="73"/>
  <c r="BM48" i="73" s="1"/>
  <c r="T48" i="73"/>
  <c r="BL48" i="73" s="1"/>
  <c r="S48" i="73"/>
  <c r="M48" i="73"/>
  <c r="L48" i="73"/>
  <c r="D48" i="73"/>
  <c r="C48" i="73"/>
  <c r="B48" i="73"/>
  <c r="CE47" i="73"/>
  <c r="CD47" i="73"/>
  <c r="AE47" i="73"/>
  <c r="CF47" i="73" s="1"/>
  <c r="CO47" i="73" s="1"/>
  <c r="AD47" i="73"/>
  <c r="AC47" i="73"/>
  <c r="AB47" i="73"/>
  <c r="CC47" i="73" s="1"/>
  <c r="AA47" i="73"/>
  <c r="CB47" i="73" s="1"/>
  <c r="Z47" i="73"/>
  <c r="CA47" i="73" s="1"/>
  <c r="X47" i="73"/>
  <c r="BP47" i="73" s="1"/>
  <c r="W47" i="73"/>
  <c r="BO47" i="73" s="1"/>
  <c r="V47" i="73"/>
  <c r="U47" i="73"/>
  <c r="T47" i="73"/>
  <c r="BL47" i="73" s="1"/>
  <c r="S47" i="73"/>
  <c r="BK47" i="73" s="1"/>
  <c r="D47" i="73"/>
  <c r="C47" i="73"/>
  <c r="B47" i="73"/>
  <c r="CA46" i="73"/>
  <c r="BP46" i="73"/>
  <c r="AH46" i="73"/>
  <c r="AO46" i="73" s="1"/>
  <c r="AE46" i="73"/>
  <c r="CF46" i="73" s="1"/>
  <c r="AD46" i="73"/>
  <c r="CE46" i="73" s="1"/>
  <c r="AC46" i="73"/>
  <c r="CD46" i="73" s="1"/>
  <c r="AB46" i="73"/>
  <c r="CC46" i="73" s="1"/>
  <c r="CL46" i="73" s="1"/>
  <c r="AA46" i="73"/>
  <c r="CB46" i="73" s="1"/>
  <c r="Z46" i="73"/>
  <c r="X46" i="73"/>
  <c r="W46" i="73"/>
  <c r="V46" i="73"/>
  <c r="BN46" i="73" s="1"/>
  <c r="U46" i="73"/>
  <c r="BM46" i="73" s="1"/>
  <c r="T46" i="73"/>
  <c r="S46" i="73"/>
  <c r="D46" i="73"/>
  <c r="C46" i="73"/>
  <c r="B46" i="73"/>
  <c r="CK45" i="73"/>
  <c r="CE45" i="73"/>
  <c r="CN45" i="73" s="1"/>
  <c r="CC45" i="73"/>
  <c r="CA45" i="73"/>
  <c r="CJ45" i="73" s="1"/>
  <c r="AJ45" i="73"/>
  <c r="AQ45" i="73" s="1"/>
  <c r="AE45" i="73"/>
  <c r="CF45" i="73" s="1"/>
  <c r="AD45" i="73"/>
  <c r="AC45" i="73"/>
  <c r="CD45" i="73" s="1"/>
  <c r="AB45" i="73"/>
  <c r="AA45" i="73"/>
  <c r="CB45" i="73" s="1"/>
  <c r="Z45" i="73"/>
  <c r="X45" i="73"/>
  <c r="BP45" i="73" s="1"/>
  <c r="W45" i="73"/>
  <c r="BO45" i="73" s="1"/>
  <c r="V45" i="73"/>
  <c r="U45" i="73"/>
  <c r="T45" i="73"/>
  <c r="BL45" i="73" s="1"/>
  <c r="S45" i="73"/>
  <c r="BK45" i="73" s="1"/>
  <c r="D45" i="73"/>
  <c r="C45" i="73"/>
  <c r="B45" i="73"/>
  <c r="CE44" i="73"/>
  <c r="AE44" i="73"/>
  <c r="CF44" i="73" s="1"/>
  <c r="AD44" i="73"/>
  <c r="AC44" i="73"/>
  <c r="CD44" i="73" s="1"/>
  <c r="AB44" i="73"/>
  <c r="CC44" i="73" s="1"/>
  <c r="CL44" i="73" s="1"/>
  <c r="AA44" i="73"/>
  <c r="CB44" i="73" s="1"/>
  <c r="Z44" i="73"/>
  <c r="CA44" i="73" s="1"/>
  <c r="X44" i="73"/>
  <c r="W44" i="73"/>
  <c r="V44" i="73"/>
  <c r="BN44" i="73" s="1"/>
  <c r="U44" i="73"/>
  <c r="BM44" i="73" s="1"/>
  <c r="T44" i="73"/>
  <c r="S44" i="73"/>
  <c r="N44" i="73"/>
  <c r="M44" i="73"/>
  <c r="D44" i="73"/>
  <c r="C44" i="73"/>
  <c r="B44" i="73"/>
  <c r="CB43" i="73"/>
  <c r="AE43" i="73"/>
  <c r="CF43" i="73" s="1"/>
  <c r="AD43" i="73"/>
  <c r="CE43" i="73" s="1"/>
  <c r="AC43" i="73"/>
  <c r="CD43" i="73" s="1"/>
  <c r="CM43" i="73" s="1"/>
  <c r="AB43" i="73"/>
  <c r="CC43" i="73" s="1"/>
  <c r="AA43" i="73"/>
  <c r="Z43" i="73"/>
  <c r="CA43" i="73" s="1"/>
  <c r="X43" i="73"/>
  <c r="BP43" i="73" s="1"/>
  <c r="W43" i="73"/>
  <c r="V43" i="73"/>
  <c r="BN43" i="73" s="1"/>
  <c r="U43" i="73"/>
  <c r="BM43" i="73" s="1"/>
  <c r="T43" i="73"/>
  <c r="AH43" i="73" s="1"/>
  <c r="AO43" i="73" s="1"/>
  <c r="S43" i="73"/>
  <c r="N43" i="73"/>
  <c r="M43" i="73"/>
  <c r="D43" i="73"/>
  <c r="C43" i="73"/>
  <c r="B43" i="73"/>
  <c r="BL42" i="73"/>
  <c r="AE42" i="73"/>
  <c r="CF42" i="73" s="1"/>
  <c r="AD42" i="73"/>
  <c r="CE42" i="73" s="1"/>
  <c r="AC42" i="73"/>
  <c r="CD42" i="73" s="1"/>
  <c r="AB42" i="73"/>
  <c r="CC42" i="73" s="1"/>
  <c r="CL42" i="73" s="1"/>
  <c r="AA42" i="73"/>
  <c r="CB42" i="73" s="1"/>
  <c r="Z42" i="73"/>
  <c r="X42" i="73"/>
  <c r="W42" i="73"/>
  <c r="CN42" i="73" s="1"/>
  <c r="V42" i="73"/>
  <c r="U42" i="73"/>
  <c r="BM42" i="73" s="1"/>
  <c r="T42" i="73"/>
  <c r="S42" i="73"/>
  <c r="M42" i="73"/>
  <c r="L42" i="73"/>
  <c r="D42" i="73"/>
  <c r="C42" i="73"/>
  <c r="B42" i="73"/>
  <c r="BC41" i="73"/>
  <c r="AJ41" i="73"/>
  <c r="AQ41" i="73" s="1"/>
  <c r="AE41" i="73"/>
  <c r="BG41" i="73" s="1"/>
  <c r="BP41" i="73" s="1"/>
  <c r="CY41" i="73" s="1"/>
  <c r="AD41" i="73"/>
  <c r="BF41" i="73" s="1"/>
  <c r="AC41" i="73"/>
  <c r="AB41" i="73"/>
  <c r="BD41" i="73" s="1"/>
  <c r="AA41" i="73"/>
  <c r="Z41" i="73"/>
  <c r="X41" i="73"/>
  <c r="AL41" i="73" s="1"/>
  <c r="AS41" i="73" s="1"/>
  <c r="W41" i="73"/>
  <c r="V41" i="73"/>
  <c r="U41" i="73"/>
  <c r="T41" i="73"/>
  <c r="AH41" i="73" s="1"/>
  <c r="AO41" i="73" s="1"/>
  <c r="S41" i="73"/>
  <c r="G41" i="73"/>
  <c r="F41" i="73"/>
  <c r="D41" i="73"/>
  <c r="C41" i="73"/>
  <c r="I41" i="73" s="1"/>
  <c r="B41" i="73"/>
  <c r="CF40" i="73"/>
  <c r="AE40" i="73"/>
  <c r="AD40" i="73"/>
  <c r="CE40" i="73" s="1"/>
  <c r="AC40" i="73"/>
  <c r="CD40" i="73" s="1"/>
  <c r="CM40" i="73" s="1"/>
  <c r="AB40" i="73"/>
  <c r="CC40" i="73" s="1"/>
  <c r="AA40" i="73"/>
  <c r="CB40" i="73" s="1"/>
  <c r="Z40" i="73"/>
  <c r="CA40" i="73" s="1"/>
  <c r="X40" i="73"/>
  <c r="W40" i="73"/>
  <c r="V40" i="73"/>
  <c r="BN40" i="73" s="1"/>
  <c r="U40" i="73"/>
  <c r="T40" i="73"/>
  <c r="S40" i="73"/>
  <c r="D40" i="73"/>
  <c r="C40" i="73"/>
  <c r="B40" i="73"/>
  <c r="BM39" i="73"/>
  <c r="CV39" i="73" s="1"/>
  <c r="AE39" i="73"/>
  <c r="BG39" i="73" s="1"/>
  <c r="AD39" i="73"/>
  <c r="BF39" i="73" s="1"/>
  <c r="AC39" i="73"/>
  <c r="AB39" i="73"/>
  <c r="BD39" i="73" s="1"/>
  <c r="AA39" i="73"/>
  <c r="BC39" i="73" s="1"/>
  <c r="Z39" i="73"/>
  <c r="X39" i="73"/>
  <c r="AL39" i="73" s="1"/>
  <c r="AS39" i="73" s="1"/>
  <c r="W39" i="73"/>
  <c r="AK39" i="73" s="1"/>
  <c r="AR39" i="73" s="1"/>
  <c r="V39" i="73"/>
  <c r="AJ39" i="73" s="1"/>
  <c r="AQ39" i="73" s="1"/>
  <c r="U39" i="73"/>
  <c r="T39" i="73"/>
  <c r="S39" i="73"/>
  <c r="G39" i="73"/>
  <c r="F39" i="73"/>
  <c r="D39" i="73"/>
  <c r="C39" i="73"/>
  <c r="B39" i="73"/>
  <c r="AE38" i="73"/>
  <c r="AD38" i="73"/>
  <c r="CE38" i="73" s="1"/>
  <c r="AC38" i="73"/>
  <c r="CD38" i="73" s="1"/>
  <c r="AB38" i="73"/>
  <c r="CC38" i="73" s="1"/>
  <c r="AA38" i="73"/>
  <c r="CB38" i="73" s="1"/>
  <c r="Z38" i="73"/>
  <c r="CA38" i="73" s="1"/>
  <c r="X38" i="73"/>
  <c r="BP38" i="73" s="1"/>
  <c r="W38" i="73"/>
  <c r="BO38" i="73" s="1"/>
  <c r="V38" i="73"/>
  <c r="U38" i="73"/>
  <c r="T38" i="73"/>
  <c r="BL38" i="73" s="1"/>
  <c r="S38" i="73"/>
  <c r="BK38" i="73" s="1"/>
  <c r="O38" i="73"/>
  <c r="N38" i="73"/>
  <c r="M38" i="73"/>
  <c r="L38" i="73"/>
  <c r="D38" i="73"/>
  <c r="C38" i="73"/>
  <c r="B38" i="73"/>
  <c r="BE37" i="73"/>
  <c r="BN37" i="73" s="1"/>
  <c r="CW37" i="73" s="1"/>
  <c r="AE37" i="73"/>
  <c r="BG37" i="73" s="1"/>
  <c r="AD37" i="73"/>
  <c r="BF37" i="73" s="1"/>
  <c r="BO37" i="73" s="1"/>
  <c r="CX37" i="73" s="1"/>
  <c r="AC37" i="73"/>
  <c r="AB37" i="73"/>
  <c r="BD37" i="73" s="1"/>
  <c r="AA37" i="73"/>
  <c r="BC37" i="73" s="1"/>
  <c r="Z37" i="73"/>
  <c r="X37" i="73"/>
  <c r="AL37" i="73" s="1"/>
  <c r="AS37" i="73" s="1"/>
  <c r="W37" i="73"/>
  <c r="V37" i="73"/>
  <c r="U37" i="73"/>
  <c r="T37" i="73"/>
  <c r="AH37" i="73" s="1"/>
  <c r="AO37" i="73" s="1"/>
  <c r="S37" i="73"/>
  <c r="G37" i="73"/>
  <c r="F37" i="73"/>
  <c r="D37" i="73"/>
  <c r="C37" i="73"/>
  <c r="B37" i="73"/>
  <c r="CE36" i="73"/>
  <c r="CA36" i="73"/>
  <c r="AE36" i="73"/>
  <c r="CF36" i="73" s="1"/>
  <c r="AD36" i="73"/>
  <c r="AC36" i="73"/>
  <c r="AB36" i="73"/>
  <c r="CC36" i="73" s="1"/>
  <c r="CL36" i="73" s="1"/>
  <c r="AA36" i="73"/>
  <c r="CB36" i="73" s="1"/>
  <c r="Z36" i="73"/>
  <c r="X36" i="73"/>
  <c r="BP36" i="73" s="1"/>
  <c r="W36" i="73"/>
  <c r="V36" i="73"/>
  <c r="U36" i="73"/>
  <c r="BM36" i="73" s="1"/>
  <c r="T36" i="73"/>
  <c r="BL36" i="73" s="1"/>
  <c r="S36" i="73"/>
  <c r="M36" i="73"/>
  <c r="L36" i="73"/>
  <c r="N36" i="73" s="1"/>
  <c r="O36" i="73" s="1"/>
  <c r="D36" i="73"/>
  <c r="C36" i="73"/>
  <c r="B36" i="73"/>
  <c r="CF35" i="73"/>
  <c r="AH35" i="73"/>
  <c r="AO35" i="73" s="1"/>
  <c r="AE35" i="73"/>
  <c r="AD35" i="73"/>
  <c r="CE35" i="73" s="1"/>
  <c r="AC35" i="73"/>
  <c r="CD35" i="73" s="1"/>
  <c r="CM35" i="73" s="1"/>
  <c r="AB35" i="73"/>
  <c r="AI35" i="73" s="1"/>
  <c r="AP35" i="73" s="1"/>
  <c r="AA35" i="73"/>
  <c r="CB35" i="73" s="1"/>
  <c r="Z35" i="73"/>
  <c r="CA35" i="73" s="1"/>
  <c r="X35" i="73"/>
  <c r="W35" i="73"/>
  <c r="V35" i="73"/>
  <c r="BN35" i="73" s="1"/>
  <c r="U35" i="73"/>
  <c r="BM35" i="73" s="1"/>
  <c r="T35" i="73"/>
  <c r="S35" i="73"/>
  <c r="BK35" i="73" s="1"/>
  <c r="N35" i="73"/>
  <c r="O35" i="73" s="1"/>
  <c r="M35" i="73"/>
  <c r="L35" i="73"/>
  <c r="D35" i="73"/>
  <c r="C35" i="73"/>
  <c r="B35" i="73"/>
  <c r="CL34" i="73"/>
  <c r="BK34" i="73"/>
  <c r="AE34" i="73"/>
  <c r="CF34" i="73" s="1"/>
  <c r="AD34" i="73"/>
  <c r="CE34" i="73" s="1"/>
  <c r="AC34" i="73"/>
  <c r="CD34" i="73" s="1"/>
  <c r="CM34" i="73" s="1"/>
  <c r="AB34" i="73"/>
  <c r="CC34" i="73" s="1"/>
  <c r="AA34" i="73"/>
  <c r="CB34" i="73" s="1"/>
  <c r="Z34" i="73"/>
  <c r="CA34" i="73" s="1"/>
  <c r="X34" i="73"/>
  <c r="BP34" i="73" s="1"/>
  <c r="W34" i="73"/>
  <c r="V34" i="73"/>
  <c r="U34" i="73"/>
  <c r="BM34" i="73" s="1"/>
  <c r="T34" i="73"/>
  <c r="BL34" i="73" s="1"/>
  <c r="S34" i="73"/>
  <c r="O34" i="73"/>
  <c r="N34" i="73"/>
  <c r="M34" i="73"/>
  <c r="D34" i="73"/>
  <c r="C34" i="73"/>
  <c r="B34" i="73"/>
  <c r="CN33" i="73"/>
  <c r="CE33" i="73"/>
  <c r="CA33" i="73"/>
  <c r="AE33" i="73"/>
  <c r="CF33" i="73" s="1"/>
  <c r="AD33" i="73"/>
  <c r="AC33" i="73"/>
  <c r="CD33" i="73" s="1"/>
  <c r="CM33" i="73" s="1"/>
  <c r="AB33" i="73"/>
  <c r="CC33" i="73" s="1"/>
  <c r="CL33" i="73" s="1"/>
  <c r="AA33" i="73"/>
  <c r="Z33" i="73"/>
  <c r="X33" i="73"/>
  <c r="AL33" i="73" s="1"/>
  <c r="AS33" i="73" s="1"/>
  <c r="W33" i="73"/>
  <c r="BO33" i="73" s="1"/>
  <c r="V33" i="73"/>
  <c r="BN33" i="73" s="1"/>
  <c r="U33" i="73"/>
  <c r="BM33" i="73" s="1"/>
  <c r="T33" i="73"/>
  <c r="BL33" i="73" s="1"/>
  <c r="S33" i="73"/>
  <c r="M33" i="73"/>
  <c r="L33" i="73"/>
  <c r="D33" i="73"/>
  <c r="C33" i="73"/>
  <c r="B33" i="73"/>
  <c r="CC32" i="73"/>
  <c r="AE32" i="73"/>
  <c r="CF32" i="73" s="1"/>
  <c r="AD32" i="73"/>
  <c r="CE32" i="73" s="1"/>
  <c r="AC32" i="73"/>
  <c r="CD32" i="73" s="1"/>
  <c r="AB32" i="73"/>
  <c r="AA32" i="73"/>
  <c r="Z32" i="73"/>
  <c r="X32" i="73"/>
  <c r="BP32" i="73" s="1"/>
  <c r="W32" i="73"/>
  <c r="BO32" i="73" s="1"/>
  <c r="V32" i="73"/>
  <c r="U32" i="73"/>
  <c r="T32" i="73"/>
  <c r="BL32" i="73" s="1"/>
  <c r="S32" i="73"/>
  <c r="BK32" i="73" s="1"/>
  <c r="O32" i="73"/>
  <c r="N32" i="73"/>
  <c r="M32" i="73"/>
  <c r="L32" i="73"/>
  <c r="D32" i="73"/>
  <c r="C32" i="73"/>
  <c r="B32" i="73"/>
  <c r="BP31" i="73"/>
  <c r="BO31" i="73"/>
  <c r="BN31" i="73"/>
  <c r="BM31" i="73"/>
  <c r="BL31" i="73"/>
  <c r="BK31" i="73"/>
  <c r="BQ31" i="73" s="1"/>
  <c r="AQ31" i="73"/>
  <c r="AP31" i="73"/>
  <c r="AL31" i="73"/>
  <c r="AS31" i="73" s="1"/>
  <c r="AK31" i="73"/>
  <c r="AR31" i="73" s="1"/>
  <c r="AJ31" i="73"/>
  <c r="AI31" i="73"/>
  <c r="AH31" i="73"/>
  <c r="AO31" i="73" s="1"/>
  <c r="AG31" i="73"/>
  <c r="AN31" i="73" s="1"/>
  <c r="BP30" i="73"/>
  <c r="BO30" i="73"/>
  <c r="BN30" i="73"/>
  <c r="BM30" i="73"/>
  <c r="BL30" i="73"/>
  <c r="BK30" i="73"/>
  <c r="AS30" i="73"/>
  <c r="AP30" i="73"/>
  <c r="AO30" i="73"/>
  <c r="AL30" i="73"/>
  <c r="AK30" i="73"/>
  <c r="AR30" i="73" s="1"/>
  <c r="AJ30" i="73"/>
  <c r="AQ30" i="73" s="1"/>
  <c r="AI30" i="73"/>
  <c r="AH30" i="73"/>
  <c r="AG30" i="73"/>
  <c r="AN30" i="73" s="1"/>
  <c r="AE29" i="73"/>
  <c r="BG29" i="73" s="1"/>
  <c r="BP29" i="73" s="1"/>
  <c r="CY29" i="73" s="1"/>
  <c r="AD29" i="73"/>
  <c r="BF29" i="73" s="1"/>
  <c r="AC29" i="73"/>
  <c r="BE29" i="73" s="1"/>
  <c r="AB29" i="73"/>
  <c r="BD29" i="73" s="1"/>
  <c r="AA29" i="73"/>
  <c r="BC29" i="73" s="1"/>
  <c r="BL29" i="73" s="1"/>
  <c r="CU29" i="73" s="1"/>
  <c r="Z29" i="73"/>
  <c r="X29" i="73"/>
  <c r="W29" i="73"/>
  <c r="V29" i="73"/>
  <c r="U29" i="73"/>
  <c r="T29" i="73"/>
  <c r="S29" i="73"/>
  <c r="G29" i="73"/>
  <c r="F29" i="73"/>
  <c r="I29" i="73" s="1"/>
  <c r="D29" i="73"/>
  <c r="C29" i="73"/>
  <c r="B29" i="73"/>
  <c r="AE28" i="73"/>
  <c r="AD28" i="73"/>
  <c r="AC28" i="73"/>
  <c r="BE28" i="73" s="1"/>
  <c r="AB28" i="73"/>
  <c r="AA28" i="73"/>
  <c r="BC28" i="73" s="1"/>
  <c r="BL28" i="73" s="1"/>
  <c r="CU28" i="73" s="1"/>
  <c r="Z28" i="73"/>
  <c r="BB28" i="73" s="1"/>
  <c r="BK28" i="73" s="1"/>
  <c r="X28" i="73"/>
  <c r="W28" i="73"/>
  <c r="V28" i="73"/>
  <c r="AJ28" i="73" s="1"/>
  <c r="AQ28" i="73" s="1"/>
  <c r="U28" i="73"/>
  <c r="T28" i="73"/>
  <c r="S28" i="73"/>
  <c r="G28" i="73"/>
  <c r="F28" i="73"/>
  <c r="D28" i="73"/>
  <c r="C28" i="73"/>
  <c r="B28" i="73"/>
  <c r="AE27" i="73"/>
  <c r="AD27" i="73"/>
  <c r="AC27" i="73"/>
  <c r="AB27" i="73"/>
  <c r="AI27" i="73" s="1"/>
  <c r="AP27" i="73" s="1"/>
  <c r="AA27" i="73"/>
  <c r="Z27" i="73"/>
  <c r="X27" i="73"/>
  <c r="W27" i="73"/>
  <c r="AK27" i="73" s="1"/>
  <c r="AR27" i="73" s="1"/>
  <c r="V27" i="73"/>
  <c r="U27" i="73"/>
  <c r="T27" i="73"/>
  <c r="S27" i="73"/>
  <c r="AG27" i="73" s="1"/>
  <c r="AN27" i="73" s="1"/>
  <c r="G27" i="73"/>
  <c r="F27" i="73"/>
  <c r="D27" i="73"/>
  <c r="C27" i="73"/>
  <c r="I27" i="73" s="1"/>
  <c r="B27" i="73"/>
  <c r="AQ26" i="73"/>
  <c r="AP26" i="73"/>
  <c r="AL26" i="73"/>
  <c r="AS26" i="73" s="1"/>
  <c r="AK26" i="73"/>
  <c r="AR26" i="73" s="1"/>
  <c r="AJ26" i="73"/>
  <c r="AI26" i="73"/>
  <c r="AH26" i="73"/>
  <c r="AO26" i="73" s="1"/>
  <c r="AG26" i="73"/>
  <c r="AN26" i="73" s="1"/>
  <c r="BD21" i="73"/>
  <c r="AL21" i="73"/>
  <c r="AS21" i="73" s="1"/>
  <c r="AE21" i="73"/>
  <c r="BG21" i="73" s="1"/>
  <c r="AD21" i="73"/>
  <c r="AC21" i="73"/>
  <c r="BE21" i="73" s="1"/>
  <c r="BN21" i="73" s="1"/>
  <c r="CW21" i="73" s="1"/>
  <c r="AB21" i="73"/>
  <c r="AA21" i="73"/>
  <c r="BC21" i="73" s="1"/>
  <c r="Z21" i="73"/>
  <c r="BB21" i="73" s="1"/>
  <c r="X21" i="73"/>
  <c r="W21" i="73"/>
  <c r="AK21" i="73" s="1"/>
  <c r="AR21" i="73" s="1"/>
  <c r="V21" i="73"/>
  <c r="U21" i="73"/>
  <c r="AI21" i="73" s="1"/>
  <c r="AP21" i="73" s="1"/>
  <c r="T21" i="73"/>
  <c r="S21" i="73"/>
  <c r="G21" i="73"/>
  <c r="F21" i="73"/>
  <c r="D21" i="73"/>
  <c r="C21" i="73"/>
  <c r="B21" i="73"/>
  <c r="AE20" i="73"/>
  <c r="BG20" i="73" s="1"/>
  <c r="BP20" i="73" s="1"/>
  <c r="CY20" i="73" s="1"/>
  <c r="AD20" i="73"/>
  <c r="BF20" i="73" s="1"/>
  <c r="AC20" i="73"/>
  <c r="BE20" i="73" s="1"/>
  <c r="AB20" i="73"/>
  <c r="AA20" i="73"/>
  <c r="BC20" i="73" s="1"/>
  <c r="BL20" i="73" s="1"/>
  <c r="CU20" i="73" s="1"/>
  <c r="Z20" i="73"/>
  <c r="BB20" i="73" s="1"/>
  <c r="X20" i="73"/>
  <c r="W20" i="73"/>
  <c r="V20" i="73"/>
  <c r="U20" i="73"/>
  <c r="T20" i="73"/>
  <c r="S20" i="73"/>
  <c r="G20" i="73"/>
  <c r="F20" i="73"/>
  <c r="D20" i="73"/>
  <c r="C20" i="73"/>
  <c r="B20" i="73"/>
  <c r="AE19" i="73"/>
  <c r="BG19" i="73" s="1"/>
  <c r="BP19" i="73" s="1"/>
  <c r="CY19" i="73" s="1"/>
  <c r="AD19" i="73"/>
  <c r="AC19" i="73"/>
  <c r="BE19" i="73" s="1"/>
  <c r="AB19" i="73"/>
  <c r="AA19" i="73"/>
  <c r="BC19" i="73" s="1"/>
  <c r="BL19" i="73" s="1"/>
  <c r="CU19" i="73" s="1"/>
  <c r="Z19" i="73"/>
  <c r="X19" i="73"/>
  <c r="W19" i="73"/>
  <c r="V19" i="73"/>
  <c r="AJ19" i="73" s="1"/>
  <c r="AQ19" i="73" s="1"/>
  <c r="U19" i="73"/>
  <c r="T19" i="73"/>
  <c r="S19" i="73"/>
  <c r="G19" i="73"/>
  <c r="F19" i="73"/>
  <c r="D19" i="73"/>
  <c r="C19" i="73"/>
  <c r="B19" i="73"/>
  <c r="AI18" i="73"/>
  <c r="AP18" i="73" s="1"/>
  <c r="AE18" i="73"/>
  <c r="BG18" i="73" s="1"/>
  <c r="AD18" i="73"/>
  <c r="BF18" i="73" s="1"/>
  <c r="BO18" i="73" s="1"/>
  <c r="CX18" i="73" s="1"/>
  <c r="AC18" i="73"/>
  <c r="BE18" i="73" s="1"/>
  <c r="BN18" i="73" s="1"/>
  <c r="CW18" i="73" s="1"/>
  <c r="AB18" i="73"/>
  <c r="AA18" i="73"/>
  <c r="Z18" i="73"/>
  <c r="BB18" i="73" s="1"/>
  <c r="X18" i="73"/>
  <c r="W18" i="73"/>
  <c r="V18" i="73"/>
  <c r="U18" i="73"/>
  <c r="T18" i="73"/>
  <c r="AH18" i="73" s="1"/>
  <c r="AO18" i="73" s="1"/>
  <c r="S18" i="73"/>
  <c r="G18" i="73"/>
  <c r="F18" i="73"/>
  <c r="D18" i="73"/>
  <c r="C18" i="73"/>
  <c r="B18" i="73"/>
  <c r="AE17" i="73"/>
  <c r="AD17" i="73"/>
  <c r="AC17" i="73"/>
  <c r="AB17" i="73"/>
  <c r="AA17" i="73"/>
  <c r="Z17" i="73"/>
  <c r="X17" i="73"/>
  <c r="AL17" i="73" s="1"/>
  <c r="AS17" i="73" s="1"/>
  <c r="W17" i="73"/>
  <c r="AK17" i="73" s="1"/>
  <c r="V17" i="73"/>
  <c r="U17" i="73"/>
  <c r="T17" i="73"/>
  <c r="S17" i="73"/>
  <c r="G17" i="73"/>
  <c r="F17" i="73"/>
  <c r="D17" i="73"/>
  <c r="C17" i="73"/>
  <c r="B17" i="73"/>
  <c r="CP16" i="73"/>
  <c r="CO16" i="73"/>
  <c r="CN16" i="73"/>
  <c r="CM16" i="73"/>
  <c r="CL16" i="73"/>
  <c r="CK16" i="73"/>
  <c r="CJ16" i="73"/>
  <c r="AE15" i="73"/>
  <c r="AD15" i="73"/>
  <c r="AC15" i="73"/>
  <c r="AB15" i="73"/>
  <c r="AA15" i="73"/>
  <c r="Z15" i="73"/>
  <c r="X15" i="73"/>
  <c r="AL15" i="73" s="1"/>
  <c r="AS15" i="73" s="1"/>
  <c r="W15" i="73"/>
  <c r="V15" i="73"/>
  <c r="U15" i="73"/>
  <c r="T15" i="73"/>
  <c r="S15" i="73"/>
  <c r="G15" i="73"/>
  <c r="F15" i="73"/>
  <c r="D15" i="73"/>
  <c r="C15" i="73"/>
  <c r="B15" i="73"/>
  <c r="AE14" i="73"/>
  <c r="AD14" i="73"/>
  <c r="AC14" i="73"/>
  <c r="AB14" i="73"/>
  <c r="AI14" i="73" s="1"/>
  <c r="AP14" i="73" s="1"/>
  <c r="AA14" i="73"/>
  <c r="Z14" i="73"/>
  <c r="X14" i="73"/>
  <c r="BP14" i="73" s="1"/>
  <c r="W14" i="73"/>
  <c r="BO14" i="73" s="1"/>
  <c r="V14" i="73"/>
  <c r="BN14" i="73" s="1"/>
  <c r="U14" i="73"/>
  <c r="BM14" i="73" s="1"/>
  <c r="T14" i="73"/>
  <c r="BL14" i="73" s="1"/>
  <c r="S14" i="73"/>
  <c r="BK14" i="73" s="1"/>
  <c r="O14" i="73"/>
  <c r="N14" i="73"/>
  <c r="M14" i="73"/>
  <c r="L14" i="73"/>
  <c r="D14" i="73"/>
  <c r="C14" i="73"/>
  <c r="B14" i="73"/>
  <c r="BE13" i="73"/>
  <c r="BN13" i="73" s="1"/>
  <c r="CW13" i="73" s="1"/>
  <c r="AE13" i="73"/>
  <c r="BG13" i="73" s="1"/>
  <c r="AD13" i="73"/>
  <c r="BF13" i="73" s="1"/>
  <c r="BO13" i="73" s="1"/>
  <c r="CX13" i="73" s="1"/>
  <c r="AC13" i="73"/>
  <c r="AB13" i="73"/>
  <c r="AA13" i="73"/>
  <c r="BC13" i="73" s="1"/>
  <c r="Z13" i="73"/>
  <c r="BB13" i="73" s="1"/>
  <c r="X13" i="73"/>
  <c r="AL13" i="73" s="1"/>
  <c r="AS13" i="73" s="1"/>
  <c r="W13" i="73"/>
  <c r="V13" i="73"/>
  <c r="U13" i="73"/>
  <c r="T13" i="73"/>
  <c r="AH13" i="73" s="1"/>
  <c r="AO13" i="73" s="1"/>
  <c r="S13" i="73"/>
  <c r="G13" i="73"/>
  <c r="F13" i="73"/>
  <c r="D13" i="73"/>
  <c r="C13" i="73"/>
  <c r="B13" i="73"/>
  <c r="AE12" i="73"/>
  <c r="AD12" i="73"/>
  <c r="AC12" i="73"/>
  <c r="AB12" i="73"/>
  <c r="BD12" i="73" s="1"/>
  <c r="AA12" i="73"/>
  <c r="Z12" i="73"/>
  <c r="X12" i="73"/>
  <c r="W12" i="73"/>
  <c r="V12" i="73"/>
  <c r="U12" i="73"/>
  <c r="T12" i="73"/>
  <c r="S12" i="73"/>
  <c r="G12" i="73"/>
  <c r="F12" i="73"/>
  <c r="D12" i="73"/>
  <c r="C12" i="73"/>
  <c r="B12" i="73"/>
  <c r="CK11" i="73"/>
  <c r="BM11" i="73"/>
  <c r="AJ11" i="73"/>
  <c r="AQ11" i="73" s="1"/>
  <c r="AE11" i="73"/>
  <c r="CF11" i="73" s="1"/>
  <c r="AD11" i="73"/>
  <c r="CE11" i="73" s="1"/>
  <c r="AC11" i="73"/>
  <c r="CD11" i="73" s="1"/>
  <c r="AB11" i="73"/>
  <c r="CC11" i="73" s="1"/>
  <c r="AA11" i="73"/>
  <c r="CB11" i="73" s="1"/>
  <c r="Z11" i="73"/>
  <c r="CA11" i="73" s="1"/>
  <c r="X11" i="73"/>
  <c r="BP11" i="73" s="1"/>
  <c r="W11" i="73"/>
  <c r="BO11" i="73" s="1"/>
  <c r="V11" i="73"/>
  <c r="U11" i="73"/>
  <c r="T11" i="73"/>
  <c r="BL11" i="73" s="1"/>
  <c r="S11" i="73"/>
  <c r="BK11" i="73" s="1"/>
  <c r="N11" i="73"/>
  <c r="O11" i="73" s="1"/>
  <c r="M11" i="73"/>
  <c r="L11" i="73"/>
  <c r="D11" i="73"/>
  <c r="C11" i="73"/>
  <c r="B11" i="73"/>
  <c r="BF10" i="73"/>
  <c r="AE10" i="73"/>
  <c r="BG10" i="73" s="1"/>
  <c r="AD10" i="73"/>
  <c r="AC10" i="73"/>
  <c r="BE10" i="73" s="1"/>
  <c r="BN10" i="73" s="1"/>
  <c r="CW10" i="73" s="1"/>
  <c r="AB10" i="73"/>
  <c r="BD10" i="73" s="1"/>
  <c r="AA10" i="73"/>
  <c r="BC10" i="73" s="1"/>
  <c r="Z10" i="73"/>
  <c r="X10" i="73"/>
  <c r="BP10" i="73" s="1"/>
  <c r="CY10" i="73" s="1"/>
  <c r="W10" i="73"/>
  <c r="V10" i="73"/>
  <c r="U10" i="73"/>
  <c r="U8" i="73" s="1"/>
  <c r="T10" i="73"/>
  <c r="S10" i="73"/>
  <c r="G10" i="73"/>
  <c r="F10" i="73"/>
  <c r="I10" i="73" s="1"/>
  <c r="D10" i="73"/>
  <c r="C10" i="73"/>
  <c r="B10" i="73"/>
  <c r="AE9" i="73"/>
  <c r="AD9" i="73"/>
  <c r="AC9" i="73"/>
  <c r="AB9" i="73"/>
  <c r="AA9" i="73"/>
  <c r="Z9" i="73"/>
  <c r="X9" i="73"/>
  <c r="W9" i="73"/>
  <c r="AK9" i="73" s="1"/>
  <c r="AR9" i="73" s="1"/>
  <c r="V9" i="73"/>
  <c r="U9" i="73"/>
  <c r="T9" i="73"/>
  <c r="S9" i="73"/>
  <c r="G9" i="73"/>
  <c r="F9" i="73"/>
  <c r="D9" i="73"/>
  <c r="C9" i="73"/>
  <c r="B9" i="73"/>
  <c r="C8" i="73"/>
  <c r="AE7" i="73"/>
  <c r="BG7" i="73" s="1"/>
  <c r="BP7" i="73" s="1"/>
  <c r="CY7" i="73" s="1"/>
  <c r="AD7" i="73"/>
  <c r="BF7" i="73" s="1"/>
  <c r="AC7" i="73"/>
  <c r="BE7" i="73" s="1"/>
  <c r="AB7" i="73"/>
  <c r="BD7" i="73" s="1"/>
  <c r="BM7" i="73" s="1"/>
  <c r="CV7" i="73" s="1"/>
  <c r="AA7" i="73"/>
  <c r="Z7" i="73"/>
  <c r="X7" i="73"/>
  <c r="W7" i="73"/>
  <c r="BO7" i="73" s="1"/>
  <c r="CX7" i="73" s="1"/>
  <c r="V7" i="73"/>
  <c r="U7" i="73"/>
  <c r="T7" i="73"/>
  <c r="S7" i="73"/>
  <c r="G7" i="73"/>
  <c r="D7" i="73"/>
  <c r="C7" i="73"/>
  <c r="B7" i="73"/>
  <c r="AE6" i="73"/>
  <c r="BG6" i="73" s="1"/>
  <c r="AD6" i="73"/>
  <c r="BF6" i="73" s="1"/>
  <c r="AC6" i="73"/>
  <c r="BE6" i="73" s="1"/>
  <c r="AB6" i="73"/>
  <c r="BD6" i="73" s="1"/>
  <c r="AA6" i="73"/>
  <c r="BC6" i="73" s="1"/>
  <c r="Z6" i="73"/>
  <c r="X6" i="73"/>
  <c r="W6" i="73"/>
  <c r="AK6" i="73" s="1"/>
  <c r="AR6" i="73" s="1"/>
  <c r="V6" i="73"/>
  <c r="AJ6" i="73" s="1"/>
  <c r="AQ6" i="73" s="1"/>
  <c r="U6" i="73"/>
  <c r="T6" i="73"/>
  <c r="S6" i="73"/>
  <c r="AG6" i="73" s="1"/>
  <c r="AN6" i="73" s="1"/>
  <c r="G6" i="73"/>
  <c r="D6" i="73"/>
  <c r="C6" i="73"/>
  <c r="B6" i="73"/>
  <c r="AE5" i="73"/>
  <c r="BG5" i="73" s="1"/>
  <c r="BP5" i="73" s="1"/>
  <c r="CY5" i="73" s="1"/>
  <c r="AD5" i="73"/>
  <c r="BF5" i="73" s="1"/>
  <c r="AC5" i="73"/>
  <c r="BE5" i="73" s="1"/>
  <c r="AB5" i="73"/>
  <c r="BD5" i="73" s="1"/>
  <c r="BM5" i="73" s="1"/>
  <c r="CV5" i="73" s="1"/>
  <c r="AA5" i="73"/>
  <c r="BC5" i="73" s="1"/>
  <c r="BL5" i="73" s="1"/>
  <c r="CU5" i="73" s="1"/>
  <c r="Z5" i="73"/>
  <c r="X5" i="73"/>
  <c r="W5" i="73"/>
  <c r="BO5" i="73" s="1"/>
  <c r="CX5" i="73" s="1"/>
  <c r="V5" i="73"/>
  <c r="AJ5" i="73" s="1"/>
  <c r="AQ5" i="73" s="1"/>
  <c r="U5" i="73"/>
  <c r="T5" i="73"/>
  <c r="S5" i="73"/>
  <c r="G5" i="73"/>
  <c r="F5" i="73"/>
  <c r="D5" i="73"/>
  <c r="C5" i="73"/>
  <c r="B5" i="73"/>
  <c r="AE4" i="73"/>
  <c r="BG4" i="73" s="1"/>
  <c r="AD4" i="73"/>
  <c r="BF4" i="73" s="1"/>
  <c r="AC4" i="73"/>
  <c r="AB4" i="73"/>
  <c r="AA4" i="73"/>
  <c r="BC4" i="73" s="1"/>
  <c r="Z4" i="73"/>
  <c r="X4" i="73"/>
  <c r="AL4" i="73" s="1"/>
  <c r="W4" i="73"/>
  <c r="V4" i="73"/>
  <c r="U4" i="73"/>
  <c r="T4" i="73"/>
  <c r="AH4" i="73" s="1"/>
  <c r="S4" i="73"/>
  <c r="S3" i="73" s="1"/>
  <c r="G4" i="73"/>
  <c r="F4" i="73"/>
  <c r="D4" i="73"/>
  <c r="C4" i="73"/>
  <c r="C3" i="73" s="1"/>
  <c r="B4" i="73"/>
  <c r="CP3" i="73"/>
  <c r="CO3" i="73"/>
  <c r="CN3" i="73"/>
  <c r="CM3" i="73"/>
  <c r="CL3" i="73"/>
  <c r="CK3" i="73"/>
  <c r="CJ3" i="73"/>
  <c r="E83" i="60" l="1"/>
  <c r="E24" i="60"/>
  <c r="CD24" i="55"/>
  <c r="CD83" i="55"/>
  <c r="CB81" i="55"/>
  <c r="CB67" i="55"/>
  <c r="CE24" i="55"/>
  <c r="CC24" i="55"/>
  <c r="G85" i="55"/>
  <c r="BR24" i="55"/>
  <c r="CD36" i="73"/>
  <c r="AJ36" i="73"/>
  <c r="AQ36" i="73" s="1"/>
  <c r="BO40" i="73"/>
  <c r="CX40" i="73" s="1"/>
  <c r="CN40" i="73"/>
  <c r="AI40" i="73"/>
  <c r="AP40" i="73" s="1"/>
  <c r="AK4" i="73"/>
  <c r="AR4" i="73" s="1"/>
  <c r="W3" i="73"/>
  <c r="AG33" i="73"/>
  <c r="AN33" i="73" s="1"/>
  <c r="CJ33" i="73"/>
  <c r="BK33" i="73"/>
  <c r="CT33" i="73" s="1"/>
  <c r="CX33" i="73"/>
  <c r="AK33" i="73"/>
  <c r="AR33" i="73" s="1"/>
  <c r="CO36" i="73"/>
  <c r="CY36" i="73" s="1"/>
  <c r="AI38" i="73"/>
  <c r="AP38" i="73" s="1"/>
  <c r="BO35" i="73"/>
  <c r="CN35" i="73"/>
  <c r="AG40" i="73"/>
  <c r="AN40" i="73" s="1"/>
  <c r="BK40" i="73"/>
  <c r="BN42" i="73"/>
  <c r="CM42" i="73"/>
  <c r="BL10" i="73"/>
  <c r="CU10" i="73" s="1"/>
  <c r="T8" i="73"/>
  <c r="CK34" i="73"/>
  <c r="AG46" i="73"/>
  <c r="AN46" i="73" s="1"/>
  <c r="BK46" i="73"/>
  <c r="BO46" i="73"/>
  <c r="AK46" i="73"/>
  <c r="AR46" i="73" s="1"/>
  <c r="CN46" i="73"/>
  <c r="AI47" i="73"/>
  <c r="AP47" i="73" s="1"/>
  <c r="AI51" i="73"/>
  <c r="AP51" i="73" s="1"/>
  <c r="CM55" i="73"/>
  <c r="AJ55" i="73"/>
  <c r="AQ55" i="73" s="1"/>
  <c r="BM64" i="73"/>
  <c r="CV64" i="73" s="1"/>
  <c r="AI64" i="73"/>
  <c r="AP64" i="73" s="1"/>
  <c r="CY11" i="73"/>
  <c r="CV11" i="73"/>
  <c r="J27" i="73"/>
  <c r="AU27" i="73" s="1"/>
  <c r="BB27" i="73" s="1"/>
  <c r="CL32" i="73"/>
  <c r="AH40" i="73"/>
  <c r="AO40" i="73" s="1"/>
  <c r="BL40" i="73"/>
  <c r="BP40" i="73"/>
  <c r="CO40" i="73"/>
  <c r="CU45" i="73"/>
  <c r="AL48" i="73"/>
  <c r="AS48" i="73" s="1"/>
  <c r="CL49" i="73"/>
  <c r="AI49" i="73"/>
  <c r="AP49" i="73" s="1"/>
  <c r="CD62" i="73"/>
  <c r="CM62" i="73" s="1"/>
  <c r="CP62" i="73" s="1"/>
  <c r="CB63" i="73"/>
  <c r="AH63" i="73"/>
  <c r="AO63" i="73" s="1"/>
  <c r="AG72" i="73"/>
  <c r="AN72" i="73" s="1"/>
  <c r="BK72" i="73"/>
  <c r="CT72" i="73" s="1"/>
  <c r="BO4" i="73"/>
  <c r="BO3" i="73" s="1"/>
  <c r="AH5" i="73"/>
  <c r="AO5" i="73" s="1"/>
  <c r="AL5" i="73"/>
  <c r="AS5" i="73" s="1"/>
  <c r="T3" i="73"/>
  <c r="BP6" i="73"/>
  <c r="CY6" i="73" s="1"/>
  <c r="BN6" i="73"/>
  <c r="CW6" i="73" s="1"/>
  <c r="AH7" i="73"/>
  <c r="AO7" i="73" s="1"/>
  <c r="AL7" i="73"/>
  <c r="AS7" i="73" s="1"/>
  <c r="X8" i="73"/>
  <c r="CL11" i="73"/>
  <c r="CJ11" i="73"/>
  <c r="CJ8" i="73" s="1"/>
  <c r="CN11" i="73"/>
  <c r="AG12" i="73"/>
  <c r="AN12" i="73" s="1"/>
  <c r="BM12" i="73"/>
  <c r="CV12" i="73" s="1"/>
  <c r="AJ13" i="73"/>
  <c r="AQ13" i="73" s="1"/>
  <c r="AJ15" i="73"/>
  <c r="AQ15" i="73" s="1"/>
  <c r="AI17" i="73"/>
  <c r="AH19" i="73"/>
  <c r="AO19" i="73" s="1"/>
  <c r="AL19" i="73"/>
  <c r="AS19" i="73" s="1"/>
  <c r="BK20" i="73"/>
  <c r="CT20" i="73" s="1"/>
  <c r="AJ21" i="73"/>
  <c r="AQ21" i="73" s="1"/>
  <c r="I28" i="73"/>
  <c r="BM29" i="73"/>
  <c r="CV29" i="73" s="1"/>
  <c r="AJ34" i="73"/>
  <c r="AQ34" i="73" s="1"/>
  <c r="CO34" i="73"/>
  <c r="CJ35" i="73"/>
  <c r="CT35" i="73" s="1"/>
  <c r="CM36" i="73"/>
  <c r="CK36" i="73"/>
  <c r="CU36" i="73" s="1"/>
  <c r="CN38" i="73"/>
  <c r="AG44" i="73"/>
  <c r="AN44" i="73" s="1"/>
  <c r="BK44" i="73"/>
  <c r="BQ44" i="73" s="1"/>
  <c r="BO44" i="73"/>
  <c r="CN44" i="73"/>
  <c r="AK44" i="73"/>
  <c r="AR44" i="73" s="1"/>
  <c r="CL45" i="73"/>
  <c r="CP45" i="73" s="1"/>
  <c r="AI45" i="73"/>
  <c r="AP45" i="73" s="1"/>
  <c r="CJ47" i="73"/>
  <c r="CM49" i="73"/>
  <c r="CP49" i="73" s="1"/>
  <c r="AJ49" i="73"/>
  <c r="AQ49" i="73" s="1"/>
  <c r="CM52" i="73"/>
  <c r="BN53" i="73"/>
  <c r="CM53" i="73"/>
  <c r="CX60" i="73"/>
  <c r="AI60" i="73"/>
  <c r="AP60" i="73" s="1"/>
  <c r="CN62" i="73"/>
  <c r="AK68" i="73"/>
  <c r="AR68" i="73" s="1"/>
  <c r="AI71" i="73"/>
  <c r="AP71" i="73" s="1"/>
  <c r="BM71" i="73"/>
  <c r="CV71" i="73" s="1"/>
  <c r="BN48" i="73"/>
  <c r="CM48" i="73"/>
  <c r="BL62" i="73"/>
  <c r="CK62" i="73"/>
  <c r="CY67" i="73"/>
  <c r="W8" i="73"/>
  <c r="CU11" i="73"/>
  <c r="BQ14" i="73"/>
  <c r="C16" i="73"/>
  <c r="C84" i="73" s="1"/>
  <c r="BM21" i="73"/>
  <c r="CV21" i="73" s="1"/>
  <c r="CV34" i="73"/>
  <c r="AL35" i="73"/>
  <c r="AS35" i="73" s="1"/>
  <c r="CO35" i="73"/>
  <c r="AG42" i="73"/>
  <c r="AN42" i="73" s="1"/>
  <c r="BK42" i="73"/>
  <c r="AK42" i="73"/>
  <c r="AR42" i="73" s="1"/>
  <c r="BO72" i="73"/>
  <c r="CX72" i="73" s="1"/>
  <c r="AK72" i="73"/>
  <c r="AR72" i="73" s="1"/>
  <c r="AJ72" i="73"/>
  <c r="AQ72" i="73" s="1"/>
  <c r="BN75" i="73"/>
  <c r="CW75" i="73" s="1"/>
  <c r="AJ75" i="73"/>
  <c r="AQ75" i="73" s="1"/>
  <c r="BL4" i="73"/>
  <c r="CU4" i="73" s="1"/>
  <c r="BP4" i="73"/>
  <c r="I5" i="73"/>
  <c r="J5" i="73" s="1"/>
  <c r="AU5" i="73" s="1"/>
  <c r="AI5" i="73"/>
  <c r="AP5" i="73" s="1"/>
  <c r="BO6" i="73"/>
  <c r="CX6" i="73" s="1"/>
  <c r="AI7" i="73"/>
  <c r="AP7" i="73" s="1"/>
  <c r="I9" i="73"/>
  <c r="J9" i="73" s="1"/>
  <c r="AU9" i="73" s="1"/>
  <c r="BO10" i="73"/>
  <c r="CX10" i="73" s="1"/>
  <c r="BM10" i="73"/>
  <c r="CV10" i="73" s="1"/>
  <c r="CM11" i="73"/>
  <c r="CO11" i="73"/>
  <c r="I13" i="73"/>
  <c r="J13" i="73" s="1"/>
  <c r="AU13" i="73" s="1"/>
  <c r="AV13" i="73" s="1"/>
  <c r="AW13" i="73" s="1"/>
  <c r="AX13" i="73" s="1"/>
  <c r="AY13" i="73" s="1"/>
  <c r="AZ13" i="73" s="1"/>
  <c r="AJ17" i="73"/>
  <c r="I18" i="73"/>
  <c r="AG18" i="73"/>
  <c r="AN18" i="73" s="1"/>
  <c r="AK18" i="73"/>
  <c r="AR18" i="73" s="1"/>
  <c r="BK18" i="73"/>
  <c r="CT18" i="73" s="1"/>
  <c r="I20" i="73"/>
  <c r="J20" i="73" s="1"/>
  <c r="AU20" i="73" s="1"/>
  <c r="AV20" i="73" s="1"/>
  <c r="AW20" i="73" s="1"/>
  <c r="AX20" i="73" s="1"/>
  <c r="AY20" i="73" s="1"/>
  <c r="AZ20" i="73" s="1"/>
  <c r="AH28" i="73"/>
  <c r="AO28" i="73" s="1"/>
  <c r="AL28" i="73"/>
  <c r="AS28" i="73" s="1"/>
  <c r="J29" i="73"/>
  <c r="AU29" i="73" s="1"/>
  <c r="AV29" i="73" s="1"/>
  <c r="AW29" i="73" s="1"/>
  <c r="AX29" i="73" s="1"/>
  <c r="AY29" i="73" s="1"/>
  <c r="AZ29" i="73" s="1"/>
  <c r="AI32" i="73"/>
  <c r="AP32" i="73" s="1"/>
  <c r="CW33" i="73"/>
  <c r="CN34" i="73"/>
  <c r="AK34" i="73"/>
  <c r="AR34" i="73" s="1"/>
  <c r="CM47" i="73"/>
  <c r="AJ47" i="73"/>
  <c r="AQ47" i="73" s="1"/>
  <c r="BG50" i="73"/>
  <c r="AL50" i="73"/>
  <c r="AS50" i="73" s="1"/>
  <c r="AK59" i="73"/>
  <c r="AR59" i="73" s="1"/>
  <c r="BL60" i="73"/>
  <c r="CK60" i="73"/>
  <c r="CY60" i="73"/>
  <c r="CX62" i="73"/>
  <c r="AI62" i="73"/>
  <c r="AP62" i="73" s="1"/>
  <c r="BL76" i="73"/>
  <c r="CU76" i="73" s="1"/>
  <c r="AG81" i="73"/>
  <c r="AN81" i="73" s="1"/>
  <c r="BK81" i="73"/>
  <c r="AK81" i="73"/>
  <c r="AR81" i="73" s="1"/>
  <c r="AJ37" i="73"/>
  <c r="AQ37" i="73" s="1"/>
  <c r="CL38" i="73"/>
  <c r="CJ38" i="73"/>
  <c r="CJ40" i="73"/>
  <c r="AI41" i="73"/>
  <c r="AP41" i="73" s="1"/>
  <c r="BO41" i="73"/>
  <c r="CX41" i="73" s="1"/>
  <c r="BL41" i="73"/>
  <c r="CU41" i="73" s="1"/>
  <c r="CO42" i="73"/>
  <c r="AL42" i="73"/>
  <c r="AS42" i="73" s="1"/>
  <c r="CM44" i="73"/>
  <c r="CM45" i="73"/>
  <c r="CO45" i="73"/>
  <c r="CM46" i="73"/>
  <c r="CW46" i="73" s="1"/>
  <c r="CY47" i="73"/>
  <c r="CN47" i="73"/>
  <c r="CX47" i="73" s="1"/>
  <c r="CX49" i="73"/>
  <c r="BM50" i="73"/>
  <c r="CV50" i="73" s="1"/>
  <c r="CJ54" i="73"/>
  <c r="CN54" i="73"/>
  <c r="CL55" i="73"/>
  <c r="CV55" i="73" s="1"/>
  <c r="CV59" i="73"/>
  <c r="CL60" i="73"/>
  <c r="AG61" i="73"/>
  <c r="AN61" i="73" s="1"/>
  <c r="CL61" i="73"/>
  <c r="CV61" i="73" s="1"/>
  <c r="AK61" i="73"/>
  <c r="AR61" i="73" s="1"/>
  <c r="CL62" i="73"/>
  <c r="AG63" i="73"/>
  <c r="AN63" i="73" s="1"/>
  <c r="CX63" i="73"/>
  <c r="CL63" i="73"/>
  <c r="CV63" i="73" s="1"/>
  <c r="CN63" i="73"/>
  <c r="CA66" i="73"/>
  <c r="AH67" i="73"/>
  <c r="AO67" i="73" s="1"/>
  <c r="BL67" i="73"/>
  <c r="CU67" i="73" s="1"/>
  <c r="CO67" i="73"/>
  <c r="AG69" i="73"/>
  <c r="AN69" i="73" s="1"/>
  <c r="AK69" i="73"/>
  <c r="AR69" i="73" s="1"/>
  <c r="AG75" i="73"/>
  <c r="AN75" i="73" s="1"/>
  <c r="I78" i="73"/>
  <c r="AI78" i="73"/>
  <c r="AP78" i="73" s="1"/>
  <c r="AK80" i="73"/>
  <c r="AR80" i="73" s="1"/>
  <c r="AK82" i="73"/>
  <c r="AR82" i="73" s="1"/>
  <c r="CC35" i="73"/>
  <c r="I37" i="73"/>
  <c r="J37" i="73" s="1"/>
  <c r="AU37" i="73" s="1"/>
  <c r="AV37" i="73" s="1"/>
  <c r="AW37" i="73" s="1"/>
  <c r="AX37" i="73" s="1"/>
  <c r="AY37" i="73" s="1"/>
  <c r="AZ37" i="73" s="1"/>
  <c r="CK38" i="73"/>
  <c r="I39" i="73"/>
  <c r="AI39" i="73"/>
  <c r="AP39" i="73" s="1"/>
  <c r="CW40" i="73"/>
  <c r="CV42" i="73"/>
  <c r="AK43" i="73"/>
  <c r="AR43" i="73" s="1"/>
  <c r="CL43" i="73"/>
  <c r="CV44" i="73"/>
  <c r="CX45" i="73"/>
  <c r="CL47" i="73"/>
  <c r="CK47" i="73"/>
  <c r="CY49" i="73"/>
  <c r="CC54" i="73"/>
  <c r="CL54" i="73" s="1"/>
  <c r="CU55" i="73"/>
  <c r="CA59" i="73"/>
  <c r="CK59" i="73"/>
  <c r="CO59" i="73"/>
  <c r="CY59" i="73" s="1"/>
  <c r="CM60" i="73"/>
  <c r="CO60" i="73"/>
  <c r="AH61" i="73"/>
  <c r="AO61" i="73" s="1"/>
  <c r="CM61" i="73"/>
  <c r="BK61" i="73"/>
  <c r="CO62" i="73"/>
  <c r="CM63" i="73"/>
  <c r="CW63" i="73" s="1"/>
  <c r="AK63" i="73"/>
  <c r="AR63" i="73" s="1"/>
  <c r="AK66" i="73"/>
  <c r="AR66" i="73" s="1"/>
  <c r="CL66" i="73"/>
  <c r="BK69" i="73"/>
  <c r="AK75" i="73"/>
  <c r="AR75" i="73" s="1"/>
  <c r="BP76" i="73"/>
  <c r="CY76" i="73" s="1"/>
  <c r="I77" i="73"/>
  <c r="J77" i="73" s="1"/>
  <c r="AU77" i="73" s="1"/>
  <c r="AV77" i="73" s="1"/>
  <c r="AW77" i="73" s="1"/>
  <c r="AX77" i="73" s="1"/>
  <c r="AJ78" i="73"/>
  <c r="AQ78" i="73" s="1"/>
  <c r="AH80" i="73"/>
  <c r="AO80" i="73" s="1"/>
  <c r="BL80" i="73"/>
  <c r="CU80" i="73" s="1"/>
  <c r="AL82" i="73"/>
  <c r="AS82" i="73" s="1"/>
  <c r="AS4" i="73"/>
  <c r="BK27" i="73"/>
  <c r="CY66" i="73"/>
  <c r="CX4" i="73"/>
  <c r="CX3" i="73" s="1"/>
  <c r="CP11" i="73"/>
  <c r="BP3" i="73"/>
  <c r="CY4" i="73"/>
  <c r="CY3" i="73" s="1"/>
  <c r="BM6" i="73"/>
  <c r="CV6" i="73" s="1"/>
  <c r="AO4" i="73"/>
  <c r="BN7" i="73"/>
  <c r="CW7" i="73" s="1"/>
  <c r="I4" i="73"/>
  <c r="I6" i="73" s="1"/>
  <c r="I7" i="73" s="1"/>
  <c r="AI4" i="73"/>
  <c r="AL6" i="73"/>
  <c r="AS6" i="73" s="1"/>
  <c r="AJ7" i="73"/>
  <c r="AQ7" i="73" s="1"/>
  <c r="AH9" i="73"/>
  <c r="J10" i="73"/>
  <c r="AU10" i="73" s="1"/>
  <c r="AV10" i="73" s="1"/>
  <c r="AW10" i="73" s="1"/>
  <c r="AX10" i="73" s="1"/>
  <c r="AY10" i="73" s="1"/>
  <c r="AZ10" i="73" s="1"/>
  <c r="AG10" i="73"/>
  <c r="AN10" i="73" s="1"/>
  <c r="CC14" i="73"/>
  <c r="CD14" i="73"/>
  <c r="CB14" i="73"/>
  <c r="CK14" i="73" s="1"/>
  <c r="CK8" i="73" s="1"/>
  <c r="AQ17" i="73"/>
  <c r="BN20" i="73"/>
  <c r="CW20" i="73" s="1"/>
  <c r="AJ20" i="73"/>
  <c r="AQ20" i="73" s="1"/>
  <c r="AL27" i="73"/>
  <c r="AS27" i="73" s="1"/>
  <c r="AC84" i="73"/>
  <c r="BE27" i="73"/>
  <c r="CJ36" i="73"/>
  <c r="BK36" i="73"/>
  <c r="CN36" i="73"/>
  <c r="AK36" i="73"/>
  <c r="AR36" i="73" s="1"/>
  <c r="X3" i="73"/>
  <c r="AJ4" i="73"/>
  <c r="AG5" i="73"/>
  <c r="AN5" i="73" s="1"/>
  <c r="AK5" i="73"/>
  <c r="AR5" i="73" s="1"/>
  <c r="J19" i="73"/>
  <c r="AU19" i="73" s="1"/>
  <c r="AV19" i="73" s="1"/>
  <c r="AW19" i="73" s="1"/>
  <c r="AX19" i="73" s="1"/>
  <c r="AY19" i="73" s="1"/>
  <c r="AZ19" i="73" s="1"/>
  <c r="BO20" i="73"/>
  <c r="CX20" i="73" s="1"/>
  <c r="AK20" i="73"/>
  <c r="AR20" i="73" s="1"/>
  <c r="AG20" i="73"/>
  <c r="AN20" i="73" s="1"/>
  <c r="AI28" i="73"/>
  <c r="AP28" i="73" s="1"/>
  <c r="CO32" i="73"/>
  <c r="CT40" i="73"/>
  <c r="CJ52" i="73"/>
  <c r="BK52" i="73"/>
  <c r="BO52" i="73"/>
  <c r="AK52" i="73"/>
  <c r="AR52" i="73" s="1"/>
  <c r="CN52" i="73"/>
  <c r="AG52" i="73"/>
  <c r="AN52" i="73" s="1"/>
  <c r="AJ71" i="73"/>
  <c r="AQ71" i="73" s="1"/>
  <c r="BN71" i="73"/>
  <c r="CW71" i="73" s="1"/>
  <c r="CZ71" i="73" s="1"/>
  <c r="BK77" i="73"/>
  <c r="AG77" i="73"/>
  <c r="AN77" i="73" s="1"/>
  <c r="CT79" i="73"/>
  <c r="CZ79" i="73" s="1"/>
  <c r="BQ79" i="73"/>
  <c r="U3" i="73"/>
  <c r="AG4" i="73"/>
  <c r="BN5" i="73"/>
  <c r="CW5" i="73" s="1"/>
  <c r="BL6" i="73"/>
  <c r="CU6" i="73" s="1"/>
  <c r="F8" i="73"/>
  <c r="AJ9" i="73"/>
  <c r="V8" i="73"/>
  <c r="AL9" i="73"/>
  <c r="AI10" i="73"/>
  <c r="AP10" i="73" s="1"/>
  <c r="AK10" i="73"/>
  <c r="AR10" i="73" s="1"/>
  <c r="AI13" i="73"/>
  <c r="AP13" i="73" s="1"/>
  <c r="BK13" i="73"/>
  <c r="CE14" i="73"/>
  <c r="CN14" i="73" s="1"/>
  <c r="CX14" i="73" s="1"/>
  <c r="V16" i="73"/>
  <c r="I21" i="73"/>
  <c r="J21" i="73" s="1"/>
  <c r="AU21" i="73" s="1"/>
  <c r="AV21" i="73" s="1"/>
  <c r="AW21" i="73" s="1"/>
  <c r="AX21" i="73" s="1"/>
  <c r="AY21" i="73" s="1"/>
  <c r="BN29" i="73"/>
  <c r="CW29" i="73" s="1"/>
  <c r="AJ29" i="73"/>
  <c r="AQ29" i="73" s="1"/>
  <c r="BN34" i="73"/>
  <c r="CW34" i="73" s="1"/>
  <c r="CK35" i="73"/>
  <c r="BL35" i="73"/>
  <c r="CU35" i="73" s="1"/>
  <c r="BP35" i="73"/>
  <c r="CY35" i="73" s="1"/>
  <c r="CT38" i="73"/>
  <c r="CX38" i="73"/>
  <c r="N42" i="73"/>
  <c r="O42" i="73" s="1"/>
  <c r="CA42" i="73" s="1"/>
  <c r="CJ42" i="73" s="1"/>
  <c r="CT42" i="73"/>
  <c r="BQ46" i="73"/>
  <c r="CU47" i="73"/>
  <c r="BK48" i="73"/>
  <c r="AK48" i="73"/>
  <c r="AR48" i="73" s="1"/>
  <c r="AG48" i="73"/>
  <c r="AN48" i="73" s="1"/>
  <c r="CU49" i="73"/>
  <c r="AK50" i="73"/>
  <c r="AR50" i="73" s="1"/>
  <c r="AG50" i="73"/>
  <c r="AN50" i="73" s="1"/>
  <c r="CZ58" i="73"/>
  <c r="AJ59" i="73"/>
  <c r="AQ59" i="73" s="1"/>
  <c r="CM59" i="73"/>
  <c r="CW59" i="73" s="1"/>
  <c r="AH6" i="73"/>
  <c r="AO6" i="73" s="1"/>
  <c r="AK12" i="73"/>
  <c r="AR12" i="73" s="1"/>
  <c r="CM14" i="73"/>
  <c r="CM8" i="73" s="1"/>
  <c r="AJ14" i="73"/>
  <c r="AQ14" i="73" s="1"/>
  <c r="CF14" i="73"/>
  <c r="CO14" i="73" s="1"/>
  <c r="CO8" i="73" s="1"/>
  <c r="I19" i="73"/>
  <c r="AV27" i="73"/>
  <c r="CM32" i="73"/>
  <c r="AJ32" i="73"/>
  <c r="AQ32" i="73" s="1"/>
  <c r="CB32" i="73"/>
  <c r="BN32" i="73"/>
  <c r="CN32" i="73"/>
  <c r="CX32" i="73" s="1"/>
  <c r="AG36" i="73"/>
  <c r="AN36" i="73" s="1"/>
  <c r="BO36" i="73"/>
  <c r="BM41" i="73"/>
  <c r="CV41" i="73" s="1"/>
  <c r="CT61" i="73"/>
  <c r="AI6" i="73"/>
  <c r="AP6" i="73" s="1"/>
  <c r="AG7" i="73"/>
  <c r="AN7" i="73" s="1"/>
  <c r="AK7" i="73"/>
  <c r="AR7" i="73" s="1"/>
  <c r="AH10" i="73"/>
  <c r="AO10" i="73" s="1"/>
  <c r="AL12" i="73"/>
  <c r="AS12" i="73" s="1"/>
  <c r="AH12" i="73"/>
  <c r="AO12" i="73" s="1"/>
  <c r="CT14" i="73"/>
  <c r="AR17" i="73"/>
  <c r="J18" i="73"/>
  <c r="AU18" i="73" s="1"/>
  <c r="AV18" i="73" s="1"/>
  <c r="AW18" i="73" s="1"/>
  <c r="AX18" i="73" s="1"/>
  <c r="AY18" i="73" s="1"/>
  <c r="AZ18" i="73" s="1"/>
  <c r="BP18" i="73"/>
  <c r="CY18" i="73" s="1"/>
  <c r="AL18" i="73"/>
  <c r="BD20" i="73"/>
  <c r="BM20" i="73" s="1"/>
  <c r="CV20" i="73" s="1"/>
  <c r="CT28" i="73"/>
  <c r="CM38" i="73"/>
  <c r="CP38" i="73" s="1"/>
  <c r="AJ38" i="73"/>
  <c r="AQ38" i="73" s="1"/>
  <c r="CF38" i="73"/>
  <c r="CO38" i="73" s="1"/>
  <c r="BN38" i="73"/>
  <c r="CK43" i="73"/>
  <c r="BL43" i="73"/>
  <c r="CO43" i="73"/>
  <c r="CY43" i="73" s="1"/>
  <c r="AL43" i="73"/>
  <c r="AS43" i="73" s="1"/>
  <c r="CT47" i="73"/>
  <c r="CT49" i="73"/>
  <c r="BO77" i="73"/>
  <c r="CX77" i="73" s="1"/>
  <c r="AK77" i="73"/>
  <c r="AR77" i="73" s="1"/>
  <c r="F3" i="73"/>
  <c r="V3" i="73"/>
  <c r="S8" i="73"/>
  <c r="S84" i="73" s="1"/>
  <c r="AG9" i="73"/>
  <c r="AJ10" i="73"/>
  <c r="AQ10" i="73" s="1"/>
  <c r="AL10" i="73"/>
  <c r="AS10" i="73" s="1"/>
  <c r="CX11" i="73"/>
  <c r="AI11" i="73"/>
  <c r="AP11" i="73" s="1"/>
  <c r="AJ12" i="73"/>
  <c r="AQ12" i="73" s="1"/>
  <c r="CA14" i="73"/>
  <c r="CJ14" i="73" s="1"/>
  <c r="AK15" i="73"/>
  <c r="AR15" i="73" s="1"/>
  <c r="AG15" i="73"/>
  <c r="AN15" i="73" s="1"/>
  <c r="I17" i="73"/>
  <c r="J17" i="73" s="1"/>
  <c r="AU17" i="73" s="1"/>
  <c r="F16" i="73"/>
  <c r="AP17" i="73"/>
  <c r="AI19" i="73"/>
  <c r="AP19" i="73" s="1"/>
  <c r="U16" i="73"/>
  <c r="AH27" i="73"/>
  <c r="AO27" i="73" s="1"/>
  <c r="J28" i="73"/>
  <c r="AU28" i="73" s="1"/>
  <c r="AV28" i="73" s="1"/>
  <c r="AW28" i="73" s="1"/>
  <c r="AX28" i="73" s="1"/>
  <c r="AY28" i="73" s="1"/>
  <c r="BO29" i="73"/>
  <c r="CX29" i="73" s="1"/>
  <c r="AK29" i="73"/>
  <c r="AR29" i="73" s="1"/>
  <c r="AG29" i="73"/>
  <c r="AN29" i="73" s="1"/>
  <c r="CA32" i="73"/>
  <c r="CD84" i="73"/>
  <c r="N33" i="73"/>
  <c r="O33" i="73" s="1"/>
  <c r="CB33" i="73" s="1"/>
  <c r="CV33" i="73"/>
  <c r="CP35" i="73"/>
  <c r="BM37" i="73"/>
  <c r="CV37" i="73" s="1"/>
  <c r="AI37" i="73"/>
  <c r="AP37" i="73" s="1"/>
  <c r="CK44" i="73"/>
  <c r="BL44" i="73"/>
  <c r="AH44" i="73"/>
  <c r="AO44" i="73" s="1"/>
  <c r="CO44" i="73"/>
  <c r="AL44" i="73"/>
  <c r="AS44" i="73" s="1"/>
  <c r="BP44" i="73"/>
  <c r="CK66" i="73"/>
  <c r="BL66" i="73"/>
  <c r="CU66" i="73" s="1"/>
  <c r="AH66" i="73"/>
  <c r="AO66" i="73" s="1"/>
  <c r="CO66" i="73"/>
  <c r="AL66" i="73"/>
  <c r="AS66" i="73" s="1"/>
  <c r="AI9" i="73"/>
  <c r="BN11" i="73"/>
  <c r="CW11" i="73" s="1"/>
  <c r="I12" i="73"/>
  <c r="J12" i="73" s="1"/>
  <c r="AU12" i="73" s="1"/>
  <c r="AI12" i="73"/>
  <c r="AP12" i="73" s="1"/>
  <c r="AG13" i="73"/>
  <c r="AN13" i="73" s="1"/>
  <c r="AK13" i="73"/>
  <c r="AR13" i="73" s="1"/>
  <c r="CL14" i="73"/>
  <c r="CV14" i="73" s="1"/>
  <c r="AH15" i="73"/>
  <c r="AO15" i="73" s="1"/>
  <c r="S16" i="73"/>
  <c r="W16" i="73"/>
  <c r="AG17" i="73"/>
  <c r="BN19" i="73"/>
  <c r="CW19" i="73" s="1"/>
  <c r="AH20" i="73"/>
  <c r="AO20" i="73" s="1"/>
  <c r="AL20" i="73"/>
  <c r="AS20" i="73" s="1"/>
  <c r="BK21" i="73"/>
  <c r="AG21" i="73"/>
  <c r="AN21" i="73" s="1"/>
  <c r="Z84" i="73"/>
  <c r="AD84" i="73"/>
  <c r="BN28" i="73"/>
  <c r="CW28" i="73" s="1"/>
  <c r="AH29" i="73"/>
  <c r="AO29" i="73" s="1"/>
  <c r="AL29" i="73"/>
  <c r="AS29" i="73" s="1"/>
  <c r="BQ30" i="73"/>
  <c r="CY32" i="73"/>
  <c r="CJ34" i="73"/>
  <c r="CP34" i="73" s="1"/>
  <c r="AG34" i="73"/>
  <c r="AN34" i="73" s="1"/>
  <c r="BO34" i="73"/>
  <c r="CL35" i="73"/>
  <c r="CV35" i="73" s="1"/>
  <c r="CV36" i="73"/>
  <c r="AG37" i="73"/>
  <c r="AN37" i="73" s="1"/>
  <c r="AK37" i="73"/>
  <c r="AR37" i="73" s="1"/>
  <c r="CU38" i="73"/>
  <c r="CY38" i="73"/>
  <c r="BO39" i="73"/>
  <c r="CX39" i="73" s="1"/>
  <c r="AG39" i="73"/>
  <c r="AN39" i="73" s="1"/>
  <c r="CY40" i="73"/>
  <c r="AK40" i="73"/>
  <c r="AR40" i="73" s="1"/>
  <c r="J41" i="73"/>
  <c r="AU41" i="73" s="1"/>
  <c r="AV41" i="73" s="1"/>
  <c r="AW41" i="73" s="1"/>
  <c r="AX41" i="73" s="1"/>
  <c r="AY41" i="73" s="1"/>
  <c r="AZ41" i="73" s="1"/>
  <c r="AG41" i="73"/>
  <c r="AN41" i="73" s="1"/>
  <c r="AK41" i="73"/>
  <c r="AR41" i="73" s="1"/>
  <c r="CT45" i="73"/>
  <c r="CK46" i="73"/>
  <c r="BL46" i="73"/>
  <c r="CO46" i="73"/>
  <c r="CY46" i="73" s="1"/>
  <c r="AL46" i="73"/>
  <c r="AS46" i="73" s="1"/>
  <c r="CT62" i="73"/>
  <c r="AJ68" i="73"/>
  <c r="AQ68" i="73" s="1"/>
  <c r="BN68" i="73"/>
  <c r="CW68" i="73" s="1"/>
  <c r="BL13" i="73"/>
  <c r="CU13" i="73" s="1"/>
  <c r="BP13" i="73"/>
  <c r="CY13" i="73" s="1"/>
  <c r="I15" i="73"/>
  <c r="J15" i="73" s="1"/>
  <c r="AU15" i="73" s="1"/>
  <c r="AI15" i="73"/>
  <c r="AP15" i="73" s="1"/>
  <c r="T16" i="73"/>
  <c r="X16" i="73"/>
  <c r="AH17" i="73"/>
  <c r="AJ18" i="73"/>
  <c r="AQ18" i="73" s="1"/>
  <c r="BC18" i="73"/>
  <c r="BL18" i="73" s="1"/>
  <c r="AK19" i="73"/>
  <c r="AR19" i="73" s="1"/>
  <c r="AI20" i="73"/>
  <c r="AP20" i="73" s="1"/>
  <c r="BL21" i="73"/>
  <c r="CU21" i="73" s="1"/>
  <c r="BP21" i="73"/>
  <c r="CY21" i="73" s="1"/>
  <c r="AH21" i="73"/>
  <c r="AO21" i="73" s="1"/>
  <c r="AJ27" i="73"/>
  <c r="AQ27" i="73" s="1"/>
  <c r="AK28" i="73"/>
  <c r="AR28" i="73" s="1"/>
  <c r="BD28" i="73"/>
  <c r="AI29" i="73"/>
  <c r="AP29" i="73" s="1"/>
  <c r="BM32" i="73"/>
  <c r="CV32" i="73" s="1"/>
  <c r="CK33" i="73"/>
  <c r="CP33" i="73" s="1"/>
  <c r="CO33" i="73"/>
  <c r="AH33" i="73"/>
  <c r="AO33" i="73" s="1"/>
  <c r="BP33" i="73"/>
  <c r="CY33" i="73" s="1"/>
  <c r="CU34" i="73"/>
  <c r="CY34" i="73"/>
  <c r="CW35" i="73"/>
  <c r="BN36" i="73"/>
  <c r="BL37" i="73"/>
  <c r="CU37" i="73" s="1"/>
  <c r="BP37" i="73"/>
  <c r="CY37" i="73" s="1"/>
  <c r="BM38" i="73"/>
  <c r="CV38" i="73" s="1"/>
  <c r="J39" i="73"/>
  <c r="AU39" i="73" s="1"/>
  <c r="AV39" i="73" s="1"/>
  <c r="AW39" i="73" s="1"/>
  <c r="AX39" i="73" s="1"/>
  <c r="BL39" i="73"/>
  <c r="CU39" i="73" s="1"/>
  <c r="BP39" i="73"/>
  <c r="CY39" i="73" s="1"/>
  <c r="AH39" i="73"/>
  <c r="AO39" i="73" s="1"/>
  <c r="CL40" i="73"/>
  <c r="BM40" i="73"/>
  <c r="CJ43" i="73"/>
  <c r="BK43" i="73"/>
  <c r="AG43" i="73"/>
  <c r="AN43" i="73" s="1"/>
  <c r="BO43" i="73"/>
  <c r="CN43" i="73"/>
  <c r="CX44" i="73"/>
  <c r="CY45" i="73"/>
  <c r="CV46" i="73"/>
  <c r="CK51" i="73"/>
  <c r="BL51" i="73"/>
  <c r="CU51" i="73" s="1"/>
  <c r="CO51" i="73"/>
  <c r="AL51" i="73"/>
  <c r="AS51" i="73" s="1"/>
  <c r="BP51" i="73"/>
  <c r="AG11" i="73"/>
  <c r="AN11" i="73" s="1"/>
  <c r="AK11" i="73"/>
  <c r="AR11" i="73" s="1"/>
  <c r="AG14" i="73"/>
  <c r="AN14" i="73" s="1"/>
  <c r="AK14" i="73"/>
  <c r="AR14" i="73" s="1"/>
  <c r="AG19" i="73"/>
  <c r="AN19" i="73" s="1"/>
  <c r="AA84" i="73"/>
  <c r="AE84" i="73"/>
  <c r="BC27" i="73"/>
  <c r="BC84" i="73" s="1"/>
  <c r="BG27" i="73"/>
  <c r="BP27" i="73" s="1"/>
  <c r="CY27" i="73" s="1"/>
  <c r="AG28" i="73"/>
  <c r="AN28" i="73" s="1"/>
  <c r="AG32" i="73"/>
  <c r="AN32" i="73" s="1"/>
  <c r="AK32" i="73"/>
  <c r="AR32" i="73" s="1"/>
  <c r="AI33" i="73"/>
  <c r="AP33" i="73" s="1"/>
  <c r="AH34" i="73"/>
  <c r="AO34" i="73" s="1"/>
  <c r="AL34" i="73"/>
  <c r="AS34" i="73" s="1"/>
  <c r="AJ35" i="73"/>
  <c r="AQ35" i="73" s="1"/>
  <c r="AH36" i="73"/>
  <c r="AO36" i="73" s="1"/>
  <c r="AL36" i="73"/>
  <c r="AS36" i="73" s="1"/>
  <c r="AG38" i="73"/>
  <c r="AN38" i="73" s="1"/>
  <c r="AK38" i="73"/>
  <c r="AR38" i="73" s="1"/>
  <c r="AL40" i="73"/>
  <c r="AS40" i="73" s="1"/>
  <c r="CK40" i="73"/>
  <c r="CU40" i="73" s="1"/>
  <c r="BO42" i="73"/>
  <c r="CX42" i="73" s="1"/>
  <c r="CV43" i="73"/>
  <c r="CW44" i="73"/>
  <c r="CJ44" i="73"/>
  <c r="BM45" i="73"/>
  <c r="CJ46" i="73"/>
  <c r="BM47" i="73"/>
  <c r="CV47" i="73" s="1"/>
  <c r="CK48" i="73"/>
  <c r="CU48" i="73" s="1"/>
  <c r="CO48" i="73"/>
  <c r="AH48" i="73"/>
  <c r="AO48" i="73" s="1"/>
  <c r="BP48" i="73"/>
  <c r="CY48" i="73" s="1"/>
  <c r="BM49" i="73"/>
  <c r="CV49" i="73" s="1"/>
  <c r="BL50" i="73"/>
  <c r="CU50" i="73" s="1"/>
  <c r="BP50" i="73"/>
  <c r="CY50" i="73" s="1"/>
  <c r="AH50" i="73"/>
  <c r="AO50" i="73" s="1"/>
  <c r="CK52" i="73"/>
  <c r="CU52" i="73" s="1"/>
  <c r="AL52" i="73"/>
  <c r="AS52" i="73" s="1"/>
  <c r="CO52" i="73"/>
  <c r="BP52" i="73"/>
  <c r="AH52" i="73"/>
  <c r="AO52" i="73" s="1"/>
  <c r="AH54" i="73"/>
  <c r="AO54" i="73" s="1"/>
  <c r="BL54" i="73"/>
  <c r="CK54" i="73"/>
  <c r="BP54" i="73"/>
  <c r="CO54" i="73"/>
  <c r="CK63" i="73"/>
  <c r="BL63" i="73"/>
  <c r="CO63" i="73"/>
  <c r="CY63" i="73" s="1"/>
  <c r="AL63" i="73"/>
  <c r="AS63" i="73" s="1"/>
  <c r="CU70" i="73"/>
  <c r="CZ70" i="73" s="1"/>
  <c r="BQ70" i="73"/>
  <c r="AH11" i="73"/>
  <c r="AO11" i="73" s="1"/>
  <c r="AL11" i="73"/>
  <c r="AS11" i="73" s="1"/>
  <c r="AH14" i="73"/>
  <c r="AO14" i="73" s="1"/>
  <c r="AL14" i="73"/>
  <c r="AS14" i="73" s="1"/>
  <c r="AB84" i="73"/>
  <c r="AH32" i="73"/>
  <c r="AO32" i="73" s="1"/>
  <c r="AL32" i="73"/>
  <c r="AS32" i="73" s="1"/>
  <c r="AJ33" i="73"/>
  <c r="AQ33" i="73" s="1"/>
  <c r="AI34" i="73"/>
  <c r="AP34" i="73" s="1"/>
  <c r="AG35" i="73"/>
  <c r="AN35" i="73" s="1"/>
  <c r="AK35" i="73"/>
  <c r="AR35" i="73" s="1"/>
  <c r="AI36" i="73"/>
  <c r="AP36" i="73" s="1"/>
  <c r="AH38" i="73"/>
  <c r="AO38" i="73" s="1"/>
  <c r="AL38" i="73"/>
  <c r="AS38" i="73" s="1"/>
  <c r="CK42" i="73"/>
  <c r="CU42" i="73" s="1"/>
  <c r="AH42" i="73"/>
  <c r="AO42" i="73" s="1"/>
  <c r="BP42" i="73"/>
  <c r="CW43" i="73"/>
  <c r="BN45" i="73"/>
  <c r="CW45" i="73" s="1"/>
  <c r="BN47" i="73"/>
  <c r="CW47" i="73" s="1"/>
  <c r="N48" i="73"/>
  <c r="O48" i="73" s="1"/>
  <c r="CV48" i="73"/>
  <c r="BN49" i="73"/>
  <c r="CW49" i="73" s="1"/>
  <c r="I50" i="73"/>
  <c r="J50" i="73" s="1"/>
  <c r="AU50" i="73" s="1"/>
  <c r="AI50" i="73"/>
  <c r="AP50" i="73" s="1"/>
  <c r="CW51" i="73"/>
  <c r="CL53" i="73"/>
  <c r="AI53" i="73"/>
  <c r="AP53" i="73" s="1"/>
  <c r="BM53" i="73"/>
  <c r="BQ53" i="73" s="1"/>
  <c r="AI54" i="73"/>
  <c r="AP54" i="73" s="1"/>
  <c r="BM54" i="73"/>
  <c r="BQ56" i="73"/>
  <c r="CX56" i="73"/>
  <c r="BM68" i="73"/>
  <c r="CV68" i="73" s="1"/>
  <c r="CZ68" i="73" s="1"/>
  <c r="AI68" i="73"/>
  <c r="AP68" i="73" s="1"/>
  <c r="CZ72" i="73"/>
  <c r="AJ40" i="73"/>
  <c r="AQ40" i="73" s="1"/>
  <c r="AI42" i="73"/>
  <c r="AP42" i="73" s="1"/>
  <c r="AI43" i="73"/>
  <c r="AP43" i="73" s="1"/>
  <c r="AI44" i="73"/>
  <c r="AP44" i="73" s="1"/>
  <c r="AG45" i="73"/>
  <c r="AN45" i="73" s="1"/>
  <c r="AK45" i="73"/>
  <c r="AR45" i="73" s="1"/>
  <c r="AI46" i="73"/>
  <c r="AP46" i="73" s="1"/>
  <c r="AG47" i="73"/>
  <c r="AN47" i="73" s="1"/>
  <c r="AK47" i="73"/>
  <c r="AR47" i="73" s="1"/>
  <c r="AI48" i="73"/>
  <c r="AP48" i="73" s="1"/>
  <c r="AG49" i="73"/>
  <c r="AN49" i="73" s="1"/>
  <c r="AK49" i="73"/>
  <c r="AR49" i="73" s="1"/>
  <c r="AJ51" i="73"/>
  <c r="AQ51" i="73" s="1"/>
  <c r="CL52" i="73"/>
  <c r="CV52" i="73" s="1"/>
  <c r="AI52" i="73"/>
  <c r="AP52" i="73" s="1"/>
  <c r="CJ53" i="73"/>
  <c r="CN53" i="73"/>
  <c r="CX53" i="73" s="1"/>
  <c r="AK53" i="73"/>
  <c r="AR53" i="73" s="1"/>
  <c r="AG53" i="73"/>
  <c r="AN53" i="73" s="1"/>
  <c r="CW54" i="73"/>
  <c r="CJ55" i="73"/>
  <c r="CN55" i="73"/>
  <c r="CX55" i="73" s="1"/>
  <c r="AG55" i="73"/>
  <c r="AN55" i="73" s="1"/>
  <c r="AI56" i="73"/>
  <c r="AP56" i="73" s="1"/>
  <c r="CA56" i="73"/>
  <c r="CJ56" i="73" s="1"/>
  <c r="CT56" i="73" s="1"/>
  <c r="CE56" i="73"/>
  <c r="CN56" i="73" s="1"/>
  <c r="CX61" i="73"/>
  <c r="CY62" i="73"/>
  <c r="BL69" i="73"/>
  <c r="CU69" i="73" s="1"/>
  <c r="AH69" i="73"/>
  <c r="AO69" i="73" s="1"/>
  <c r="AL69" i="73"/>
  <c r="AS69" i="73" s="1"/>
  <c r="BP69" i="73"/>
  <c r="CY69" i="73" s="1"/>
  <c r="BO73" i="73"/>
  <c r="CX73" i="73" s="1"/>
  <c r="AK73" i="73"/>
  <c r="AR73" i="73" s="1"/>
  <c r="AG73" i="73"/>
  <c r="AN73" i="73" s="1"/>
  <c r="BN81" i="73"/>
  <c r="CW81" i="73" s="1"/>
  <c r="AJ42" i="73"/>
  <c r="AQ42" i="73" s="1"/>
  <c r="AJ43" i="73"/>
  <c r="AQ43" i="73" s="1"/>
  <c r="AJ44" i="73"/>
  <c r="AQ44" i="73" s="1"/>
  <c r="AH45" i="73"/>
  <c r="AO45" i="73" s="1"/>
  <c r="AL45" i="73"/>
  <c r="AS45" i="73" s="1"/>
  <c r="AJ46" i="73"/>
  <c r="AQ46" i="73" s="1"/>
  <c r="AH47" i="73"/>
  <c r="AO47" i="73" s="1"/>
  <c r="AL47" i="73"/>
  <c r="AS47" i="73" s="1"/>
  <c r="AJ48" i="73"/>
  <c r="AQ48" i="73" s="1"/>
  <c r="AH49" i="73"/>
  <c r="AO49" i="73" s="1"/>
  <c r="AL49" i="73"/>
  <c r="AS49" i="73" s="1"/>
  <c r="CJ51" i="73"/>
  <c r="CN51" i="73"/>
  <c r="AG51" i="73"/>
  <c r="AN51" i="73" s="1"/>
  <c r="AK51" i="73"/>
  <c r="AR51" i="73" s="1"/>
  <c r="BK51" i="73"/>
  <c r="BO51" i="73"/>
  <c r="CX51" i="73" s="1"/>
  <c r="CW52" i="73"/>
  <c r="CU53" i="73"/>
  <c r="CY53" i="73"/>
  <c r="CY55" i="73"/>
  <c r="CF56" i="73"/>
  <c r="CO56" i="73" s="1"/>
  <c r="CY56" i="73" s="1"/>
  <c r="CB56" i="73"/>
  <c r="CK56" i="73" s="1"/>
  <c r="CU56" i="73" s="1"/>
  <c r="CW56" i="73"/>
  <c r="CC56" i="73"/>
  <c r="BQ57" i="73"/>
  <c r="CU59" i="73"/>
  <c r="CT60" i="73"/>
  <c r="CK61" i="73"/>
  <c r="BL61" i="73"/>
  <c r="CU61" i="73" s="1"/>
  <c r="CO61" i="73"/>
  <c r="CY61" i="73" s="1"/>
  <c r="AL61" i="73"/>
  <c r="AS61" i="73" s="1"/>
  <c r="BQ63" i="73"/>
  <c r="CJ66" i="73"/>
  <c r="CP66" i="73" s="1"/>
  <c r="BK66" i="73"/>
  <c r="AG66" i="73"/>
  <c r="AN66" i="73" s="1"/>
  <c r="BO66" i="73"/>
  <c r="CX66" i="73" s="1"/>
  <c r="BQ72" i="73"/>
  <c r="CT54" i="73"/>
  <c r="CX54" i="73"/>
  <c r="BN55" i="73"/>
  <c r="CW55" i="73" s="1"/>
  <c r="BQ58" i="73"/>
  <c r="CJ59" i="73"/>
  <c r="CT59" i="73" s="1"/>
  <c r="AG59" i="73"/>
  <c r="AN59" i="73" s="1"/>
  <c r="BO59" i="73"/>
  <c r="CX59" i="73" s="1"/>
  <c r="BM60" i="73"/>
  <c r="CV60" i="73" s="1"/>
  <c r="CW61" i="73"/>
  <c r="CJ61" i="73"/>
  <c r="BM62" i="73"/>
  <c r="CV62" i="73" s="1"/>
  <c r="CJ63" i="73"/>
  <c r="CT63" i="73" s="1"/>
  <c r="BL64" i="73"/>
  <c r="AH64" i="73"/>
  <c r="AO64" i="73" s="1"/>
  <c r="BP64" i="73"/>
  <c r="CY64" i="73" s="1"/>
  <c r="AL64" i="73"/>
  <c r="AS64" i="73" s="1"/>
  <c r="CT65" i="73"/>
  <c r="CZ65" i="73" s="1"/>
  <c r="BQ65" i="73"/>
  <c r="CV66" i="73"/>
  <c r="CM67" i="73"/>
  <c r="BN67" i="73"/>
  <c r="AJ67" i="73"/>
  <c r="AQ67" i="73" s="1"/>
  <c r="CT69" i="73"/>
  <c r="CT80" i="73"/>
  <c r="CZ80" i="73" s="1"/>
  <c r="BQ80" i="73"/>
  <c r="AG80" i="73"/>
  <c r="AN80" i="73" s="1"/>
  <c r="BN60" i="73"/>
  <c r="CW60" i="73" s="1"/>
  <c r="BN62" i="73"/>
  <c r="CW66" i="73"/>
  <c r="BK67" i="73"/>
  <c r="BO67" i="73"/>
  <c r="CX67" i="73" s="1"/>
  <c r="AK67" i="73"/>
  <c r="AR67" i="73" s="1"/>
  <c r="AG67" i="73"/>
  <c r="AN67" i="73" s="1"/>
  <c r="CZ75" i="73"/>
  <c r="BE76" i="73"/>
  <c r="CT81" i="73"/>
  <c r="AJ52" i="73"/>
  <c r="AQ52" i="73" s="1"/>
  <c r="AH53" i="73"/>
  <c r="AO53" i="73" s="1"/>
  <c r="AL53" i="73"/>
  <c r="AS53" i="73" s="1"/>
  <c r="AJ54" i="73"/>
  <c r="AQ54" i="73" s="1"/>
  <c r="AH55" i="73"/>
  <c r="AO55" i="73" s="1"/>
  <c r="AL55" i="73"/>
  <c r="AS55" i="73" s="1"/>
  <c r="AJ56" i="73"/>
  <c r="AQ56" i="73" s="1"/>
  <c r="AH59" i="73"/>
  <c r="AO59" i="73" s="1"/>
  <c r="AL59" i="73"/>
  <c r="AS59" i="73" s="1"/>
  <c r="AG60" i="73"/>
  <c r="AN60" i="73" s="1"/>
  <c r="AK60" i="73"/>
  <c r="AR60" i="73" s="1"/>
  <c r="AI61" i="73"/>
  <c r="AP61" i="73" s="1"/>
  <c r="AG62" i="73"/>
  <c r="AN62" i="73" s="1"/>
  <c r="AK62" i="73"/>
  <c r="AR62" i="73" s="1"/>
  <c r="AI63" i="73"/>
  <c r="AP63" i="73" s="1"/>
  <c r="AK64" i="73"/>
  <c r="AR64" i="73" s="1"/>
  <c r="AI66" i="73"/>
  <c r="AP66" i="73" s="1"/>
  <c r="AH73" i="73"/>
  <c r="AO73" i="73" s="1"/>
  <c r="BQ74" i="73"/>
  <c r="BM76" i="73"/>
  <c r="CV76" i="73" s="1"/>
  <c r="AI76" i="73"/>
  <c r="AP76" i="73" s="1"/>
  <c r="BB76" i="73"/>
  <c r="AG54" i="73"/>
  <c r="AN54" i="73" s="1"/>
  <c r="AK54" i="73"/>
  <c r="AR54" i="73" s="1"/>
  <c r="AI55" i="73"/>
  <c r="AP55" i="73" s="1"/>
  <c r="AG56" i="73"/>
  <c r="AN56" i="73" s="1"/>
  <c r="AK56" i="73"/>
  <c r="AR56" i="73" s="1"/>
  <c r="AI59" i="73"/>
  <c r="AP59" i="73" s="1"/>
  <c r="AH60" i="73"/>
  <c r="AO60" i="73" s="1"/>
  <c r="AL60" i="73"/>
  <c r="AS60" i="73" s="1"/>
  <c r="AJ61" i="73"/>
  <c r="AQ61" i="73" s="1"/>
  <c r="AH62" i="73"/>
  <c r="AO62" i="73" s="1"/>
  <c r="AL62" i="73"/>
  <c r="AS62" i="73" s="1"/>
  <c r="AJ63" i="73"/>
  <c r="AQ63" i="73" s="1"/>
  <c r="AJ66" i="73"/>
  <c r="AQ66" i="73" s="1"/>
  <c r="CL67" i="73"/>
  <c r="CV67" i="73" s="1"/>
  <c r="CA67" i="73"/>
  <c r="CJ67" i="73" s="1"/>
  <c r="AI67" i="73"/>
  <c r="AP67" i="73" s="1"/>
  <c r="AI73" i="73"/>
  <c r="AP73" i="73" s="1"/>
  <c r="CZ74" i="73"/>
  <c r="BQ75" i="73"/>
  <c r="AJ77" i="73"/>
  <c r="AQ77" i="73" s="1"/>
  <c r="AH68" i="73"/>
  <c r="AO68" i="73" s="1"/>
  <c r="AL68" i="73"/>
  <c r="AS68" i="73" s="1"/>
  <c r="AI69" i="73"/>
  <c r="AP69" i="73" s="1"/>
  <c r="AG71" i="73"/>
  <c r="AN71" i="73" s="1"/>
  <c r="AK71" i="73"/>
  <c r="AR71" i="73" s="1"/>
  <c r="AH72" i="73"/>
  <c r="AO72" i="73" s="1"/>
  <c r="AL72" i="73"/>
  <c r="AS72" i="73" s="1"/>
  <c r="BN73" i="73"/>
  <c r="BN76" i="73"/>
  <c r="CW76" i="73" s="1"/>
  <c r="AH77" i="73"/>
  <c r="AO77" i="73" s="1"/>
  <c r="AL77" i="73"/>
  <c r="AS77" i="73" s="1"/>
  <c r="BO78" i="73"/>
  <c r="CX78" i="73" s="1"/>
  <c r="AG78" i="73"/>
  <c r="AN78" i="73" s="1"/>
  <c r="AJ69" i="73"/>
  <c r="AQ69" i="73" s="1"/>
  <c r="AH71" i="73"/>
  <c r="AO71" i="73" s="1"/>
  <c r="AL71" i="73"/>
  <c r="AS71" i="73" s="1"/>
  <c r="AI72" i="73"/>
  <c r="AP72" i="73" s="1"/>
  <c r="AG76" i="73"/>
  <c r="AN76" i="73" s="1"/>
  <c r="AK76" i="73"/>
  <c r="AR76" i="73" s="1"/>
  <c r="AI77" i="73"/>
  <c r="AP77" i="73" s="1"/>
  <c r="J78" i="73"/>
  <c r="AU78" i="73" s="1"/>
  <c r="AV78" i="73" s="1"/>
  <c r="AW78" i="73" s="1"/>
  <c r="BL78" i="73"/>
  <c r="CU78" i="73" s="1"/>
  <c r="BP78" i="73"/>
  <c r="CY78" i="73" s="1"/>
  <c r="AH78" i="73"/>
  <c r="AO78" i="73" s="1"/>
  <c r="AH75" i="73"/>
  <c r="AO75" i="73" s="1"/>
  <c r="AL75" i="73"/>
  <c r="AS75" i="73" s="1"/>
  <c r="AJ79" i="73"/>
  <c r="AQ79" i="73" s="1"/>
  <c r="AI80" i="73"/>
  <c r="AP80" i="73" s="1"/>
  <c r="AH81" i="73"/>
  <c r="AO81" i="73" s="1"/>
  <c r="AL81" i="73"/>
  <c r="AS81" i="73" s="1"/>
  <c r="AI75" i="73"/>
  <c r="AP75" i="73" s="1"/>
  <c r="AG79" i="73"/>
  <c r="AN79" i="73" s="1"/>
  <c r="AK79" i="73"/>
  <c r="AR79" i="73" s="1"/>
  <c r="AJ80" i="73"/>
  <c r="AQ80" i="73" s="1"/>
  <c r="AI81" i="73"/>
  <c r="AP81" i="73" s="1"/>
  <c r="E67" i="60" l="1"/>
  <c r="E81" i="60"/>
  <c r="E85" i="60" s="1"/>
  <c r="CE81" i="55"/>
  <c r="CC81" i="55"/>
  <c r="CB71" i="55"/>
  <c r="CE67" i="55"/>
  <c r="CC67" i="55"/>
  <c r="CD67" i="55"/>
  <c r="CD71" i="55" s="1"/>
  <c r="CD81" i="55"/>
  <c r="CD85" i="55" s="1"/>
  <c r="BR67" i="55"/>
  <c r="BR81" i="55"/>
  <c r="AV5" i="73"/>
  <c r="AW5" i="73" s="1"/>
  <c r="AX5" i="73" s="1"/>
  <c r="AY5" i="73" s="1"/>
  <c r="AZ5" i="73" s="1"/>
  <c r="BB5" i="73"/>
  <c r="AV9" i="73"/>
  <c r="BB9" i="73"/>
  <c r="AY77" i="73"/>
  <c r="AZ77" i="73" s="1"/>
  <c r="BE77" i="73"/>
  <c r="BH77" i="73" s="1"/>
  <c r="BI77" i="73" s="1"/>
  <c r="CW38" i="73"/>
  <c r="CZ38" i="73" s="1"/>
  <c r="AH3" i="73"/>
  <c r="AO3" i="73" s="1"/>
  <c r="CP67" i="73"/>
  <c r="BQ71" i="73"/>
  <c r="BB78" i="73"/>
  <c r="BK78" i="73" s="1"/>
  <c r="CT78" i="73" s="1"/>
  <c r="CZ78" i="73" s="1"/>
  <c r="CC84" i="73"/>
  <c r="CY42" i="73"/>
  <c r="CP54" i="73"/>
  <c r="BB29" i="73"/>
  <c r="BH29" i="73" s="1"/>
  <c r="BI29" i="73" s="1"/>
  <c r="CX34" i="73"/>
  <c r="W84" i="73"/>
  <c r="CY14" i="73"/>
  <c r="BQ49" i="73"/>
  <c r="CT11" i="73"/>
  <c r="CO84" i="73"/>
  <c r="BB39" i="73"/>
  <c r="CM84" i="73"/>
  <c r="CZ35" i="73"/>
  <c r="CP36" i="73"/>
  <c r="CU60" i="73"/>
  <c r="CW53" i="73"/>
  <c r="CP47" i="73"/>
  <c r="CW42" i="73"/>
  <c r="CX35" i="73"/>
  <c r="CW62" i="73"/>
  <c r="CP46" i="73"/>
  <c r="CW36" i="73"/>
  <c r="T84" i="73"/>
  <c r="BQ45" i="73"/>
  <c r="CP40" i="73"/>
  <c r="CW48" i="73"/>
  <c r="CW67" i="73"/>
  <c r="CP51" i="73"/>
  <c r="CV54" i="73"/>
  <c r="CU63" i="73"/>
  <c r="CV45" i="73"/>
  <c r="BD19" i="73"/>
  <c r="BM19" i="73" s="1"/>
  <c r="CV19" i="73" s="1"/>
  <c r="CU46" i="73"/>
  <c r="CU14" i="73"/>
  <c r="BQ35" i="73"/>
  <c r="V84" i="73"/>
  <c r="CU43" i="73"/>
  <c r="AK16" i="73"/>
  <c r="AR16" i="73" s="1"/>
  <c r="CX36" i="73"/>
  <c r="CP60" i="73"/>
  <c r="CU62" i="73"/>
  <c r="CZ62" i="73" s="1"/>
  <c r="CX46" i="73"/>
  <c r="CZ56" i="73"/>
  <c r="AV50" i="73"/>
  <c r="AW50" i="73" s="1"/>
  <c r="AX50" i="73" s="1"/>
  <c r="AY50" i="73" s="1"/>
  <c r="BB50" i="73"/>
  <c r="AV15" i="73"/>
  <c r="BB15" i="73"/>
  <c r="AV17" i="73"/>
  <c r="BB17" i="73"/>
  <c r="AZ21" i="73"/>
  <c r="BF21" i="73"/>
  <c r="CU18" i="73"/>
  <c r="CZ59" i="73"/>
  <c r="AV12" i="73"/>
  <c r="BB12" i="73"/>
  <c r="CP44" i="73"/>
  <c r="CT44" i="73"/>
  <c r="CV40" i="73"/>
  <c r="BQ40" i="73"/>
  <c r="AZ28" i="73"/>
  <c r="BG28" i="73" s="1"/>
  <c r="BP28" i="73" s="1"/>
  <c r="CY28" i="73" s="1"/>
  <c r="BF28" i="73"/>
  <c r="BO28" i="73" s="1"/>
  <c r="CX28" i="73" s="1"/>
  <c r="CT27" i="73"/>
  <c r="CW73" i="73"/>
  <c r="CZ73" i="73" s="1"/>
  <c r="BQ73" i="73"/>
  <c r="CP55" i="73"/>
  <c r="CT55" i="73"/>
  <c r="CZ55" i="73" s="1"/>
  <c r="CZ63" i="73"/>
  <c r="CE48" i="73"/>
  <c r="CA48" i="73"/>
  <c r="CJ48" i="73" s="1"/>
  <c r="BQ43" i="73"/>
  <c r="CT43" i="73"/>
  <c r="AY39" i="73"/>
  <c r="AZ39" i="73" s="1"/>
  <c r="BE39" i="73"/>
  <c r="BN39" i="73" s="1"/>
  <c r="CW39" i="73" s="1"/>
  <c r="CT21" i="73"/>
  <c r="BB37" i="73"/>
  <c r="CZ61" i="73"/>
  <c r="CW32" i="73"/>
  <c r="BQ48" i="73"/>
  <c r="CT48" i="73"/>
  <c r="CP52" i="73"/>
  <c r="BM28" i="73"/>
  <c r="AQ4" i="73"/>
  <c r="AJ3" i="73"/>
  <c r="AP4" i="73"/>
  <c r="AI3" i="73"/>
  <c r="BQ32" i="73"/>
  <c r="AX78" i="73"/>
  <c r="AY78" i="73" s="1"/>
  <c r="AZ78" i="73" s="1"/>
  <c r="BD78" i="73"/>
  <c r="BM78" i="73" s="1"/>
  <c r="CV78" i="73" s="1"/>
  <c r="BN77" i="73"/>
  <c r="CW77" i="73" s="1"/>
  <c r="BQ68" i="73"/>
  <c r="CZ81" i="73"/>
  <c r="BQ69" i="73"/>
  <c r="CU64" i="73"/>
  <c r="CZ64" i="73" s="1"/>
  <c r="BQ64" i="73"/>
  <c r="CP61" i="73"/>
  <c r="BQ60" i="73"/>
  <c r="BQ55" i="73"/>
  <c r="CL56" i="73"/>
  <c r="CV56" i="73" s="1"/>
  <c r="CP53" i="73"/>
  <c r="CY54" i="73"/>
  <c r="CY51" i="73"/>
  <c r="CP43" i="73"/>
  <c r="AO17" i="73"/>
  <c r="AH16" i="73"/>
  <c r="AO16" i="73" s="1"/>
  <c r="BQ62" i="73"/>
  <c r="AN17" i="73"/>
  <c r="AG16" i="73"/>
  <c r="AN16" i="73" s="1"/>
  <c r="BD13" i="73"/>
  <c r="BQ47" i="73"/>
  <c r="BH20" i="73"/>
  <c r="BI20" i="73" s="1"/>
  <c r="AI16" i="73"/>
  <c r="AP16" i="73" s="1"/>
  <c r="CP14" i="73"/>
  <c r="CZ14" i="73" s="1"/>
  <c r="AN9" i="73"/>
  <c r="AG8" i="73"/>
  <c r="AN8" i="73" s="1"/>
  <c r="F84" i="73"/>
  <c r="F86" i="73" s="1"/>
  <c r="CZ47" i="73"/>
  <c r="BQ34" i="73"/>
  <c r="AS18" i="73"/>
  <c r="AL16" i="73"/>
  <c r="AS16" i="73" s="1"/>
  <c r="BQ61" i="73"/>
  <c r="CB84" i="73"/>
  <c r="CK32" i="73"/>
  <c r="CU32" i="73" s="1"/>
  <c r="AU84" i="73"/>
  <c r="BQ42" i="73"/>
  <c r="BB10" i="73"/>
  <c r="BQ11" i="73"/>
  <c r="CZ11" i="73" s="1"/>
  <c r="CF84" i="73"/>
  <c r="AH8" i="73"/>
  <c r="AO8" i="73" s="1"/>
  <c r="AO9" i="73"/>
  <c r="AK3" i="73"/>
  <c r="CL8" i="73"/>
  <c r="BB41" i="73"/>
  <c r="BF19" i="73"/>
  <c r="BO19" i="73" s="1"/>
  <c r="CX19" i="73" s="1"/>
  <c r="CP8" i="73"/>
  <c r="AL3" i="73"/>
  <c r="CT51" i="73"/>
  <c r="CZ51" i="73" s="1"/>
  <c r="BQ51" i="73"/>
  <c r="CU54" i="73"/>
  <c r="CZ54" i="73" s="1"/>
  <c r="BQ54" i="73"/>
  <c r="BH39" i="73"/>
  <c r="BI39" i="73" s="1"/>
  <c r="BQ38" i="73"/>
  <c r="AL8" i="73"/>
  <c r="AS8" i="73" s="1"/>
  <c r="AS9" i="73"/>
  <c r="AN4" i="73"/>
  <c r="AG3" i="73"/>
  <c r="CT77" i="73"/>
  <c r="CZ77" i="73" s="1"/>
  <c r="BQ77" i="73"/>
  <c r="CT52" i="73"/>
  <c r="BQ52" i="73"/>
  <c r="BQ36" i="73"/>
  <c r="CT36" i="73"/>
  <c r="CZ36" i="73" s="1"/>
  <c r="AJ16" i="73"/>
  <c r="AQ16" i="73" s="1"/>
  <c r="CU33" i="73"/>
  <c r="CZ33" i="73" s="1"/>
  <c r="CZ45" i="73"/>
  <c r="AP9" i="73"/>
  <c r="AI8" i="73"/>
  <c r="AP8" i="73" s="1"/>
  <c r="AK8" i="73"/>
  <c r="AR8" i="73" s="1"/>
  <c r="CZ49" i="73"/>
  <c r="CT34" i="73"/>
  <c r="CZ34" i="73" s="1"/>
  <c r="AW27" i="73"/>
  <c r="BD18" i="73"/>
  <c r="BM18" i="73" s="1"/>
  <c r="CV18" i="73" s="1"/>
  <c r="CZ42" i="73"/>
  <c r="CT13" i="73"/>
  <c r="CW14" i="73"/>
  <c r="CN8" i="73"/>
  <c r="BH76" i="73"/>
  <c r="BI76" i="73" s="1"/>
  <c r="BK76" i="73"/>
  <c r="BQ81" i="73"/>
  <c r="CT67" i="73"/>
  <c r="CZ67" i="73" s="1"/>
  <c r="BQ67" i="73"/>
  <c r="CZ69" i="73"/>
  <c r="CP63" i="73"/>
  <c r="CP59" i="73"/>
  <c r="BQ66" i="73"/>
  <c r="CT66" i="73"/>
  <c r="CZ66" i="73" s="1"/>
  <c r="CZ60" i="73"/>
  <c r="BQ59" i="73"/>
  <c r="CV53" i="73"/>
  <c r="CY52" i="73"/>
  <c r="CX43" i="73"/>
  <c r="BE41" i="73"/>
  <c r="BN41" i="73" s="1"/>
  <c r="CW41" i="73" s="1"/>
  <c r="CT53" i="73"/>
  <c r="BK39" i="73"/>
  <c r="CY44" i="73"/>
  <c r="CU44" i="73"/>
  <c r="BQ33" i="73"/>
  <c r="CA84" i="73"/>
  <c r="CJ32" i="73"/>
  <c r="BK29" i="73"/>
  <c r="BB19" i="73"/>
  <c r="BQ20" i="73"/>
  <c r="CZ20" i="73" s="1"/>
  <c r="CT46" i="73"/>
  <c r="CP42" i="73"/>
  <c r="AQ9" i="73"/>
  <c r="AJ8" i="73"/>
  <c r="AQ8" i="73" s="1"/>
  <c r="U84" i="73"/>
  <c r="CX52" i="73"/>
  <c r="CZ40" i="73"/>
  <c r="X84" i="73"/>
  <c r="BE84" i="73"/>
  <c r="BN27" i="73"/>
  <c r="CW27" i="73" s="1"/>
  <c r="BL27" i="73"/>
  <c r="CU27" i="73" s="1"/>
  <c r="J4" i="73"/>
  <c r="CC71" i="55" l="1"/>
  <c r="CE71" i="55"/>
  <c r="BR83" i="55"/>
  <c r="BR85" i="55" s="1"/>
  <c r="BR71" i="55"/>
  <c r="CZ43" i="73"/>
  <c r="BH5" i="73"/>
  <c r="BI5" i="73" s="1"/>
  <c r="BK5" i="73"/>
  <c r="AW9" i="73"/>
  <c r="BC9" i="73"/>
  <c r="BL9" i="73" s="1"/>
  <c r="CU9" i="73" s="1"/>
  <c r="CZ46" i="73"/>
  <c r="BK9" i="73"/>
  <c r="CT9" i="73" s="1"/>
  <c r="AV84" i="73"/>
  <c r="BQ18" i="73"/>
  <c r="CZ18" i="73" s="1"/>
  <c r="CP32" i="73"/>
  <c r="CT32" i="73"/>
  <c r="CZ32" i="73" s="1"/>
  <c r="BH41" i="73"/>
  <c r="BI41" i="73" s="1"/>
  <c r="BK41" i="73"/>
  <c r="BH10" i="73"/>
  <c r="BI10" i="73" s="1"/>
  <c r="BK10" i="73"/>
  <c r="AI84" i="73"/>
  <c r="AP3" i="73"/>
  <c r="AP84" i="73" s="1"/>
  <c r="CZ44" i="73"/>
  <c r="BK15" i="73"/>
  <c r="CT39" i="73"/>
  <c r="CZ39" i="73" s="1"/>
  <c r="BQ39" i="73"/>
  <c r="BK12" i="73"/>
  <c r="BK19" i="73"/>
  <c r="BH19" i="73"/>
  <c r="BI19" i="73" s="1"/>
  <c r="CZ53" i="73"/>
  <c r="BG84" i="73"/>
  <c r="AO84" i="73"/>
  <c r="AG84" i="73"/>
  <c r="AN3" i="73"/>
  <c r="AN84" i="73" s="1"/>
  <c r="AL84" i="73"/>
  <c r="AS3" i="73"/>
  <c r="AS84" i="73" s="1"/>
  <c r="CL84" i="73"/>
  <c r="AJ84" i="73"/>
  <c r="AQ3" i="73"/>
  <c r="AQ84" i="73" s="1"/>
  <c r="BH18" i="73"/>
  <c r="BI18" i="73" s="1"/>
  <c r="BH78" i="73"/>
  <c r="BI78" i="73" s="1"/>
  <c r="AW12" i="73"/>
  <c r="AX12" i="73" s="1"/>
  <c r="BC12" i="73"/>
  <c r="BL12" i="73" s="1"/>
  <c r="BK17" i="73"/>
  <c r="BK50" i="73"/>
  <c r="BH50" i="73"/>
  <c r="BI50" i="73" s="1"/>
  <c r="CT76" i="73"/>
  <c r="CZ76" i="73" s="1"/>
  <c r="BQ76" i="73"/>
  <c r="AW84" i="73"/>
  <c r="AX27" i="73"/>
  <c r="BD27" i="73"/>
  <c r="CV28" i="73"/>
  <c r="BQ28" i="73"/>
  <c r="CZ28" i="73" s="1"/>
  <c r="BH21" i="73"/>
  <c r="BI21" i="73" s="1"/>
  <c r="BO21" i="73"/>
  <c r="AW15" i="73"/>
  <c r="BC15" i="73"/>
  <c r="BL15" i="73" s="1"/>
  <c r="CU15" i="73" s="1"/>
  <c r="J6" i="73"/>
  <c r="J7" i="73" s="1"/>
  <c r="AU4" i="73"/>
  <c r="CT29" i="73"/>
  <c r="BQ29" i="73"/>
  <c r="CZ29" i="73" s="1"/>
  <c r="AH84" i="73"/>
  <c r="CZ52" i="73"/>
  <c r="CP56" i="73"/>
  <c r="BB84" i="73"/>
  <c r="AK84" i="73"/>
  <c r="AR3" i="73"/>
  <c r="AR84" i="73" s="1"/>
  <c r="BH13" i="73"/>
  <c r="BI13" i="73" s="1"/>
  <c r="BM13" i="73"/>
  <c r="BH37" i="73"/>
  <c r="BI37" i="73" s="1"/>
  <c r="BK37" i="73"/>
  <c r="CN48" i="73"/>
  <c r="CX48" i="73" s="1"/>
  <c r="CZ48" i="73" s="1"/>
  <c r="CE84" i="73"/>
  <c r="BQ78" i="73"/>
  <c r="BH28" i="73"/>
  <c r="BI28" i="73" s="1"/>
  <c r="CJ84" i="73"/>
  <c r="AW17" i="73"/>
  <c r="BC17" i="73"/>
  <c r="BL17" i="73" s="1"/>
  <c r="AZ50" i="73"/>
  <c r="BF50" i="73"/>
  <c r="BO50" i="73" s="1"/>
  <c r="CX50" i="73" s="1"/>
  <c r="CK84" i="73"/>
  <c r="CT5" i="73" l="1"/>
  <c r="BQ5" i="73"/>
  <c r="CZ5" i="73" s="1"/>
  <c r="AX9" i="73"/>
  <c r="BD9" i="73"/>
  <c r="BM9" i="73" s="1"/>
  <c r="CV9" i="73" s="1"/>
  <c r="AX15" i="73"/>
  <c r="BD15" i="73"/>
  <c r="CU12" i="73"/>
  <c r="CU8" i="73" s="1"/>
  <c r="BL8" i="73"/>
  <c r="CT12" i="73"/>
  <c r="CT15" i="73"/>
  <c r="CT41" i="73"/>
  <c r="CZ41" i="73" s="1"/>
  <c r="BQ41" i="73"/>
  <c r="AU6" i="73"/>
  <c r="AV4" i="73"/>
  <c r="AW4" i="73" s="1"/>
  <c r="BB4" i="73"/>
  <c r="CT50" i="73"/>
  <c r="CZ50" i="73" s="1"/>
  <c r="BQ50" i="73"/>
  <c r="AY12" i="73"/>
  <c r="BE12" i="73"/>
  <c r="BN12" i="73" s="1"/>
  <c r="CN84" i="73"/>
  <c r="AX17" i="73"/>
  <c r="BD17" i="73"/>
  <c r="BM17" i="73" s="1"/>
  <c r="CX21" i="73"/>
  <c r="BQ21" i="73"/>
  <c r="CZ21" i="73" s="1"/>
  <c r="BD84" i="73"/>
  <c r="BM27" i="73"/>
  <c r="CT17" i="73"/>
  <c r="BK16" i="73"/>
  <c r="BQ10" i="73"/>
  <c r="CZ10" i="73" s="1"/>
  <c r="CT10" i="73"/>
  <c r="CT8" i="73" s="1"/>
  <c r="CP48" i="73"/>
  <c r="CP84" i="73" s="1"/>
  <c r="BK8" i="73"/>
  <c r="CU17" i="73"/>
  <c r="CU16" i="73" s="1"/>
  <c r="BL16" i="73"/>
  <c r="BQ37" i="73"/>
  <c r="CT37" i="73"/>
  <c r="CZ37" i="73" s="1"/>
  <c r="CV13" i="73"/>
  <c r="BQ13" i="73"/>
  <c r="CZ13" i="73" s="1"/>
  <c r="AX84" i="73"/>
  <c r="AY27" i="73"/>
  <c r="CT19" i="73"/>
  <c r="BQ19" i="73"/>
  <c r="CZ19" i="73" s="1"/>
  <c r="AY9" i="73" l="1"/>
  <c r="BE9" i="73"/>
  <c r="BN9" i="73" s="1"/>
  <c r="CW9" i="73" s="1"/>
  <c r="AY84" i="73"/>
  <c r="BF27" i="73"/>
  <c r="AZ27" i="73"/>
  <c r="AZ84" i="73" s="1"/>
  <c r="CV17" i="73"/>
  <c r="CV16" i="73" s="1"/>
  <c r="BM16" i="73"/>
  <c r="AX4" i="73"/>
  <c r="BD4" i="73"/>
  <c r="BM4" i="73" s="1"/>
  <c r="AY17" i="73"/>
  <c r="BE17" i="73"/>
  <c r="BN17" i="73" s="1"/>
  <c r="AU7" i="73"/>
  <c r="AV6" i="73"/>
  <c r="AW6" i="73" s="1"/>
  <c r="AX6" i="73" s="1"/>
  <c r="AY6" i="73" s="1"/>
  <c r="AZ6" i="73" s="1"/>
  <c r="BB6" i="73"/>
  <c r="CT16" i="73"/>
  <c r="BM15" i="73"/>
  <c r="CV27" i="73"/>
  <c r="AZ12" i="73"/>
  <c r="BG12" i="73" s="1"/>
  <c r="BP12" i="73" s="1"/>
  <c r="BF12" i="73"/>
  <c r="CW12" i="73"/>
  <c r="BK4" i="73"/>
  <c r="AY15" i="73"/>
  <c r="BE15" i="73"/>
  <c r="BN15" i="73" s="1"/>
  <c r="CW15" i="73" s="1"/>
  <c r="CW8" i="73" l="1"/>
  <c r="AZ9" i="73"/>
  <c r="BG9" i="73" s="1"/>
  <c r="BP9" i="73" s="1"/>
  <c r="CY9" i="73" s="1"/>
  <c r="BF9" i="73"/>
  <c r="BO9" i="73" s="1"/>
  <c r="BH9" i="73"/>
  <c r="BI9" i="73" s="1"/>
  <c r="AV7" i="73"/>
  <c r="BB7" i="73"/>
  <c r="CT4" i="73"/>
  <c r="BN16" i="73"/>
  <c r="CW17" i="73"/>
  <c r="CW16" i="73" s="1"/>
  <c r="BF84" i="73"/>
  <c r="BO27" i="73"/>
  <c r="BH27" i="73"/>
  <c r="BI27" i="73" s="1"/>
  <c r="BN8" i="73"/>
  <c r="CY12" i="73"/>
  <c r="BH6" i="73"/>
  <c r="BI6" i="73" s="1"/>
  <c r="BK6" i="73"/>
  <c r="AZ17" i="73"/>
  <c r="BG17" i="73" s="1"/>
  <c r="BP17" i="73" s="1"/>
  <c r="BF17" i="73"/>
  <c r="CV15" i="73"/>
  <c r="CV8" i="73" s="1"/>
  <c r="BM8" i="73"/>
  <c r="CV4" i="73"/>
  <c r="CV3" i="73" s="1"/>
  <c r="BM3" i="73"/>
  <c r="BO12" i="73"/>
  <c r="BH12" i="73"/>
  <c r="BI12" i="73" s="1"/>
  <c r="AY4" i="73"/>
  <c r="AZ4" i="73" s="1"/>
  <c r="BE4" i="73"/>
  <c r="AZ15" i="73"/>
  <c r="BG15" i="73" s="1"/>
  <c r="BP15" i="73" s="1"/>
  <c r="CY15" i="73" s="1"/>
  <c r="BF15" i="73"/>
  <c r="CX9" i="73" l="1"/>
  <c r="BQ9" i="73"/>
  <c r="CZ9" i="73" s="1"/>
  <c r="CY8" i="73"/>
  <c r="BN4" i="73"/>
  <c r="BH4" i="73"/>
  <c r="BI4" i="73" s="1"/>
  <c r="BQ6" i="73"/>
  <c r="CZ6" i="73" s="1"/>
  <c r="CT6" i="73"/>
  <c r="BM84" i="73"/>
  <c r="BK7" i="73"/>
  <c r="CY17" i="73"/>
  <c r="CY16" i="73" s="1"/>
  <c r="BP16" i="73"/>
  <c r="CX12" i="73"/>
  <c r="BQ12" i="73"/>
  <c r="BO15" i="73"/>
  <c r="BO8" i="73" s="1"/>
  <c r="BH15" i="73"/>
  <c r="BI15" i="73" s="1"/>
  <c r="CV84" i="73"/>
  <c r="BO17" i="73"/>
  <c r="BH17" i="73"/>
  <c r="BI17" i="73" s="1"/>
  <c r="BP8" i="73"/>
  <c r="CX27" i="73"/>
  <c r="BQ27" i="73"/>
  <c r="CZ27" i="73" s="1"/>
  <c r="AW7" i="73"/>
  <c r="AX7" i="73" s="1"/>
  <c r="AY7" i="73" s="1"/>
  <c r="AZ7" i="73" s="1"/>
  <c r="BC7" i="73"/>
  <c r="BL7" i="73" s="1"/>
  <c r="BP84" i="73" l="1"/>
  <c r="CT7" i="73"/>
  <c r="CT3" i="73" s="1"/>
  <c r="CT84" i="73" s="1"/>
  <c r="BQ7" i="73"/>
  <c r="CZ7" i="73" s="1"/>
  <c r="BK3" i="73"/>
  <c r="BK84" i="73" s="1"/>
  <c r="CX15" i="73"/>
  <c r="CX8" i="73" s="1"/>
  <c r="BQ15" i="73"/>
  <c r="CZ15" i="73" s="1"/>
  <c r="BH7" i="73"/>
  <c r="BI7" i="73" s="1"/>
  <c r="BO16" i="73"/>
  <c r="BO84" i="73" s="1"/>
  <c r="CX17" i="73"/>
  <c r="CX16" i="73" s="1"/>
  <c r="BQ17" i="73"/>
  <c r="CW4" i="73"/>
  <c r="CW3" i="73" s="1"/>
  <c r="CW84" i="73" s="1"/>
  <c r="BN3" i="73"/>
  <c r="BN84" i="73" s="1"/>
  <c r="BQ4" i="73"/>
  <c r="CU7" i="73"/>
  <c r="CU3" i="73" s="1"/>
  <c r="CU84" i="73" s="1"/>
  <c r="BL3" i="73"/>
  <c r="BL84" i="73" s="1"/>
  <c r="CZ12" i="73"/>
  <c r="CZ8" i="73" s="1"/>
  <c r="BQ8" i="73"/>
  <c r="CY84" i="73"/>
  <c r="CX84" i="73" l="1"/>
  <c r="CZ17" i="73"/>
  <c r="CZ16" i="73" s="1"/>
  <c r="BQ16" i="73"/>
  <c r="BQ3" i="73"/>
  <c r="CZ4" i="73"/>
  <c r="CZ3" i="73" s="1"/>
  <c r="CZ84" i="73" s="1"/>
  <c r="BQ84" i="73" l="1"/>
  <c r="BQ86" i="73" s="1"/>
  <c r="AC47" i="72" l="1"/>
  <c r="AC43" i="72"/>
  <c r="AC39" i="72"/>
  <c r="P36" i="72"/>
  <c r="L35" i="72"/>
  <c r="L37" i="72" s="1"/>
  <c r="H35" i="72"/>
  <c r="H37" i="72" s="1"/>
  <c r="E35" i="72"/>
  <c r="E37" i="72" s="1"/>
  <c r="V34" i="72"/>
  <c r="U34" i="72"/>
  <c r="R34" i="72"/>
  <c r="M34" i="72"/>
  <c r="L34" i="72"/>
  <c r="I34" i="72"/>
  <c r="H34" i="72"/>
  <c r="F34" i="72"/>
  <c r="E34" i="72"/>
  <c r="C34" i="72"/>
  <c r="AJ32" i="72"/>
  <c r="AJ34" i="72" s="1"/>
  <c r="AM31" i="72"/>
  <c r="AI31" i="72"/>
  <c r="AH31" i="72"/>
  <c r="AB31" i="72"/>
  <c r="AC31" i="72" s="1"/>
  <c r="AP31" i="72" s="1"/>
  <c r="AM30" i="72"/>
  <c r="AB30" i="72"/>
  <c r="AC30" i="72" s="1"/>
  <c r="AP30" i="72" s="1"/>
  <c r="AB29" i="72"/>
  <c r="AC29" i="72" s="1"/>
  <c r="AM28" i="72"/>
  <c r="AB28" i="72"/>
  <c r="AC28" i="72" s="1"/>
  <c r="AP28" i="72" s="1"/>
  <c r="AM27" i="72"/>
  <c r="AB27" i="72"/>
  <c r="AC27" i="72" s="1"/>
  <c r="AP27" i="72" s="1"/>
  <c r="AM26" i="72"/>
  <c r="AB26" i="72"/>
  <c r="AC26" i="72" s="1"/>
  <c r="AP26" i="72" s="1"/>
  <c r="AM25" i="72"/>
  <c r="AI25" i="72"/>
  <c r="AJ25" i="72" s="1"/>
  <c r="AH25" i="72"/>
  <c r="AB25" i="72"/>
  <c r="AC25" i="72" s="1"/>
  <c r="AP25" i="72" s="1"/>
  <c r="AM24" i="72"/>
  <c r="AC24" i="72"/>
  <c r="AP24" i="72" s="1"/>
  <c r="AB24" i="72"/>
  <c r="AM23" i="72"/>
  <c r="AC23" i="72"/>
  <c r="AP23" i="72" s="1"/>
  <c r="AB23" i="72"/>
  <c r="AM22" i="72"/>
  <c r="AB22" i="72"/>
  <c r="AC22" i="72" s="1"/>
  <c r="AP22" i="72" s="1"/>
  <c r="AM21" i="72"/>
  <c r="AD21" i="72"/>
  <c r="AB21" i="72"/>
  <c r="AC21" i="72" s="1"/>
  <c r="AP21" i="72" s="1"/>
  <c r="X21" i="72"/>
  <c r="W21" i="72"/>
  <c r="T21" i="72"/>
  <c r="S21" i="72"/>
  <c r="O21" i="72"/>
  <c r="N21" i="72"/>
  <c r="AE21" i="72" s="1"/>
  <c r="K21" i="72"/>
  <c r="J21" i="72"/>
  <c r="AM20" i="72"/>
  <c r="AD20" i="72"/>
  <c r="AB20" i="72"/>
  <c r="AC20" i="72" s="1"/>
  <c r="AP20" i="72" s="1"/>
  <c r="X20" i="72"/>
  <c r="W20" i="72"/>
  <c r="O20" i="72"/>
  <c r="N20" i="72"/>
  <c r="AE20" i="72" s="1"/>
  <c r="K20" i="72"/>
  <c r="J20" i="72"/>
  <c r="AM19" i="72"/>
  <c r="AD19" i="72"/>
  <c r="AC19" i="72"/>
  <c r="AP19" i="72" s="1"/>
  <c r="AB19" i="72"/>
  <c r="X19" i="72"/>
  <c r="W19" i="72"/>
  <c r="T19" i="72"/>
  <c r="S19" i="72"/>
  <c r="O19" i="72"/>
  <c r="N19" i="72"/>
  <c r="AE19" i="72" s="1"/>
  <c r="K19" i="72"/>
  <c r="J19" i="72"/>
  <c r="AM18" i="72"/>
  <c r="AC18" i="72"/>
  <c r="AP18" i="72" s="1"/>
  <c r="AB18" i="72"/>
  <c r="AM17" i="72"/>
  <c r="AD17" i="72"/>
  <c r="AB17" i="72"/>
  <c r="AC17" i="72" s="1"/>
  <c r="AP17" i="72" s="1"/>
  <c r="X17" i="72"/>
  <c r="W17" i="72"/>
  <c r="T17" i="72"/>
  <c r="S17" i="72"/>
  <c r="O17" i="72"/>
  <c r="N17" i="72"/>
  <c r="AE17" i="72" s="1"/>
  <c r="K17" i="72"/>
  <c r="J17" i="72"/>
  <c r="AM16" i="72"/>
  <c r="AD16" i="72"/>
  <c r="AC16" i="72"/>
  <c r="AP16" i="72" s="1"/>
  <c r="AB16" i="72"/>
  <c r="X16" i="72"/>
  <c r="W16" i="72"/>
  <c r="T16" i="72"/>
  <c r="S16" i="72"/>
  <c r="O16" i="72"/>
  <c r="N16" i="72"/>
  <c r="AE16" i="72" s="1"/>
  <c r="K16" i="72"/>
  <c r="J16" i="72"/>
  <c r="AM15" i="72"/>
  <c r="AD15" i="72"/>
  <c r="AB15" i="72"/>
  <c r="AC15" i="72" s="1"/>
  <c r="AP15" i="72" s="1"/>
  <c r="X15" i="72"/>
  <c r="W15" i="72"/>
  <c r="T15" i="72"/>
  <c r="S15" i="72"/>
  <c r="O15" i="72"/>
  <c r="N15" i="72"/>
  <c r="AE15" i="72" s="1"/>
  <c r="K15" i="72"/>
  <c r="J15" i="72"/>
  <c r="AM14" i="72"/>
  <c r="AK14" i="72"/>
  <c r="AD14" i="72"/>
  <c r="AB14" i="72"/>
  <c r="AC14" i="72" s="1"/>
  <c r="AP14" i="72" s="1"/>
  <c r="X14" i="72"/>
  <c r="W14" i="72"/>
  <c r="T14" i="72"/>
  <c r="S14" i="72"/>
  <c r="O14" i="72"/>
  <c r="N14" i="72"/>
  <c r="AE14" i="72" s="1"/>
  <c r="K14" i="72"/>
  <c r="J14" i="72"/>
  <c r="AM13" i="72"/>
  <c r="AD13" i="72"/>
  <c r="AB13" i="72"/>
  <c r="AC13" i="72" s="1"/>
  <c r="AP13" i="72" s="1"/>
  <c r="X13" i="72"/>
  <c r="W13" i="72"/>
  <c r="T13" i="72"/>
  <c r="S13" i="72"/>
  <c r="O13" i="72"/>
  <c r="N13" i="72"/>
  <c r="AE13" i="72" s="1"/>
  <c r="AM12" i="72"/>
  <c r="AK12" i="72"/>
  <c r="AB12" i="72"/>
  <c r="AC12" i="72" s="1"/>
  <c r="AP12" i="72" s="1"/>
  <c r="AM11" i="72"/>
  <c r="AK11" i="72"/>
  <c r="AD11" i="72"/>
  <c r="AC11" i="72"/>
  <c r="AP11" i="72" s="1"/>
  <c r="AB11" i="72"/>
  <c r="X11" i="72"/>
  <c r="W11" i="72"/>
  <c r="T11" i="72"/>
  <c r="S11" i="72"/>
  <c r="O11" i="72"/>
  <c r="N11" i="72"/>
  <c r="AE11" i="72" s="1"/>
  <c r="K11" i="72"/>
  <c r="J11" i="72"/>
  <c r="AM10" i="72"/>
  <c r="AD10" i="72"/>
  <c r="AB10" i="72"/>
  <c r="AC10" i="72" s="1"/>
  <c r="AP10" i="72" s="1"/>
  <c r="X10" i="72"/>
  <c r="W10" i="72"/>
  <c r="T10" i="72"/>
  <c r="S10" i="72"/>
  <c r="O10" i="72"/>
  <c r="N10" i="72"/>
  <c r="AE10" i="72" s="1"/>
  <c r="AD9" i="72"/>
  <c r="AB9" i="72"/>
  <c r="AC9" i="72" s="1"/>
  <c r="Y9" i="72"/>
  <c r="Y34" i="72" s="1"/>
  <c r="U9" i="72"/>
  <c r="U35" i="72" s="1"/>
  <c r="T9" i="72"/>
  <c r="S9" i="72"/>
  <c r="P9" i="72"/>
  <c r="P34" i="72" s="1"/>
  <c r="K9" i="72"/>
  <c r="J9" i="72"/>
  <c r="N9" i="72" l="1"/>
  <c r="AE9" i="72" s="1"/>
  <c r="X9" i="72"/>
  <c r="AC32" i="72"/>
  <c r="AC34" i="72" s="1"/>
  <c r="AC41" i="72" s="1"/>
  <c r="AC44" i="72" s="1"/>
  <c r="AC46" i="72" s="1"/>
  <c r="AC48" i="72" s="1"/>
  <c r="O9" i="72"/>
  <c r="P35" i="72"/>
  <c r="P37" i="72" s="1"/>
  <c r="W9" i="72"/>
  <c r="BP81" i="59" l="1"/>
  <c r="BZ81" i="66"/>
  <c r="BW81" i="66"/>
  <c r="BJ81" i="66"/>
  <c r="A167" i="66"/>
  <c r="A166" i="66"/>
  <c r="A165" i="66"/>
  <c r="A164" i="66"/>
  <c r="A163" i="66"/>
  <c r="I162" i="66"/>
  <c r="A162" i="66"/>
  <c r="A161" i="66"/>
  <c r="A160" i="66"/>
  <c r="A159" i="66"/>
  <c r="A158" i="66"/>
  <c r="A157" i="66"/>
  <c r="A156" i="66"/>
  <c r="A155" i="66"/>
  <c r="A154" i="66"/>
  <c r="A153" i="66"/>
  <c r="A152" i="66"/>
  <c r="A151" i="66"/>
  <c r="A150" i="66"/>
  <c r="A149" i="66"/>
  <c r="A147" i="66"/>
  <c r="A146" i="66"/>
  <c r="A145" i="66"/>
  <c r="A144" i="66"/>
  <c r="A143" i="66"/>
  <c r="A142" i="66"/>
  <c r="A140" i="66"/>
  <c r="A139" i="66"/>
  <c r="A138" i="66"/>
  <c r="A137" i="66"/>
  <c r="A136" i="66"/>
  <c r="A135" i="66"/>
  <c r="A134" i="66"/>
  <c r="A133" i="66"/>
  <c r="A132" i="66"/>
  <c r="A131" i="66"/>
  <c r="A130" i="66"/>
  <c r="A129" i="66"/>
  <c r="A128" i="66"/>
  <c r="A127" i="66"/>
  <c r="A126" i="66"/>
  <c r="A125" i="66"/>
  <c r="A124" i="66"/>
  <c r="A123" i="66"/>
  <c r="A122" i="66"/>
  <c r="A121" i="66"/>
  <c r="A120" i="66"/>
  <c r="A119" i="66"/>
  <c r="A118" i="66"/>
  <c r="A117" i="66"/>
  <c r="A116" i="66"/>
  <c r="A115" i="66"/>
  <c r="A112" i="66"/>
  <c r="A111" i="66"/>
  <c r="A110" i="66"/>
  <c r="A108" i="66"/>
  <c r="A107" i="66"/>
  <c r="A106" i="66"/>
  <c r="A105" i="66"/>
  <c r="A104" i="66"/>
  <c r="A103" i="66"/>
  <c r="A102" i="66"/>
  <c r="A101" i="66"/>
  <c r="I100" i="66"/>
  <c r="A100" i="66"/>
  <c r="I98" i="66"/>
  <c r="A98" i="66"/>
  <c r="I97" i="66"/>
  <c r="A97" i="66"/>
  <c r="A96" i="66"/>
  <c r="A95" i="66"/>
  <c r="A94" i="66"/>
  <c r="A93" i="66"/>
  <c r="A92" i="66"/>
  <c r="A90" i="66"/>
  <c r="A89" i="66"/>
  <c r="A88" i="66"/>
  <c r="A87" i="66"/>
  <c r="BF53" i="66" l="1"/>
  <c r="BF52" i="66"/>
  <c r="BF51" i="66"/>
  <c r="BF50" i="66"/>
  <c r="BF49" i="66"/>
  <c r="BF48" i="66"/>
  <c r="BF47" i="66"/>
  <c r="BF46" i="66"/>
  <c r="BF45" i="66"/>
  <c r="BF44" i="66"/>
  <c r="BF43" i="66"/>
  <c r="BF42" i="66"/>
  <c r="BF41" i="66"/>
  <c r="BF40" i="66"/>
  <c r="BF39" i="66"/>
  <c r="BF38" i="66"/>
  <c r="BF37" i="66"/>
  <c r="BF36" i="66"/>
  <c r="BF35" i="66"/>
  <c r="BF34" i="66"/>
  <c r="BF33" i="66"/>
  <c r="BF32" i="66"/>
  <c r="BF31" i="66"/>
  <c r="BF30" i="66"/>
  <c r="BF29" i="66"/>
  <c r="BF28" i="66"/>
  <c r="BF27" i="66"/>
  <c r="BF26" i="66"/>
  <c r="BB53" i="66"/>
  <c r="BB52" i="66"/>
  <c r="BB51" i="66"/>
  <c r="BB50" i="66"/>
  <c r="BB49" i="66"/>
  <c r="BB48" i="66"/>
  <c r="BB47" i="66"/>
  <c r="BB46" i="66"/>
  <c r="BB45" i="66"/>
  <c r="BB44" i="66"/>
  <c r="BB43" i="66"/>
  <c r="BB42" i="66"/>
  <c r="BB41" i="66"/>
  <c r="BB40" i="66"/>
  <c r="BB39" i="66"/>
  <c r="BB38" i="66"/>
  <c r="BB37" i="66"/>
  <c r="BB36" i="66"/>
  <c r="BB35" i="66"/>
  <c r="BB34" i="66"/>
  <c r="BB33" i="66"/>
  <c r="BB32" i="66"/>
  <c r="BB31" i="66"/>
  <c r="BB30" i="66"/>
  <c r="BB29" i="66"/>
  <c r="BB28" i="66"/>
  <c r="BB27" i="66"/>
  <c r="BB26" i="66"/>
  <c r="AX53" i="66"/>
  <c r="AX52" i="66"/>
  <c r="AX51" i="66"/>
  <c r="AX50" i="66"/>
  <c r="AX49" i="66"/>
  <c r="AX48" i="66"/>
  <c r="AX47" i="66"/>
  <c r="AX46" i="66"/>
  <c r="AX45" i="66"/>
  <c r="AX44" i="66"/>
  <c r="AX43" i="66"/>
  <c r="AX42" i="66"/>
  <c r="AX41" i="66"/>
  <c r="AX40" i="66"/>
  <c r="AX39" i="66"/>
  <c r="AX38" i="66"/>
  <c r="AX37" i="66"/>
  <c r="AX36" i="66"/>
  <c r="AX35" i="66"/>
  <c r="AX34" i="66"/>
  <c r="AX33" i="66"/>
  <c r="AX32" i="66"/>
  <c r="AX31" i="66"/>
  <c r="AX30" i="66"/>
  <c r="AX29" i="66"/>
  <c r="AX28" i="66"/>
  <c r="AX27" i="66"/>
  <c r="AX26" i="66"/>
  <c r="AT53" i="66"/>
  <c r="AT52" i="66"/>
  <c r="AT51" i="66"/>
  <c r="AT50" i="66"/>
  <c r="AT49" i="66"/>
  <c r="AT48" i="66"/>
  <c r="AT47" i="66"/>
  <c r="AT46" i="66"/>
  <c r="AT45" i="66"/>
  <c r="AT44" i="66"/>
  <c r="AT43" i="66"/>
  <c r="AT42" i="66"/>
  <c r="AT41" i="66"/>
  <c r="AT40" i="66"/>
  <c r="AT39" i="66"/>
  <c r="AT38" i="66"/>
  <c r="AT37" i="66"/>
  <c r="AT36" i="66"/>
  <c r="AT35" i="66"/>
  <c r="AT34" i="66"/>
  <c r="AT33" i="66"/>
  <c r="AT32" i="66"/>
  <c r="AT31" i="66"/>
  <c r="AT30" i="66"/>
  <c r="AT29" i="66"/>
  <c r="AT28" i="66"/>
  <c r="AT27" i="66"/>
  <c r="AT26" i="66"/>
  <c r="AP53" i="66"/>
  <c r="AP52" i="66"/>
  <c r="AP51" i="66"/>
  <c r="AP50" i="66"/>
  <c r="AP49" i="66"/>
  <c r="AP48" i="66"/>
  <c r="AP47" i="66"/>
  <c r="AP46" i="66"/>
  <c r="AP45" i="66"/>
  <c r="AP44" i="66"/>
  <c r="AP43" i="66"/>
  <c r="AP42" i="66"/>
  <c r="AP41" i="66"/>
  <c r="AP40" i="66"/>
  <c r="AP39" i="66"/>
  <c r="AP38" i="66"/>
  <c r="AP37" i="66"/>
  <c r="AP36" i="66"/>
  <c r="AP35" i="66"/>
  <c r="AP34" i="66"/>
  <c r="AP33" i="66"/>
  <c r="AP32" i="66"/>
  <c r="AP31" i="66"/>
  <c r="AP30" i="66"/>
  <c r="AP29" i="66"/>
  <c r="AP28" i="66"/>
  <c r="AP27" i="66"/>
  <c r="AP26" i="66"/>
  <c r="AL53" i="66"/>
  <c r="AL52" i="66"/>
  <c r="AL51" i="66"/>
  <c r="AL50" i="66"/>
  <c r="AL49" i="66"/>
  <c r="AL48" i="66"/>
  <c r="AL47" i="66"/>
  <c r="AL46" i="66"/>
  <c r="AL45" i="66"/>
  <c r="AL44" i="66"/>
  <c r="AL43" i="66"/>
  <c r="AL42" i="66"/>
  <c r="AL41" i="66"/>
  <c r="AL40" i="66"/>
  <c r="AL39" i="66"/>
  <c r="AL38" i="66"/>
  <c r="AL37" i="66"/>
  <c r="AL36" i="66"/>
  <c r="AL35" i="66"/>
  <c r="AL34" i="66"/>
  <c r="AL33" i="66"/>
  <c r="AL32" i="66"/>
  <c r="AL31" i="66"/>
  <c r="AL30" i="66"/>
  <c r="AL29" i="66"/>
  <c r="AL28" i="66"/>
  <c r="AL27" i="66"/>
  <c r="AL26" i="66"/>
  <c r="AH53" i="66"/>
  <c r="AH52" i="66"/>
  <c r="AH51" i="66"/>
  <c r="AH50" i="66"/>
  <c r="AH49" i="66"/>
  <c r="AH48" i="66"/>
  <c r="AH47" i="66"/>
  <c r="AH46" i="66"/>
  <c r="AH45" i="66"/>
  <c r="AH44" i="66"/>
  <c r="AH43" i="66"/>
  <c r="AH42" i="66"/>
  <c r="AH41" i="66"/>
  <c r="AH40" i="66"/>
  <c r="AH39" i="66"/>
  <c r="AH38" i="66"/>
  <c r="AH37" i="66"/>
  <c r="AH36" i="66"/>
  <c r="AH35" i="66"/>
  <c r="AH34" i="66"/>
  <c r="AH33" i="66"/>
  <c r="AH32" i="66"/>
  <c r="AH31" i="66"/>
  <c r="AH30" i="66"/>
  <c r="AH29" i="66"/>
  <c r="AH28" i="66"/>
  <c r="AH27" i="66"/>
  <c r="AH26" i="66"/>
  <c r="AD53" i="66"/>
  <c r="AD52" i="66"/>
  <c r="AD51" i="66"/>
  <c r="AD50" i="66"/>
  <c r="AD49" i="66"/>
  <c r="AD48" i="66"/>
  <c r="AD47" i="66"/>
  <c r="AD46" i="66"/>
  <c r="AD45" i="66"/>
  <c r="AD44" i="66"/>
  <c r="AD43" i="66"/>
  <c r="AD42" i="66"/>
  <c r="AD41" i="66"/>
  <c r="AD40" i="66"/>
  <c r="AD39" i="66"/>
  <c r="AD38" i="66"/>
  <c r="AD37" i="66"/>
  <c r="AD36" i="66"/>
  <c r="AD35" i="66"/>
  <c r="AD34" i="66"/>
  <c r="AD33" i="66"/>
  <c r="AD32" i="66"/>
  <c r="AD31" i="66"/>
  <c r="AD30" i="66"/>
  <c r="AD29" i="66"/>
  <c r="AD28" i="66"/>
  <c r="AD27" i="66"/>
  <c r="AD26" i="66"/>
  <c r="Z53" i="66"/>
  <c r="Z52" i="66"/>
  <c r="Z51" i="66"/>
  <c r="Z50" i="66"/>
  <c r="Z49" i="66"/>
  <c r="Z48" i="66"/>
  <c r="Z47" i="66"/>
  <c r="Z46" i="66"/>
  <c r="Z45" i="66"/>
  <c r="Z44" i="66"/>
  <c r="Z43" i="66"/>
  <c r="Z42" i="66"/>
  <c r="Z41" i="66"/>
  <c r="Z40" i="66"/>
  <c r="Z39" i="66"/>
  <c r="Z38" i="66"/>
  <c r="Z37" i="66"/>
  <c r="Z36" i="66"/>
  <c r="Z35" i="66"/>
  <c r="Z34" i="66"/>
  <c r="Z33" i="66"/>
  <c r="Z32" i="66"/>
  <c r="Z31" i="66"/>
  <c r="Z30" i="66"/>
  <c r="Z29" i="66"/>
  <c r="Z28" i="66"/>
  <c r="Z27" i="66"/>
  <c r="Z26" i="66"/>
  <c r="V53" i="66"/>
  <c r="V52" i="66"/>
  <c r="V51" i="66"/>
  <c r="V50" i="66"/>
  <c r="V49" i="66"/>
  <c r="V48" i="66"/>
  <c r="V47" i="66"/>
  <c r="V46" i="66"/>
  <c r="V45" i="66"/>
  <c r="V44" i="66"/>
  <c r="V43" i="66"/>
  <c r="V42" i="66"/>
  <c r="V41" i="66"/>
  <c r="V40" i="66"/>
  <c r="V39" i="66"/>
  <c r="V38" i="66"/>
  <c r="V37" i="66"/>
  <c r="V36" i="66"/>
  <c r="V35" i="66"/>
  <c r="V34" i="66"/>
  <c r="V33" i="66"/>
  <c r="V32" i="66"/>
  <c r="V31" i="66"/>
  <c r="V30" i="66"/>
  <c r="V29" i="66"/>
  <c r="V28" i="66"/>
  <c r="V27" i="66"/>
  <c r="V26" i="66"/>
  <c r="R53" i="66"/>
  <c r="R52" i="66"/>
  <c r="R51" i="66"/>
  <c r="R50" i="66"/>
  <c r="R49" i="66"/>
  <c r="R48" i="66"/>
  <c r="R47" i="66"/>
  <c r="R46" i="66"/>
  <c r="R45" i="66"/>
  <c r="R44" i="66"/>
  <c r="R43" i="66"/>
  <c r="R42" i="66"/>
  <c r="R41" i="66"/>
  <c r="R40" i="66"/>
  <c r="R39" i="66"/>
  <c r="R38" i="66"/>
  <c r="R37" i="66"/>
  <c r="R36" i="66"/>
  <c r="R35" i="66"/>
  <c r="R34" i="66"/>
  <c r="R33" i="66"/>
  <c r="R32" i="66"/>
  <c r="R31" i="66"/>
  <c r="R30" i="66"/>
  <c r="R29" i="66"/>
  <c r="R28" i="66"/>
  <c r="R27" i="66"/>
  <c r="R26" i="66"/>
  <c r="N53" i="66"/>
  <c r="N52" i="66"/>
  <c r="N51" i="66"/>
  <c r="N50" i="66"/>
  <c r="N49" i="66"/>
  <c r="N48" i="66"/>
  <c r="N47" i="66"/>
  <c r="N46" i="66"/>
  <c r="N45" i="66"/>
  <c r="N44" i="66"/>
  <c r="N43" i="66"/>
  <c r="N42" i="66"/>
  <c r="N41" i="66"/>
  <c r="N40" i="66"/>
  <c r="N39" i="66"/>
  <c r="N38" i="66"/>
  <c r="N37" i="66"/>
  <c r="N36" i="66"/>
  <c r="N35" i="66"/>
  <c r="N34" i="66"/>
  <c r="N33" i="66"/>
  <c r="N32" i="66"/>
  <c r="N31" i="66"/>
  <c r="N30" i="66"/>
  <c r="N29" i="66"/>
  <c r="N28" i="66"/>
  <c r="N27" i="66"/>
  <c r="N26" i="66"/>
  <c r="BF23" i="66"/>
  <c r="BF22" i="66"/>
  <c r="BF21" i="66"/>
  <c r="BF20" i="66"/>
  <c r="BF19" i="66"/>
  <c r="BF18" i="66"/>
  <c r="BF17" i="66"/>
  <c r="BF16" i="66"/>
  <c r="BF15" i="66"/>
  <c r="BF14" i="66"/>
  <c r="BF13" i="66"/>
  <c r="BF12" i="66"/>
  <c r="BF11" i="66"/>
  <c r="BF10" i="66"/>
  <c r="BF9" i="66"/>
  <c r="BF8" i="66"/>
  <c r="BF7" i="66"/>
  <c r="BF6" i="66"/>
  <c r="BB23" i="66"/>
  <c r="BB22" i="66"/>
  <c r="BB21" i="66"/>
  <c r="BB20" i="66"/>
  <c r="BB19" i="66"/>
  <c r="BB18" i="66"/>
  <c r="BB17" i="66"/>
  <c r="BB16" i="66"/>
  <c r="BB15" i="66"/>
  <c r="BB14" i="66"/>
  <c r="BB13" i="66"/>
  <c r="BB12" i="66"/>
  <c r="BB11" i="66"/>
  <c r="BB10" i="66"/>
  <c r="BB9" i="66"/>
  <c r="BB8" i="66"/>
  <c r="BB7" i="66"/>
  <c r="BB6" i="66"/>
  <c r="AX23" i="66"/>
  <c r="AX22" i="66"/>
  <c r="AX21" i="66"/>
  <c r="AX20" i="66"/>
  <c r="AX19" i="66"/>
  <c r="AX18" i="66"/>
  <c r="AX17" i="66"/>
  <c r="AX16" i="66"/>
  <c r="AX15" i="66"/>
  <c r="AX14" i="66"/>
  <c r="AX13" i="66"/>
  <c r="AX12" i="66"/>
  <c r="AX11" i="66"/>
  <c r="AX10" i="66"/>
  <c r="AX9" i="66"/>
  <c r="AX8" i="66"/>
  <c r="AX7" i="66"/>
  <c r="AX6" i="66"/>
  <c r="AT23" i="66"/>
  <c r="AT22" i="66"/>
  <c r="AT21" i="66"/>
  <c r="AT20" i="66"/>
  <c r="AT19" i="66"/>
  <c r="AT18" i="66"/>
  <c r="AT17" i="66"/>
  <c r="AT16" i="66"/>
  <c r="AT15" i="66"/>
  <c r="AT14" i="66"/>
  <c r="AT13" i="66"/>
  <c r="AT12" i="66"/>
  <c r="AT11" i="66"/>
  <c r="AT10" i="66"/>
  <c r="AT9" i="66"/>
  <c r="AT8" i="66"/>
  <c r="AT7" i="66"/>
  <c r="AT6" i="66"/>
  <c r="AP23" i="66"/>
  <c r="AP22" i="66"/>
  <c r="AP21" i="66"/>
  <c r="AP20" i="66"/>
  <c r="AP19" i="66"/>
  <c r="AP18" i="66"/>
  <c r="AP17" i="66"/>
  <c r="AP16" i="66"/>
  <c r="AP15" i="66"/>
  <c r="AP14" i="66"/>
  <c r="AP13" i="66"/>
  <c r="AP12" i="66"/>
  <c r="AP11" i="66"/>
  <c r="AP10" i="66"/>
  <c r="AP9" i="66"/>
  <c r="AP8" i="66"/>
  <c r="AP7" i="66"/>
  <c r="AP6" i="66"/>
  <c r="AL23" i="66"/>
  <c r="AL22" i="66"/>
  <c r="AL21" i="66"/>
  <c r="AL20" i="66"/>
  <c r="AL19" i="66"/>
  <c r="AL18" i="66"/>
  <c r="AL17" i="66"/>
  <c r="AL16" i="66"/>
  <c r="AL15" i="66"/>
  <c r="AL14" i="66"/>
  <c r="AL13" i="66"/>
  <c r="AL12" i="66"/>
  <c r="AL11" i="66"/>
  <c r="AL10" i="66"/>
  <c r="AL9" i="66"/>
  <c r="AL8" i="66"/>
  <c r="AL7" i="66"/>
  <c r="AL6" i="66"/>
  <c r="AH23" i="66"/>
  <c r="AH22" i="66"/>
  <c r="AH21" i="66"/>
  <c r="AH20" i="66"/>
  <c r="AH19" i="66"/>
  <c r="AH18" i="66"/>
  <c r="AH17" i="66"/>
  <c r="AH16" i="66"/>
  <c r="AH15" i="66"/>
  <c r="AH14" i="66"/>
  <c r="AH13" i="66"/>
  <c r="AH12" i="66"/>
  <c r="AH11" i="66"/>
  <c r="AH10" i="66"/>
  <c r="AH9" i="66"/>
  <c r="AH8" i="66"/>
  <c r="AH7" i="66"/>
  <c r="AH6" i="66"/>
  <c r="AD23" i="66"/>
  <c r="AD22" i="66"/>
  <c r="AD21" i="66"/>
  <c r="AD20" i="66"/>
  <c r="AD19" i="66"/>
  <c r="AD18" i="66"/>
  <c r="AD17" i="66"/>
  <c r="AD16" i="66"/>
  <c r="AD15" i="66"/>
  <c r="AD14" i="66"/>
  <c r="AD13" i="66"/>
  <c r="AD12" i="66"/>
  <c r="AD11" i="66"/>
  <c r="AD10" i="66"/>
  <c r="AD9" i="66"/>
  <c r="AD8" i="66"/>
  <c r="AD7" i="66"/>
  <c r="AD6" i="66"/>
  <c r="Z23" i="66"/>
  <c r="Z22" i="66"/>
  <c r="Z21" i="66"/>
  <c r="Z20" i="66"/>
  <c r="Z19" i="66"/>
  <c r="Z18" i="66"/>
  <c r="Z17" i="66"/>
  <c r="Z16" i="66"/>
  <c r="Z15" i="66"/>
  <c r="Z14" i="66"/>
  <c r="Z13" i="66"/>
  <c r="Z12" i="66"/>
  <c r="Z11" i="66"/>
  <c r="Z10" i="66"/>
  <c r="Z9" i="66"/>
  <c r="Z8" i="66"/>
  <c r="Z7" i="66"/>
  <c r="Z6" i="66"/>
  <c r="V23" i="66"/>
  <c r="V22" i="66"/>
  <c r="V21" i="66"/>
  <c r="V20" i="66"/>
  <c r="V19" i="66"/>
  <c r="V18" i="66"/>
  <c r="V17" i="66"/>
  <c r="V16" i="66"/>
  <c r="V15" i="66"/>
  <c r="V14" i="66"/>
  <c r="V13" i="66"/>
  <c r="V12" i="66"/>
  <c r="V11" i="66"/>
  <c r="V10" i="66"/>
  <c r="V9" i="66"/>
  <c r="V8" i="66"/>
  <c r="V7" i="66"/>
  <c r="V6" i="66"/>
  <c r="R23" i="66"/>
  <c r="R22" i="66"/>
  <c r="R21" i="66"/>
  <c r="R20" i="66"/>
  <c r="R19" i="66"/>
  <c r="R18" i="66"/>
  <c r="R17" i="66"/>
  <c r="R16" i="66"/>
  <c r="R15" i="66"/>
  <c r="R14" i="66"/>
  <c r="R13" i="66"/>
  <c r="R12" i="66"/>
  <c r="R11" i="66"/>
  <c r="R10" i="66"/>
  <c r="R9" i="66"/>
  <c r="R8" i="66"/>
  <c r="R7" i="66"/>
  <c r="R6" i="66"/>
  <c r="BF78" i="66"/>
  <c r="BF77" i="66"/>
  <c r="BF76" i="66"/>
  <c r="BF75" i="66"/>
  <c r="BF74" i="66"/>
  <c r="BF73" i="66"/>
  <c r="BB78" i="66"/>
  <c r="BB77" i="66"/>
  <c r="BB76" i="66"/>
  <c r="BB75" i="66"/>
  <c r="BB74" i="66"/>
  <c r="BB73" i="66"/>
  <c r="AX78" i="66"/>
  <c r="AX77" i="66"/>
  <c r="AX76" i="66"/>
  <c r="AX75" i="66"/>
  <c r="AX74" i="66"/>
  <c r="AX73" i="66"/>
  <c r="AT78" i="66"/>
  <c r="AT77" i="66"/>
  <c r="AT76" i="66"/>
  <c r="AT75" i="66"/>
  <c r="AT74" i="66"/>
  <c r="AT73" i="66"/>
  <c r="AP78" i="66"/>
  <c r="AP77" i="66"/>
  <c r="AP76" i="66"/>
  <c r="AP75" i="66"/>
  <c r="AP74" i="66"/>
  <c r="AP73" i="66"/>
  <c r="AL78" i="66"/>
  <c r="AL77" i="66"/>
  <c r="AL76" i="66"/>
  <c r="AL75" i="66"/>
  <c r="AL74" i="66"/>
  <c r="AL73" i="66"/>
  <c r="AH78" i="66"/>
  <c r="AH77" i="66"/>
  <c r="AH76" i="66"/>
  <c r="AH75" i="66"/>
  <c r="AH74" i="66"/>
  <c r="AH73" i="66"/>
  <c r="AD78" i="66"/>
  <c r="AD77" i="66"/>
  <c r="AD76" i="66"/>
  <c r="AD75" i="66"/>
  <c r="AD74" i="66"/>
  <c r="AD73" i="66"/>
  <c r="Z78" i="66"/>
  <c r="Z77" i="66"/>
  <c r="Z76" i="66"/>
  <c r="Z75" i="66"/>
  <c r="Z74" i="66"/>
  <c r="Z73" i="66"/>
  <c r="V78" i="66"/>
  <c r="V77" i="66"/>
  <c r="V76" i="66"/>
  <c r="V75" i="66"/>
  <c r="V74" i="66"/>
  <c r="V73" i="66"/>
  <c r="R78" i="66"/>
  <c r="R77" i="66"/>
  <c r="R76" i="66"/>
  <c r="R75" i="66"/>
  <c r="R74" i="66"/>
  <c r="R73" i="66"/>
  <c r="N78" i="66"/>
  <c r="N77" i="66"/>
  <c r="N76" i="66"/>
  <c r="N75" i="66"/>
  <c r="N74" i="66"/>
  <c r="N73" i="66"/>
  <c r="N64" i="66"/>
  <c r="N63" i="66"/>
  <c r="N60" i="66"/>
  <c r="N59" i="66"/>
  <c r="N58" i="66"/>
  <c r="N57" i="66"/>
  <c r="N56" i="66"/>
  <c r="N23" i="66"/>
  <c r="N22" i="66"/>
  <c r="N21" i="66"/>
  <c r="N20" i="66"/>
  <c r="N19" i="66"/>
  <c r="N18" i="66"/>
  <c r="N17" i="66"/>
  <c r="N16" i="66"/>
  <c r="N15" i="66"/>
  <c r="N14" i="66"/>
  <c r="N13" i="66"/>
  <c r="N12" i="66"/>
  <c r="N11" i="66"/>
  <c r="N10" i="66"/>
  <c r="N9" i="66"/>
  <c r="N8" i="66"/>
  <c r="N7" i="66"/>
  <c r="N6" i="66"/>
  <c r="AJ78" i="60"/>
  <c r="AJ77" i="60"/>
  <c r="AJ76" i="60"/>
  <c r="AJ75" i="60"/>
  <c r="AJ74" i="60"/>
  <c r="AJ73" i="60"/>
  <c r="AG78" i="60"/>
  <c r="AG77" i="60"/>
  <c r="AG76" i="60"/>
  <c r="AG75" i="60"/>
  <c r="AG74" i="60"/>
  <c r="AG73" i="60"/>
  <c r="AD78" i="60"/>
  <c r="AD77" i="60"/>
  <c r="AD76" i="60"/>
  <c r="AD75" i="60"/>
  <c r="AD74" i="60"/>
  <c r="AD73" i="60"/>
  <c r="AA78" i="60"/>
  <c r="AA77" i="60"/>
  <c r="AA76" i="60"/>
  <c r="AA75" i="60"/>
  <c r="AA74" i="60"/>
  <c r="AA73" i="60"/>
  <c r="X78" i="60"/>
  <c r="X77" i="60"/>
  <c r="X76" i="60"/>
  <c r="X75" i="60"/>
  <c r="X74" i="60"/>
  <c r="X73" i="60"/>
  <c r="U78" i="60"/>
  <c r="U77" i="60"/>
  <c r="U76" i="60"/>
  <c r="U75" i="60"/>
  <c r="U74" i="60"/>
  <c r="U73" i="60"/>
  <c r="R78" i="60"/>
  <c r="R77" i="60"/>
  <c r="R76" i="60"/>
  <c r="R75" i="60"/>
  <c r="R74" i="60"/>
  <c r="R73" i="60"/>
  <c r="O78" i="60"/>
  <c r="O77" i="60"/>
  <c r="O76" i="60"/>
  <c r="O75" i="60"/>
  <c r="O74" i="60"/>
  <c r="O73" i="60"/>
  <c r="L78" i="60"/>
  <c r="L77" i="60"/>
  <c r="L76" i="60"/>
  <c r="L75" i="60"/>
  <c r="L74" i="60"/>
  <c r="L73" i="60"/>
  <c r="I78" i="60"/>
  <c r="I77" i="60"/>
  <c r="I76" i="60"/>
  <c r="I75" i="60"/>
  <c r="I74" i="60"/>
  <c r="I73" i="60"/>
  <c r="F78" i="60"/>
  <c r="F77" i="60"/>
  <c r="F76" i="60"/>
  <c r="F75" i="60"/>
  <c r="F74" i="60"/>
  <c r="F73" i="60"/>
  <c r="C78" i="60"/>
  <c r="C77" i="60"/>
  <c r="C76" i="60"/>
  <c r="C75" i="60"/>
  <c r="C74" i="60"/>
  <c r="C73" i="60"/>
  <c r="C57" i="60"/>
  <c r="C56" i="60"/>
  <c r="F57" i="60"/>
  <c r="F56" i="60"/>
  <c r="I57" i="60"/>
  <c r="I56" i="60"/>
  <c r="L57" i="60"/>
  <c r="L56" i="60"/>
  <c r="O57" i="60"/>
  <c r="O56" i="60"/>
  <c r="R57" i="60"/>
  <c r="R56" i="60"/>
  <c r="U57" i="60"/>
  <c r="U56" i="60"/>
  <c r="X57" i="60"/>
  <c r="X56" i="60"/>
  <c r="AA57" i="60"/>
  <c r="AA56" i="60"/>
  <c r="AD57" i="60"/>
  <c r="AD56" i="60"/>
  <c r="AG57" i="60"/>
  <c r="AG56" i="60"/>
  <c r="AJ57" i="60"/>
  <c r="AJ56" i="60"/>
  <c r="AJ53" i="60"/>
  <c r="AJ52" i="60"/>
  <c r="AJ51" i="60"/>
  <c r="AJ50" i="60"/>
  <c r="AJ49" i="60"/>
  <c r="AJ48" i="60"/>
  <c r="AJ47" i="60"/>
  <c r="AJ46" i="60"/>
  <c r="AJ45" i="60"/>
  <c r="AJ44" i="60"/>
  <c r="AJ43" i="60"/>
  <c r="AJ42" i="60"/>
  <c r="AJ41" i="60"/>
  <c r="AJ40" i="60"/>
  <c r="AJ39" i="60"/>
  <c r="AJ38" i="60"/>
  <c r="AJ37" i="60"/>
  <c r="AJ36" i="60"/>
  <c r="AJ35" i="60"/>
  <c r="AJ34" i="60"/>
  <c r="AJ33" i="60"/>
  <c r="AJ32" i="60"/>
  <c r="AJ31" i="60"/>
  <c r="AJ30" i="60"/>
  <c r="AJ29" i="60"/>
  <c r="AJ28" i="60"/>
  <c r="AJ27" i="60"/>
  <c r="AJ26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D53" i="60"/>
  <c r="AD52" i="60"/>
  <c r="AD51" i="60"/>
  <c r="AD50" i="60"/>
  <c r="AD49" i="60"/>
  <c r="AD48" i="60"/>
  <c r="AD47" i="60"/>
  <c r="AD46" i="60"/>
  <c r="AD45" i="60"/>
  <c r="AD44" i="60"/>
  <c r="AD43" i="60"/>
  <c r="AD42" i="60"/>
  <c r="AD41" i="60"/>
  <c r="AD40" i="60"/>
  <c r="AD39" i="60"/>
  <c r="AD38" i="60"/>
  <c r="AD37" i="60"/>
  <c r="AD36" i="60"/>
  <c r="AD35" i="60"/>
  <c r="AD34" i="60"/>
  <c r="AD33" i="60"/>
  <c r="AD32" i="60"/>
  <c r="AD31" i="60"/>
  <c r="AD30" i="60"/>
  <c r="AD29" i="60"/>
  <c r="AD28" i="60"/>
  <c r="AD27" i="60"/>
  <c r="AD26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X53" i="60"/>
  <c r="X52" i="60"/>
  <c r="X51" i="60"/>
  <c r="X50" i="60"/>
  <c r="X49" i="60"/>
  <c r="X48" i="60"/>
  <c r="X47" i="60"/>
  <c r="X46" i="60"/>
  <c r="X45" i="60"/>
  <c r="X44" i="60"/>
  <c r="X43" i="60"/>
  <c r="X42" i="60"/>
  <c r="X41" i="60"/>
  <c r="X40" i="60"/>
  <c r="X39" i="60"/>
  <c r="X38" i="60"/>
  <c r="X37" i="60"/>
  <c r="X36" i="60"/>
  <c r="X35" i="60"/>
  <c r="X34" i="60"/>
  <c r="X33" i="60"/>
  <c r="X32" i="60"/>
  <c r="X31" i="60"/>
  <c r="X30" i="60"/>
  <c r="X29" i="60"/>
  <c r="X28" i="60"/>
  <c r="X27" i="60"/>
  <c r="X26" i="60"/>
  <c r="U53" i="60"/>
  <c r="U52" i="60"/>
  <c r="U51" i="60"/>
  <c r="U50" i="60"/>
  <c r="U49" i="60"/>
  <c r="U48" i="60"/>
  <c r="U47" i="60"/>
  <c r="U46" i="60"/>
  <c r="U45" i="60"/>
  <c r="U44" i="60"/>
  <c r="U43" i="60"/>
  <c r="U42" i="60"/>
  <c r="U41" i="60"/>
  <c r="U40" i="60"/>
  <c r="U39" i="60"/>
  <c r="U38" i="60"/>
  <c r="U37" i="60"/>
  <c r="U36" i="60"/>
  <c r="U35" i="60"/>
  <c r="U34" i="60"/>
  <c r="U33" i="60"/>
  <c r="U32" i="60"/>
  <c r="U31" i="60"/>
  <c r="U30" i="60"/>
  <c r="U29" i="60"/>
  <c r="U28" i="60"/>
  <c r="U27" i="60"/>
  <c r="U26" i="60"/>
  <c r="R53" i="60"/>
  <c r="R52" i="60"/>
  <c r="R51" i="60"/>
  <c r="R50" i="60"/>
  <c r="R49" i="60"/>
  <c r="R48" i="60"/>
  <c r="R47" i="60"/>
  <c r="R46" i="60"/>
  <c r="R45" i="60"/>
  <c r="R44" i="60"/>
  <c r="R43" i="60"/>
  <c r="R42" i="60"/>
  <c r="R41" i="60"/>
  <c r="R40" i="60"/>
  <c r="R39" i="60"/>
  <c r="R38" i="60"/>
  <c r="R37" i="60"/>
  <c r="R36" i="60"/>
  <c r="R35" i="60"/>
  <c r="R34" i="60"/>
  <c r="R33" i="60"/>
  <c r="R32" i="60"/>
  <c r="R31" i="60"/>
  <c r="R30" i="60"/>
  <c r="R29" i="60"/>
  <c r="R28" i="60"/>
  <c r="R27" i="60"/>
  <c r="R26" i="60"/>
  <c r="O53" i="60"/>
  <c r="O52" i="60"/>
  <c r="O51" i="60"/>
  <c r="O50" i="60"/>
  <c r="O49" i="60"/>
  <c r="O48" i="60"/>
  <c r="O47" i="60"/>
  <c r="O46" i="60"/>
  <c r="O45" i="60"/>
  <c r="O44" i="60"/>
  <c r="O43" i="60"/>
  <c r="O42" i="60"/>
  <c r="O41" i="60"/>
  <c r="O40" i="60"/>
  <c r="O39" i="60"/>
  <c r="O38" i="60"/>
  <c r="O37" i="60"/>
  <c r="O36" i="60"/>
  <c r="O35" i="60"/>
  <c r="O34" i="60"/>
  <c r="O33" i="60"/>
  <c r="O32" i="60"/>
  <c r="O31" i="60"/>
  <c r="O30" i="60"/>
  <c r="O29" i="60"/>
  <c r="O28" i="60"/>
  <c r="O27" i="60"/>
  <c r="O26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I53" i="60"/>
  <c r="I52" i="60"/>
  <c r="I51" i="60"/>
  <c r="I50" i="60"/>
  <c r="I49" i="60"/>
  <c r="I48" i="60"/>
  <c r="I47" i="60"/>
  <c r="I46" i="60"/>
  <c r="I45" i="60"/>
  <c r="I44" i="60"/>
  <c r="I43" i="60"/>
  <c r="I42" i="60"/>
  <c r="I41" i="60"/>
  <c r="I40" i="60"/>
  <c r="I39" i="60"/>
  <c r="I38" i="60"/>
  <c r="I37" i="60"/>
  <c r="I36" i="60"/>
  <c r="I35" i="60"/>
  <c r="I34" i="60"/>
  <c r="I33" i="60"/>
  <c r="I32" i="60"/>
  <c r="I31" i="60"/>
  <c r="I30" i="60"/>
  <c r="I29" i="60"/>
  <c r="I28" i="60"/>
  <c r="I27" i="60"/>
  <c r="I26" i="60"/>
  <c r="F53" i="60"/>
  <c r="F52" i="60"/>
  <c r="F51" i="60"/>
  <c r="F50" i="60"/>
  <c r="F49" i="60"/>
  <c r="F48" i="60"/>
  <c r="F47" i="60"/>
  <c r="F46" i="60"/>
  <c r="F45" i="60"/>
  <c r="F44" i="60"/>
  <c r="F43" i="60"/>
  <c r="F42" i="60"/>
  <c r="F41" i="60"/>
  <c r="F40" i="60"/>
  <c r="F39" i="60"/>
  <c r="F38" i="60"/>
  <c r="F37" i="60"/>
  <c r="F36" i="60"/>
  <c r="F35" i="60"/>
  <c r="F34" i="60"/>
  <c r="F33" i="60"/>
  <c r="F32" i="60"/>
  <c r="F31" i="60"/>
  <c r="F30" i="60"/>
  <c r="F29" i="60"/>
  <c r="F28" i="60"/>
  <c r="F27" i="60"/>
  <c r="F26" i="60"/>
  <c r="C53" i="60"/>
  <c r="BD53" i="60" s="1"/>
  <c r="C52" i="60"/>
  <c r="BD52" i="60" s="1"/>
  <c r="C51" i="60"/>
  <c r="BD51" i="60" s="1"/>
  <c r="C50" i="60"/>
  <c r="BD50" i="60" s="1"/>
  <c r="C49" i="60"/>
  <c r="BD49" i="60" s="1"/>
  <c r="C48" i="60"/>
  <c r="BD48" i="60" s="1"/>
  <c r="C47" i="60"/>
  <c r="BD47" i="60" s="1"/>
  <c r="C46" i="60"/>
  <c r="BD46" i="60" s="1"/>
  <c r="C45" i="60"/>
  <c r="BD45" i="60" s="1"/>
  <c r="C44" i="60"/>
  <c r="BD44" i="60" s="1"/>
  <c r="C43" i="60"/>
  <c r="BD43" i="60" s="1"/>
  <c r="C42" i="60"/>
  <c r="C41" i="60"/>
  <c r="BD41" i="60" s="1"/>
  <c r="C40" i="60"/>
  <c r="BD40" i="60" s="1"/>
  <c r="C39" i="60"/>
  <c r="BD39" i="60" s="1"/>
  <c r="C38" i="60"/>
  <c r="BD38" i="60" s="1"/>
  <c r="C37" i="60"/>
  <c r="BD37" i="60" s="1"/>
  <c r="C36" i="60"/>
  <c r="BD36" i="60" s="1"/>
  <c r="C35" i="60"/>
  <c r="BD35" i="60" s="1"/>
  <c r="C34" i="60"/>
  <c r="BD34" i="60" s="1"/>
  <c r="C33" i="60"/>
  <c r="BD33" i="60" s="1"/>
  <c r="C32" i="60"/>
  <c r="BD32" i="60" s="1"/>
  <c r="C31" i="60"/>
  <c r="BD31" i="60" s="1"/>
  <c r="C30" i="60"/>
  <c r="C29" i="60"/>
  <c r="BD29" i="60" s="1"/>
  <c r="C28" i="60"/>
  <c r="BD28" i="60" s="1"/>
  <c r="C27" i="60"/>
  <c r="BD27" i="60" s="1"/>
  <c r="C26" i="60"/>
  <c r="BD26" i="60" s="1"/>
  <c r="AJ23" i="60"/>
  <c r="AJ22" i="60"/>
  <c r="AJ21" i="60"/>
  <c r="AJ20" i="60"/>
  <c r="AJ19" i="60"/>
  <c r="AJ18" i="60"/>
  <c r="AJ17" i="60"/>
  <c r="AJ16" i="60"/>
  <c r="AJ15" i="60"/>
  <c r="AJ14" i="60"/>
  <c r="AJ13" i="60"/>
  <c r="AJ12" i="60"/>
  <c r="AJ11" i="60"/>
  <c r="AJ10" i="60"/>
  <c r="AJ9" i="60"/>
  <c r="AJ8" i="60"/>
  <c r="AJ7" i="60"/>
  <c r="AJ6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D23" i="60"/>
  <c r="AD22" i="60"/>
  <c r="AD21" i="60"/>
  <c r="AD20" i="60"/>
  <c r="AD19" i="60"/>
  <c r="AD18" i="60"/>
  <c r="AD17" i="60"/>
  <c r="AD16" i="60"/>
  <c r="AD15" i="60"/>
  <c r="AD14" i="60"/>
  <c r="AD13" i="60"/>
  <c r="AD12" i="60"/>
  <c r="AD11" i="60"/>
  <c r="AD10" i="60"/>
  <c r="AD9" i="60"/>
  <c r="AD8" i="60"/>
  <c r="AD7" i="60"/>
  <c r="AD6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X23" i="60"/>
  <c r="X22" i="60"/>
  <c r="X21" i="60"/>
  <c r="X20" i="60"/>
  <c r="X19" i="60"/>
  <c r="X18" i="60"/>
  <c r="X17" i="60"/>
  <c r="X16" i="60"/>
  <c r="X15" i="60"/>
  <c r="X14" i="60"/>
  <c r="X13" i="60"/>
  <c r="X12" i="60"/>
  <c r="X11" i="60"/>
  <c r="X10" i="60"/>
  <c r="X9" i="60"/>
  <c r="X8" i="60"/>
  <c r="X7" i="60"/>
  <c r="X6" i="60"/>
  <c r="U23" i="60"/>
  <c r="U22" i="60"/>
  <c r="U21" i="60"/>
  <c r="U20" i="60"/>
  <c r="U19" i="60"/>
  <c r="U18" i="60"/>
  <c r="U17" i="60"/>
  <c r="U16" i="60"/>
  <c r="U15" i="60"/>
  <c r="U14" i="60"/>
  <c r="U13" i="60"/>
  <c r="U12" i="60"/>
  <c r="U11" i="60"/>
  <c r="U10" i="60"/>
  <c r="U9" i="60"/>
  <c r="U8" i="60"/>
  <c r="U7" i="60"/>
  <c r="U6" i="60"/>
  <c r="R23" i="60"/>
  <c r="R22" i="60"/>
  <c r="R21" i="60"/>
  <c r="R20" i="60"/>
  <c r="R19" i="60"/>
  <c r="R18" i="60"/>
  <c r="R17" i="60"/>
  <c r="R16" i="60"/>
  <c r="R15" i="60"/>
  <c r="R14" i="60"/>
  <c r="R13" i="60"/>
  <c r="R12" i="60"/>
  <c r="R11" i="60"/>
  <c r="R10" i="60"/>
  <c r="R9" i="60"/>
  <c r="R8" i="60"/>
  <c r="R7" i="60"/>
  <c r="R6" i="60"/>
  <c r="O23" i="60"/>
  <c r="O22" i="60"/>
  <c r="O21" i="60"/>
  <c r="O20" i="60"/>
  <c r="O19" i="60"/>
  <c r="O18" i="60"/>
  <c r="O17" i="60"/>
  <c r="O16" i="60"/>
  <c r="O15" i="60"/>
  <c r="O14" i="60"/>
  <c r="O13" i="60"/>
  <c r="O12" i="60"/>
  <c r="O11" i="60"/>
  <c r="O10" i="60"/>
  <c r="O9" i="60"/>
  <c r="O8" i="60"/>
  <c r="O7" i="60"/>
  <c r="O6" i="60"/>
  <c r="L23" i="60"/>
  <c r="L22" i="60"/>
  <c r="L21" i="60"/>
  <c r="L20" i="60"/>
  <c r="L19" i="60"/>
  <c r="L18" i="60"/>
  <c r="L17" i="60"/>
  <c r="L16" i="60"/>
  <c r="L15" i="60"/>
  <c r="L14" i="60"/>
  <c r="L13" i="60"/>
  <c r="L12" i="60"/>
  <c r="L11" i="60"/>
  <c r="L10" i="60"/>
  <c r="L9" i="60"/>
  <c r="L8" i="60"/>
  <c r="L7" i="60"/>
  <c r="L6" i="60"/>
  <c r="I23" i="60"/>
  <c r="I22" i="60"/>
  <c r="I21" i="60"/>
  <c r="I20" i="60"/>
  <c r="I19" i="60"/>
  <c r="I18" i="60"/>
  <c r="I17" i="60"/>
  <c r="I16" i="60"/>
  <c r="I15" i="60"/>
  <c r="I14" i="60"/>
  <c r="I13" i="60"/>
  <c r="I12" i="60"/>
  <c r="I11" i="60"/>
  <c r="I10" i="60"/>
  <c r="I9" i="60"/>
  <c r="I8" i="60"/>
  <c r="I7" i="60"/>
  <c r="I6" i="60"/>
  <c r="F23" i="60"/>
  <c r="F22" i="60"/>
  <c r="F21" i="60"/>
  <c r="F20" i="60"/>
  <c r="F19" i="60"/>
  <c r="F18" i="60"/>
  <c r="F17" i="60"/>
  <c r="F16" i="60"/>
  <c r="F15" i="60"/>
  <c r="F14" i="60"/>
  <c r="F13" i="60"/>
  <c r="F12" i="60"/>
  <c r="F11" i="60"/>
  <c r="F10" i="60"/>
  <c r="F9" i="60"/>
  <c r="F8" i="60"/>
  <c r="F7" i="60"/>
  <c r="F6" i="60"/>
  <c r="C9" i="60"/>
  <c r="C8" i="60"/>
  <c r="C7" i="60"/>
  <c r="C6" i="60"/>
  <c r="C11" i="60"/>
  <c r="C12" i="60"/>
  <c r="C13" i="60"/>
  <c r="C14" i="60"/>
  <c r="C15" i="60"/>
  <c r="C16" i="60"/>
  <c r="C17" i="60"/>
  <c r="C18" i="60"/>
  <c r="C19" i="60"/>
  <c r="C20" i="60"/>
  <c r="C21" i="60"/>
  <c r="C22" i="60"/>
  <c r="C23" i="60"/>
  <c r="C10" i="60"/>
  <c r="BD10" i="60" l="1"/>
  <c r="BD20" i="60"/>
  <c r="BF20" i="60" s="1"/>
  <c r="BD16" i="60"/>
  <c r="BD12" i="60"/>
  <c r="BD8" i="60"/>
  <c r="BD77" i="60"/>
  <c r="BF77" i="60" s="1"/>
  <c r="BD73" i="60"/>
  <c r="BD30" i="60"/>
  <c r="BF30" i="60" s="1"/>
  <c r="BD19" i="60"/>
  <c r="BF19" i="60" s="1"/>
  <c r="BD15" i="60"/>
  <c r="BF15" i="60" s="1"/>
  <c r="BD11" i="60"/>
  <c r="BF11" i="60" s="1"/>
  <c r="BD9" i="60"/>
  <c r="BF9" i="60" s="1"/>
  <c r="BD74" i="60"/>
  <c r="BF74" i="60" s="1"/>
  <c r="BD78" i="60"/>
  <c r="BF78" i="60" s="1"/>
  <c r="BD23" i="60"/>
  <c r="BD21" i="60"/>
  <c r="BF21" i="60" s="1"/>
  <c r="BD17" i="60"/>
  <c r="BF17" i="60" s="1"/>
  <c r="BD13" i="60"/>
  <c r="BF13" i="60" s="1"/>
  <c r="BD7" i="60"/>
  <c r="BF7" i="60" s="1"/>
  <c r="BD76" i="60"/>
  <c r="BF76" i="60" s="1"/>
  <c r="BD75" i="60"/>
  <c r="BF75" i="60" s="1"/>
  <c r="BD22" i="60"/>
  <c r="BF22" i="60" s="1"/>
  <c r="BD18" i="60"/>
  <c r="BF18" i="60" s="1"/>
  <c r="BD14" i="60"/>
  <c r="BF14" i="60" s="1"/>
  <c r="BD42" i="60"/>
  <c r="BF42" i="60" s="1"/>
  <c r="BD6" i="60"/>
  <c r="BF6" i="60" s="1"/>
  <c r="BD57" i="60"/>
  <c r="BF57" i="60" s="1"/>
  <c r="BD56" i="60"/>
  <c r="BF56" i="60" s="1"/>
  <c r="BF28" i="60"/>
  <c r="BF32" i="60"/>
  <c r="BF36" i="60"/>
  <c r="BF40" i="60"/>
  <c r="BF44" i="60"/>
  <c r="BF48" i="60"/>
  <c r="BF52" i="60"/>
  <c r="BF29" i="60"/>
  <c r="BF33" i="60"/>
  <c r="BF37" i="60"/>
  <c r="BF41" i="60"/>
  <c r="BF45" i="60"/>
  <c r="BF49" i="60"/>
  <c r="BF53" i="60"/>
  <c r="BF16" i="60"/>
  <c r="BF12" i="60"/>
  <c r="BF8" i="60"/>
  <c r="BF26" i="60"/>
  <c r="BF34" i="60"/>
  <c r="BF38" i="60"/>
  <c r="BF46" i="60"/>
  <c r="BF50" i="60"/>
  <c r="BF73" i="60"/>
  <c r="BF27" i="60"/>
  <c r="BF31" i="60"/>
  <c r="BF35" i="60"/>
  <c r="BF39" i="60"/>
  <c r="BF43" i="60"/>
  <c r="BF47" i="60"/>
  <c r="BF51" i="60"/>
  <c r="B10" i="57"/>
  <c r="BU10" i="57" s="1"/>
  <c r="B41" i="60"/>
  <c r="BH41" i="60" s="1"/>
  <c r="AJ64" i="60" l="1"/>
  <c r="AG64" i="60"/>
  <c r="AD64" i="60"/>
  <c r="AA64" i="60"/>
  <c r="X64" i="60"/>
  <c r="U64" i="60"/>
  <c r="R64" i="60"/>
  <c r="O64" i="60"/>
  <c r="L64" i="60"/>
  <c r="I64" i="60"/>
  <c r="F64" i="60"/>
  <c r="C64" i="60"/>
  <c r="AJ63" i="60"/>
  <c r="AG63" i="60"/>
  <c r="AD63" i="60"/>
  <c r="AA63" i="60"/>
  <c r="X63" i="60"/>
  <c r="U63" i="60"/>
  <c r="R63" i="60"/>
  <c r="O63" i="60"/>
  <c r="L63" i="60"/>
  <c r="I63" i="60"/>
  <c r="F63" i="60"/>
  <c r="C63" i="60"/>
  <c r="AJ60" i="60"/>
  <c r="AG60" i="60"/>
  <c r="AD60" i="60"/>
  <c r="AA60" i="60"/>
  <c r="X60" i="60"/>
  <c r="U60" i="60"/>
  <c r="R60" i="60"/>
  <c r="O60" i="60"/>
  <c r="L60" i="60"/>
  <c r="I60" i="60"/>
  <c r="F60" i="60"/>
  <c r="C60" i="60"/>
  <c r="AJ59" i="60"/>
  <c r="AG59" i="60"/>
  <c r="AD59" i="60"/>
  <c r="AA59" i="60"/>
  <c r="X59" i="60"/>
  <c r="U59" i="60"/>
  <c r="R59" i="60"/>
  <c r="O59" i="60"/>
  <c r="L59" i="60"/>
  <c r="I59" i="60"/>
  <c r="F59" i="60"/>
  <c r="C59" i="60"/>
  <c r="AJ58" i="60"/>
  <c r="AG58" i="60"/>
  <c r="AD58" i="60"/>
  <c r="AA58" i="60"/>
  <c r="X58" i="60"/>
  <c r="U58" i="60"/>
  <c r="R58" i="60"/>
  <c r="O58" i="60"/>
  <c r="L58" i="60"/>
  <c r="I58" i="60"/>
  <c r="F58" i="60"/>
  <c r="C58" i="60"/>
  <c r="B22" i="60"/>
  <c r="BH22" i="60" s="1"/>
  <c r="B23" i="60"/>
  <c r="BK17" i="66"/>
  <c r="V17" i="57"/>
  <c r="W17" i="57" s="1"/>
  <c r="BT17" i="57" s="1"/>
  <c r="V16" i="57"/>
  <c r="W16" i="57" s="1"/>
  <c r="BT16" i="57" s="1"/>
  <c r="B15" i="57"/>
  <c r="BU15" i="57" s="1"/>
  <c r="B16" i="57"/>
  <c r="BU16" i="57" s="1"/>
  <c r="B17" i="57"/>
  <c r="BU17" i="57" s="1"/>
  <c r="V16" i="58"/>
  <c r="W16" i="58" s="1"/>
  <c r="BT16" i="58" s="1"/>
  <c r="B15" i="58"/>
  <c r="BU15" i="58" s="1"/>
  <c r="B16" i="58"/>
  <c r="BU16" i="58" s="1"/>
  <c r="B17" i="58"/>
  <c r="BU17" i="58" s="1"/>
  <c r="B15" i="59"/>
  <c r="BU15" i="59" s="1"/>
  <c r="B16" i="59"/>
  <c r="BU16" i="59" s="1"/>
  <c r="B17" i="59"/>
  <c r="BU17" i="59" s="1"/>
  <c r="V17" i="59"/>
  <c r="W17" i="59" s="1"/>
  <c r="BT17" i="59" s="1"/>
  <c r="B15" i="56"/>
  <c r="BU15" i="56" s="1"/>
  <c r="B16" i="56"/>
  <c r="BU16" i="56" s="1"/>
  <c r="B17" i="56"/>
  <c r="BU17" i="56" s="1"/>
  <c r="B15" i="69"/>
  <c r="BU15" i="69" s="1"/>
  <c r="B16" i="69"/>
  <c r="BU16" i="69" s="1"/>
  <c r="B17" i="69"/>
  <c r="BU17" i="69" s="1"/>
  <c r="BD58" i="60" l="1"/>
  <c r="BF58" i="60" s="1"/>
  <c r="BD59" i="60"/>
  <c r="BF59" i="60" s="1"/>
  <c r="BD60" i="60"/>
  <c r="BF60" i="60" s="1"/>
  <c r="BD63" i="60"/>
  <c r="BF63" i="60" s="1"/>
  <c r="BD64" i="60"/>
  <c r="BF64" i="60" s="1"/>
  <c r="Q16" i="60"/>
  <c r="BG16" i="60" s="1"/>
  <c r="Q17" i="60"/>
  <c r="BG17" i="60" s="1"/>
  <c r="BQ53" i="55"/>
  <c r="BU53" i="55" s="1"/>
  <c r="BQ18" i="55"/>
  <c r="BU18" i="55" s="1"/>
  <c r="BQ19" i="55"/>
  <c r="BU19" i="55" s="1"/>
  <c r="BQ20" i="55"/>
  <c r="BU20" i="55" s="1"/>
  <c r="BQ21" i="55"/>
  <c r="BU21" i="55" s="1"/>
  <c r="B36" i="60"/>
  <c r="BH36" i="60" s="1"/>
  <c r="B33" i="60"/>
  <c r="BH33" i="60" s="1"/>
  <c r="B21" i="60"/>
  <c r="BH21" i="60" s="1"/>
  <c r="BO16" i="66"/>
  <c r="BO15" i="66"/>
  <c r="BM17" i="66"/>
  <c r="BQ16" i="66"/>
  <c r="BQ15" i="66"/>
  <c r="BM15" i="66"/>
  <c r="J16" i="66"/>
  <c r="P16" i="66"/>
  <c r="O16" i="66" s="1"/>
  <c r="BQ17" i="66"/>
  <c r="BO17" i="66"/>
  <c r="J17" i="66"/>
  <c r="B19" i="60"/>
  <c r="BH19" i="60" s="1"/>
  <c r="B18" i="60"/>
  <c r="BH18" i="60" s="1"/>
  <c r="B17" i="60"/>
  <c r="BH17" i="60" s="1"/>
  <c r="BK16" i="66"/>
  <c r="B16" i="60"/>
  <c r="BH16" i="60" s="1"/>
  <c r="BM16" i="66"/>
  <c r="J15" i="66"/>
  <c r="B15" i="60"/>
  <c r="BH15" i="60" s="1"/>
  <c r="P17" i="66"/>
  <c r="O17" i="66" s="1"/>
  <c r="AZ15" i="66"/>
  <c r="AY15" i="66" s="1"/>
  <c r="AR15" i="66"/>
  <c r="AQ15" i="66" s="1"/>
  <c r="AB17" i="66"/>
  <c r="AA17" i="66" s="1"/>
  <c r="AN15" i="66"/>
  <c r="AM15" i="66" s="1"/>
  <c r="BH15" i="66"/>
  <c r="BG15" i="66" s="1"/>
  <c r="X15" i="66"/>
  <c r="W15" i="66" s="1"/>
  <c r="AB15" i="66"/>
  <c r="AA15" i="66" s="1"/>
  <c r="AV17" i="66"/>
  <c r="AU17" i="66" s="1"/>
  <c r="BD15" i="66"/>
  <c r="BC15" i="66" s="1"/>
  <c r="AR17" i="66"/>
  <c r="AQ17" i="66" s="1"/>
  <c r="BH17" i="66"/>
  <c r="BG17" i="66" s="1"/>
  <c r="BD17" i="66"/>
  <c r="BC17" i="66" s="1"/>
  <c r="AV15" i="66"/>
  <c r="AU15" i="66" s="1"/>
  <c r="AR16" i="66"/>
  <c r="AQ16" i="66" s="1"/>
  <c r="AV16" i="66"/>
  <c r="AU16" i="66" s="1"/>
  <c r="AZ16" i="66"/>
  <c r="AY16" i="66" s="1"/>
  <c r="BD16" i="66"/>
  <c r="BC16" i="66" s="1"/>
  <c r="BH16" i="66"/>
  <c r="BG16" i="66" s="1"/>
  <c r="AZ17" i="66"/>
  <c r="AY17" i="66" s="1"/>
  <c r="AF17" i="66"/>
  <c r="AE17" i="66" s="1"/>
  <c r="T15" i="66"/>
  <c r="S15" i="66" s="1"/>
  <c r="AJ15" i="66"/>
  <c r="AI15" i="66" s="1"/>
  <c r="T16" i="66"/>
  <c r="S16" i="66" s="1"/>
  <c r="X16" i="66"/>
  <c r="W16" i="66" s="1"/>
  <c r="AB16" i="66"/>
  <c r="AA16" i="66" s="1"/>
  <c r="AF16" i="66"/>
  <c r="AE16" i="66" s="1"/>
  <c r="AJ16" i="66"/>
  <c r="AI16" i="66" s="1"/>
  <c r="AN16" i="66"/>
  <c r="AM16" i="66" s="1"/>
  <c r="X17" i="66"/>
  <c r="W17" i="66" s="1"/>
  <c r="AN17" i="66"/>
  <c r="AM17" i="66" s="1"/>
  <c r="AF15" i="66"/>
  <c r="AE15" i="66" s="1"/>
  <c r="T17" i="66"/>
  <c r="AJ17" i="66"/>
  <c r="AI17" i="66" s="1"/>
  <c r="P15" i="66"/>
  <c r="O15" i="66" s="1"/>
  <c r="B20" i="60"/>
  <c r="BH20" i="60" s="1"/>
  <c r="BK15" i="66"/>
  <c r="BS15" i="66" l="1"/>
  <c r="BS16" i="66"/>
  <c r="BS17" i="66"/>
  <c r="S17" i="66"/>
  <c r="L17" i="66"/>
  <c r="K17" i="66" s="1"/>
  <c r="L16" i="66"/>
  <c r="K16" i="66" s="1"/>
  <c r="L15" i="66"/>
  <c r="K15" i="66" s="1"/>
  <c r="BD65" i="60" l="1"/>
  <c r="BF65" i="60" s="1"/>
  <c r="BD79" i="60"/>
  <c r="BF79" i="60" s="1"/>
  <c r="BD61" i="60"/>
  <c r="BF61" i="60" s="1"/>
  <c r="BD54" i="60"/>
  <c r="BF54" i="60" s="1"/>
  <c r="AV79" i="69" l="1"/>
  <c r="AN24" i="69"/>
  <c r="V77" i="69"/>
  <c r="W77" i="69" s="1"/>
  <c r="BT77" i="69" s="1"/>
  <c r="V73" i="69"/>
  <c r="W73" i="69" s="1"/>
  <c r="BT73" i="69" s="1"/>
  <c r="V64" i="69"/>
  <c r="W64" i="69" s="1"/>
  <c r="BT64" i="69" s="1"/>
  <c r="V60" i="69"/>
  <c r="W60" i="69" s="1"/>
  <c r="BT60" i="69" s="1"/>
  <c r="V59" i="69"/>
  <c r="W59" i="69" s="1"/>
  <c r="BT59" i="69" s="1"/>
  <c r="V58" i="69"/>
  <c r="W58" i="69" s="1"/>
  <c r="BT58" i="69" s="1"/>
  <c r="V57" i="69"/>
  <c r="W57" i="69" s="1"/>
  <c r="BT57" i="69" s="1"/>
  <c r="V53" i="69"/>
  <c r="W53" i="69" s="1"/>
  <c r="BT53" i="69" s="1"/>
  <c r="V50" i="69"/>
  <c r="W50" i="69" s="1"/>
  <c r="BT50" i="69" s="1"/>
  <c r="V49" i="69"/>
  <c r="W49" i="69" s="1"/>
  <c r="BT49" i="69" s="1"/>
  <c r="V47" i="69"/>
  <c r="W47" i="69" s="1"/>
  <c r="BT47" i="69" s="1"/>
  <c r="V46" i="69"/>
  <c r="W46" i="69" s="1"/>
  <c r="BT46" i="69" s="1"/>
  <c r="V45" i="69"/>
  <c r="W45" i="69" s="1"/>
  <c r="BT45" i="69" s="1"/>
  <c r="V41" i="69"/>
  <c r="W41" i="69" s="1"/>
  <c r="BT41" i="69" s="1"/>
  <c r="V39" i="69"/>
  <c r="W39" i="69" s="1"/>
  <c r="BT39" i="69" s="1"/>
  <c r="V38" i="69"/>
  <c r="W38" i="69" s="1"/>
  <c r="BT38" i="69" s="1"/>
  <c r="V37" i="69"/>
  <c r="W37" i="69" s="1"/>
  <c r="BT37" i="69" s="1"/>
  <c r="V36" i="69"/>
  <c r="W36" i="69" s="1"/>
  <c r="BT36" i="69" s="1"/>
  <c r="V35" i="69"/>
  <c r="W35" i="69" s="1"/>
  <c r="BT35" i="69" s="1"/>
  <c r="V34" i="69"/>
  <c r="W34" i="69" s="1"/>
  <c r="BT34" i="69" s="1"/>
  <c r="V33" i="69"/>
  <c r="W33" i="69" s="1"/>
  <c r="BT33" i="69" s="1"/>
  <c r="V30" i="69"/>
  <c r="W30" i="69" s="1"/>
  <c r="BT30" i="69" s="1"/>
  <c r="V28" i="69"/>
  <c r="W28" i="69" s="1"/>
  <c r="BT28" i="69" s="1"/>
  <c r="V27" i="69"/>
  <c r="W27" i="69" s="1"/>
  <c r="BT27" i="69" s="1"/>
  <c r="V26" i="69"/>
  <c r="W26" i="69" s="1"/>
  <c r="BT26" i="69" s="1"/>
  <c r="V23" i="69"/>
  <c r="W23" i="69" s="1"/>
  <c r="BT23" i="69" s="1"/>
  <c r="V20" i="69"/>
  <c r="W20" i="69" s="1"/>
  <c r="BT20" i="69" s="1"/>
  <c r="V19" i="69"/>
  <c r="W19" i="69" s="1"/>
  <c r="BT19" i="69" s="1"/>
  <c r="V12" i="69"/>
  <c r="W12" i="69" s="1"/>
  <c r="BT12" i="69" s="1"/>
  <c r="V10" i="69"/>
  <c r="W10" i="69" s="1"/>
  <c r="BT10" i="69" s="1"/>
  <c r="V9" i="69"/>
  <c r="W9" i="69" s="1"/>
  <c r="BT9" i="69" s="1"/>
  <c r="V8" i="69"/>
  <c r="W8" i="69" s="1"/>
  <c r="BT8" i="69" s="1"/>
  <c r="V69" i="69"/>
  <c r="W69" i="69" s="1"/>
  <c r="BT69" i="69" s="1"/>
  <c r="AJ65" i="69"/>
  <c r="V63" i="69"/>
  <c r="W63" i="69" s="1"/>
  <c r="BT63" i="69" s="1"/>
  <c r="BT65" i="69" s="1"/>
  <c r="V52" i="69"/>
  <c r="W52" i="69" s="1"/>
  <c r="BT52" i="69" s="1"/>
  <c r="V51" i="69"/>
  <c r="W51" i="69" s="1"/>
  <c r="BT51" i="69" s="1"/>
  <c r="V48" i="69"/>
  <c r="W48" i="69" s="1"/>
  <c r="BT48" i="69" s="1"/>
  <c r="V44" i="69"/>
  <c r="W44" i="69" s="1"/>
  <c r="BT44" i="69" s="1"/>
  <c r="V43" i="69"/>
  <c r="W43" i="69" s="1"/>
  <c r="BT43" i="69" s="1"/>
  <c r="V40" i="69"/>
  <c r="W40" i="69" s="1"/>
  <c r="BT40" i="69" s="1"/>
  <c r="V32" i="69"/>
  <c r="W32" i="69" s="1"/>
  <c r="BT32" i="69" s="1"/>
  <c r="V31" i="69"/>
  <c r="W31" i="69" s="1"/>
  <c r="BT31" i="69" s="1"/>
  <c r="V22" i="69"/>
  <c r="W22" i="69" s="1"/>
  <c r="BT22" i="69" s="1"/>
  <c r="V21" i="69"/>
  <c r="W21" i="69" s="1"/>
  <c r="BT21" i="69" s="1"/>
  <c r="V18" i="69"/>
  <c r="W18" i="69" s="1"/>
  <c r="BT18" i="69" s="1"/>
  <c r="V11" i="69"/>
  <c r="W11" i="69" s="1"/>
  <c r="BT11" i="69" s="1"/>
  <c r="V7" i="69"/>
  <c r="W7" i="69" s="1"/>
  <c r="BT7" i="69" s="1"/>
  <c r="BT24" i="69" s="1"/>
  <c r="H4" i="69"/>
  <c r="L4" i="69" s="1"/>
  <c r="P4" i="69" s="1"/>
  <c r="T4" i="69" s="1"/>
  <c r="X4" i="69" s="1"/>
  <c r="AB4" i="69" s="1"/>
  <c r="AF4" i="69" s="1"/>
  <c r="AJ4" i="69" s="1"/>
  <c r="AN4" i="69" s="1"/>
  <c r="AR4" i="69" s="1"/>
  <c r="AV4" i="69" s="1"/>
  <c r="Q10" i="60" l="1"/>
  <c r="W83" i="69"/>
  <c r="P65" i="69"/>
  <c r="T65" i="69"/>
  <c r="B64" i="69"/>
  <c r="BU64" i="69" s="1"/>
  <c r="AB61" i="69"/>
  <c r="AB79" i="69"/>
  <c r="T54" i="69"/>
  <c r="X54" i="69"/>
  <c r="B53" i="69"/>
  <c r="BU53" i="69" s="1"/>
  <c r="X24" i="69"/>
  <c r="B22" i="69"/>
  <c r="BU22" i="69" s="1"/>
  <c r="B23" i="69"/>
  <c r="BU23" i="69" s="1"/>
  <c r="B7" i="69"/>
  <c r="BU7" i="69" s="1"/>
  <c r="V29" i="69"/>
  <c r="W29" i="69" s="1"/>
  <c r="BT29" i="69" s="1"/>
  <c r="BT54" i="69" s="1"/>
  <c r="AV61" i="69"/>
  <c r="B6" i="69"/>
  <c r="BU6" i="69" s="1"/>
  <c r="AJ24" i="69"/>
  <c r="L54" i="69"/>
  <c r="L65" i="69"/>
  <c r="B69" i="69"/>
  <c r="BU69" i="69" s="1"/>
  <c r="AB54" i="69"/>
  <c r="AB65" i="69"/>
  <c r="AJ79" i="69"/>
  <c r="AN54" i="69"/>
  <c r="AR65" i="69"/>
  <c r="AR79" i="69"/>
  <c r="AV65" i="69"/>
  <c r="B11" i="69"/>
  <c r="BU11" i="69" s="1"/>
  <c r="B19" i="69"/>
  <c r="BU19" i="69" s="1"/>
  <c r="B18" i="69"/>
  <c r="BU18" i="69" s="1"/>
  <c r="B28" i="69"/>
  <c r="BU28" i="69" s="1"/>
  <c r="D61" i="69"/>
  <c r="D65" i="69"/>
  <c r="H54" i="69"/>
  <c r="H61" i="69"/>
  <c r="B8" i="69"/>
  <c r="BU8" i="69" s="1"/>
  <c r="B12" i="69"/>
  <c r="BU12" i="69" s="1"/>
  <c r="B33" i="69"/>
  <c r="BU33" i="69" s="1"/>
  <c r="B41" i="69"/>
  <c r="BU41" i="69" s="1"/>
  <c r="B45" i="69"/>
  <c r="BU45" i="69" s="1"/>
  <c r="B49" i="69"/>
  <c r="BU49" i="69" s="1"/>
  <c r="B77" i="69"/>
  <c r="BU77" i="69" s="1"/>
  <c r="P24" i="69"/>
  <c r="P54" i="69"/>
  <c r="P61" i="69"/>
  <c r="B56" i="69"/>
  <c r="BU56" i="69" s="1"/>
  <c r="B60" i="69"/>
  <c r="BU60" i="69" s="1"/>
  <c r="T61" i="69"/>
  <c r="V56" i="69"/>
  <c r="B74" i="69"/>
  <c r="BU74" i="69" s="1"/>
  <c r="V74" i="69"/>
  <c r="W74" i="69" s="1"/>
  <c r="BT74" i="69" s="1"/>
  <c r="BT79" i="69" s="1"/>
  <c r="V78" i="69"/>
  <c r="W78" i="69" s="1"/>
  <c r="BT78" i="69" s="1"/>
  <c r="B78" i="69"/>
  <c r="BU78" i="69" s="1"/>
  <c r="X65" i="69"/>
  <c r="Z65" i="69"/>
  <c r="AF65" i="69"/>
  <c r="AJ54" i="69"/>
  <c r="AN61" i="69"/>
  <c r="AN65" i="69"/>
  <c r="B73" i="69"/>
  <c r="BU73" i="69" s="1"/>
  <c r="B29" i="69"/>
  <c r="BU29" i="69" s="1"/>
  <c r="B37" i="69"/>
  <c r="BU37" i="69" s="1"/>
  <c r="H24" i="69"/>
  <c r="L24" i="69"/>
  <c r="T79" i="69"/>
  <c r="AJ61" i="69"/>
  <c r="AV24" i="69"/>
  <c r="H65" i="69"/>
  <c r="H79" i="69"/>
  <c r="L61" i="69"/>
  <c r="L79" i="69"/>
  <c r="P79" i="69"/>
  <c r="AB24" i="69"/>
  <c r="AF61" i="69"/>
  <c r="AR24" i="69"/>
  <c r="AV54" i="69"/>
  <c r="B36" i="69"/>
  <c r="BU36" i="69" s="1"/>
  <c r="B40" i="69"/>
  <c r="BU40" i="69" s="1"/>
  <c r="B44" i="69"/>
  <c r="BU44" i="69" s="1"/>
  <c r="B48" i="69"/>
  <c r="BU48" i="69" s="1"/>
  <c r="B52" i="69"/>
  <c r="BU52" i="69" s="1"/>
  <c r="B32" i="69"/>
  <c r="BU32" i="69" s="1"/>
  <c r="AR61" i="69"/>
  <c r="AR54" i="69"/>
  <c r="AN79" i="69"/>
  <c r="B59" i="69"/>
  <c r="BU59" i="69" s="1"/>
  <c r="AF79" i="69"/>
  <c r="AF54" i="69"/>
  <c r="AF24" i="69"/>
  <c r="X79" i="69"/>
  <c r="X61" i="69"/>
  <c r="B58" i="69"/>
  <c r="BU58" i="69" s="1"/>
  <c r="Z61" i="69"/>
  <c r="B39" i="69"/>
  <c r="BU39" i="69" s="1"/>
  <c r="V75" i="69"/>
  <c r="W75" i="69" s="1"/>
  <c r="BT75" i="69" s="1"/>
  <c r="V65" i="69"/>
  <c r="U65" i="69" s="1"/>
  <c r="V42" i="69"/>
  <c r="W42" i="69" s="1"/>
  <c r="BT42" i="69" s="1"/>
  <c r="T24" i="69"/>
  <c r="B31" i="69"/>
  <c r="BU31" i="69" s="1"/>
  <c r="B10" i="69"/>
  <c r="BU10" i="69" s="1"/>
  <c r="B46" i="69"/>
  <c r="BU46" i="69" s="1"/>
  <c r="B51" i="69"/>
  <c r="BU51" i="69" s="1"/>
  <c r="B35" i="69"/>
  <c r="BU35" i="69" s="1"/>
  <c r="B43" i="69"/>
  <c r="BU43" i="69" s="1"/>
  <c r="B14" i="69"/>
  <c r="BU14" i="69" s="1"/>
  <c r="B27" i="69"/>
  <c r="BU27" i="69" s="1"/>
  <c r="B63" i="69"/>
  <c r="BU63" i="69" s="1"/>
  <c r="B20" i="69"/>
  <c r="BU20" i="69" s="1"/>
  <c r="B75" i="69"/>
  <c r="BU75" i="69" s="1"/>
  <c r="D79" i="69"/>
  <c r="B57" i="69"/>
  <c r="BU57" i="69" s="1"/>
  <c r="B34" i="69"/>
  <c r="BU34" i="69" s="1"/>
  <c r="B42" i="69"/>
  <c r="BU42" i="69" s="1"/>
  <c r="D54" i="69"/>
  <c r="B26" i="69"/>
  <c r="BU26" i="69" s="1"/>
  <c r="B30" i="69"/>
  <c r="BU30" i="69" s="1"/>
  <c r="B38" i="69"/>
  <c r="BU38" i="69" s="1"/>
  <c r="B47" i="69"/>
  <c r="BU47" i="69" s="1"/>
  <c r="B50" i="69"/>
  <c r="BU50" i="69" s="1"/>
  <c r="B9" i="69"/>
  <c r="BU9" i="69" s="1"/>
  <c r="B13" i="69"/>
  <c r="BU13" i="69" s="1"/>
  <c r="B21" i="69"/>
  <c r="BU21" i="69" s="1"/>
  <c r="D24" i="69"/>
  <c r="Z79" i="69"/>
  <c r="V61" i="69" l="1"/>
  <c r="U61" i="69" s="1"/>
  <c r="W56" i="69"/>
  <c r="BT56" i="69" s="1"/>
  <c r="BT61" i="69" s="1"/>
  <c r="BT67" i="69" s="1"/>
  <c r="BT71" i="69" s="1"/>
  <c r="BT83" i="69"/>
  <c r="G71" i="69"/>
  <c r="AN81" i="69"/>
  <c r="L81" i="69"/>
  <c r="T81" i="69"/>
  <c r="AR81" i="69"/>
  <c r="O71" i="69"/>
  <c r="P81" i="69"/>
  <c r="X81" i="69"/>
  <c r="H81" i="69"/>
  <c r="AJ81" i="69"/>
  <c r="D81" i="69"/>
  <c r="D67" i="69"/>
  <c r="AF81" i="69"/>
  <c r="AB81" i="69"/>
  <c r="AV81" i="69"/>
  <c r="B65" i="69"/>
  <c r="BU65" i="69" s="1"/>
  <c r="W65" i="69"/>
  <c r="X67" i="69"/>
  <c r="X71" i="69" s="1"/>
  <c r="T67" i="69"/>
  <c r="T71" i="69" s="1"/>
  <c r="P67" i="69"/>
  <c r="P71" i="69" s="1"/>
  <c r="Z54" i="69"/>
  <c r="AJ67" i="69"/>
  <c r="AJ71" i="69" s="1"/>
  <c r="AN67" i="69"/>
  <c r="AN71" i="69" s="1"/>
  <c r="L67" i="69"/>
  <c r="L71" i="69" s="1"/>
  <c r="Y65" i="69"/>
  <c r="Y67" i="69" s="1"/>
  <c r="Y71" i="69" s="1"/>
  <c r="AB67" i="69"/>
  <c r="AB71" i="69" s="1"/>
  <c r="V54" i="69"/>
  <c r="U54" i="69" s="1"/>
  <c r="AF67" i="69"/>
  <c r="AF71" i="69" s="1"/>
  <c r="V79" i="69"/>
  <c r="U79" i="69" s="1"/>
  <c r="AR67" i="69"/>
  <c r="B79" i="69"/>
  <c r="BU79" i="69" s="1"/>
  <c r="H67" i="69"/>
  <c r="H71" i="69" s="1"/>
  <c r="W24" i="69"/>
  <c r="AV67" i="69"/>
  <c r="K71" i="69"/>
  <c r="B61" i="69"/>
  <c r="BU61" i="69" s="1"/>
  <c r="B54" i="69"/>
  <c r="BU54" i="69" s="1"/>
  <c r="B24" i="69"/>
  <c r="BU24" i="69" s="1"/>
  <c r="W54" i="69"/>
  <c r="AV71" i="69" l="1"/>
  <c r="AV83" i="69"/>
  <c r="AV85" i="69" s="1"/>
  <c r="BT81" i="69"/>
  <c r="BT85" i="69" s="1"/>
  <c r="AR71" i="69"/>
  <c r="AR83" i="69"/>
  <c r="W61" i="69"/>
  <c r="U81" i="69"/>
  <c r="V81" i="69"/>
  <c r="Y81" i="69"/>
  <c r="Z81" i="69"/>
  <c r="Z67" i="69"/>
  <c r="Z71" i="69" s="1"/>
  <c r="D71" i="69"/>
  <c r="W67" i="69"/>
  <c r="W71" i="69" s="1"/>
  <c r="W79" i="69"/>
  <c r="V67" i="69"/>
  <c r="U67" i="69" s="1"/>
  <c r="B67" i="69"/>
  <c r="AR85" i="69" l="1"/>
  <c r="BI85" i="69" s="1"/>
  <c r="BL85" i="69" s="1"/>
  <c r="BO85" i="69" s="1"/>
  <c r="BI83" i="69"/>
  <c r="BL83" i="69" s="1"/>
  <c r="BO83" i="69" s="1"/>
  <c r="W81" i="69"/>
  <c r="W85" i="69" s="1"/>
  <c r="B71" i="69"/>
  <c r="BU67" i="69"/>
  <c r="V71" i="69"/>
  <c r="U71" i="69" s="1"/>
  <c r="BU71" i="69" l="1"/>
  <c r="B81" i="69"/>
  <c r="BU81" i="69" s="1"/>
  <c r="B76" i="59" l="1"/>
  <c r="BU76" i="59" s="1"/>
  <c r="B76" i="60" l="1"/>
  <c r="BH76" i="60" s="1"/>
  <c r="D59" i="48" l="1"/>
  <c r="D62" i="48" s="1"/>
  <c r="C59" i="48"/>
  <c r="C62" i="48" s="1"/>
  <c r="D52" i="48"/>
  <c r="D55" i="48" s="1"/>
  <c r="C52" i="48"/>
  <c r="C55" i="48" s="1"/>
  <c r="D45" i="48"/>
  <c r="D48" i="48" s="1"/>
  <c r="C45" i="48"/>
  <c r="C48" i="48" s="1"/>
  <c r="D38" i="48"/>
  <c r="D41" i="48" s="1"/>
  <c r="C38" i="48"/>
  <c r="C41" i="48" s="1"/>
  <c r="D30" i="48"/>
  <c r="C30" i="48"/>
  <c r="D29" i="48"/>
  <c r="C29" i="48"/>
  <c r="C12" i="48" s="1"/>
  <c r="D27" i="48"/>
  <c r="C27" i="48"/>
  <c r="D26" i="48"/>
  <c r="C26" i="48"/>
  <c r="D25" i="48"/>
  <c r="D28" i="48" s="1"/>
  <c r="D31" i="48" s="1"/>
  <c r="C25" i="48"/>
  <c r="C28" i="48" s="1"/>
  <c r="C31" i="48" s="1"/>
  <c r="D20" i="48"/>
  <c r="D24" i="48" s="1"/>
  <c r="C20" i="48"/>
  <c r="C24" i="48" s="1"/>
  <c r="D13" i="48"/>
  <c r="C13" i="48"/>
  <c r="D12" i="48"/>
  <c r="D11" i="48"/>
  <c r="C11" i="48"/>
  <c r="D9" i="48"/>
  <c r="C9" i="48"/>
  <c r="D8" i="48"/>
  <c r="C8" i="48"/>
  <c r="D7" i="48"/>
  <c r="D10" i="48" s="1"/>
  <c r="D14" i="48" s="1"/>
  <c r="C7" i="48"/>
  <c r="C10" i="48" s="1"/>
  <c r="C14" i="48" s="1"/>
  <c r="B79" i="66"/>
  <c r="B81" i="66" s="1"/>
  <c r="B65" i="66"/>
  <c r="B61" i="66"/>
  <c r="B54" i="66"/>
  <c r="B24" i="66"/>
  <c r="AV79" i="59"/>
  <c r="Y65" i="47" s="1"/>
  <c r="AV65" i="59"/>
  <c r="AV61" i="59"/>
  <c r="Y62" i="47" s="1"/>
  <c r="AV54" i="59"/>
  <c r="Y61" i="47" s="1"/>
  <c r="AV24" i="59"/>
  <c r="AR79" i="59"/>
  <c r="X65" i="47" s="1"/>
  <c r="AR65" i="59"/>
  <c r="AR61" i="59"/>
  <c r="X62" i="47" s="1"/>
  <c r="AR54" i="59"/>
  <c r="X61" i="47" s="1"/>
  <c r="AR24" i="59"/>
  <c r="AJ79" i="59"/>
  <c r="V65" i="47" s="1"/>
  <c r="AJ65" i="59"/>
  <c r="AJ61" i="59"/>
  <c r="AJ54" i="59"/>
  <c r="V61" i="47" s="1"/>
  <c r="AJ24" i="59"/>
  <c r="AN79" i="59"/>
  <c r="W65" i="47" s="1"/>
  <c r="AN65" i="59"/>
  <c r="AN61" i="59"/>
  <c r="W62" i="47" s="1"/>
  <c r="AN54" i="59"/>
  <c r="W61" i="47" s="1"/>
  <c r="AN24" i="59"/>
  <c r="AB79" i="59"/>
  <c r="T65" i="47" s="1"/>
  <c r="AB65" i="59"/>
  <c r="AB61" i="59"/>
  <c r="T62" i="47" s="1"/>
  <c r="AB54" i="59"/>
  <c r="T61" i="47" s="1"/>
  <c r="AB24" i="59"/>
  <c r="AF79" i="59"/>
  <c r="U65" i="47" s="1"/>
  <c r="AF65" i="59"/>
  <c r="AF61" i="59"/>
  <c r="U62" i="47" s="1"/>
  <c r="AF54" i="59"/>
  <c r="U61" i="47" s="1"/>
  <c r="AF24" i="59"/>
  <c r="X79" i="59"/>
  <c r="S65" i="47" s="1"/>
  <c r="X65" i="59"/>
  <c r="X61" i="59"/>
  <c r="X54" i="59"/>
  <c r="S61" i="47" s="1"/>
  <c r="X24" i="59"/>
  <c r="T79" i="59"/>
  <c r="R65" i="47" s="1"/>
  <c r="T65" i="59"/>
  <c r="T61" i="59"/>
  <c r="R62" i="47" s="1"/>
  <c r="T54" i="59"/>
  <c r="R61" i="47" s="1"/>
  <c r="T24" i="59"/>
  <c r="P79" i="59"/>
  <c r="Q65" i="47" s="1"/>
  <c r="P65" i="59"/>
  <c r="P61" i="59"/>
  <c r="Q62" i="47" s="1"/>
  <c r="P54" i="59"/>
  <c r="Q61" i="47" s="1"/>
  <c r="P24" i="59"/>
  <c r="L79" i="59"/>
  <c r="P65" i="47" s="1"/>
  <c r="L65" i="59"/>
  <c r="L61" i="59"/>
  <c r="P62" i="47" s="1"/>
  <c r="L54" i="59"/>
  <c r="P61" i="47" s="1"/>
  <c r="L24" i="59"/>
  <c r="H79" i="59"/>
  <c r="O65" i="47" s="1"/>
  <c r="H65" i="59"/>
  <c r="H61" i="59"/>
  <c r="H54" i="59"/>
  <c r="O61" i="47" s="1"/>
  <c r="H24" i="59"/>
  <c r="O60" i="47" s="1"/>
  <c r="AV79" i="58"/>
  <c r="AV65" i="58"/>
  <c r="AV61" i="58"/>
  <c r="Y54" i="47" s="1"/>
  <c r="AV54" i="58"/>
  <c r="Y53" i="47" s="1"/>
  <c r="AV24" i="58"/>
  <c r="AR79" i="58"/>
  <c r="AR65" i="58"/>
  <c r="AR61" i="58"/>
  <c r="X54" i="47" s="1"/>
  <c r="AR54" i="58"/>
  <c r="X53" i="47" s="1"/>
  <c r="AR24" i="58"/>
  <c r="AN79" i="58"/>
  <c r="W57" i="47" s="1"/>
  <c r="AN65" i="58"/>
  <c r="AN61" i="58"/>
  <c r="W54" i="47" s="1"/>
  <c r="AN54" i="58"/>
  <c r="W53" i="47" s="1"/>
  <c r="AN24" i="58"/>
  <c r="AJ79" i="58"/>
  <c r="V57" i="47" s="1"/>
  <c r="AJ65" i="58"/>
  <c r="AJ61" i="58"/>
  <c r="V54" i="47" s="1"/>
  <c r="AJ54" i="58"/>
  <c r="V53" i="47" s="1"/>
  <c r="AJ24" i="58"/>
  <c r="AF79" i="58"/>
  <c r="AF65" i="58"/>
  <c r="AF61" i="58"/>
  <c r="U54" i="47" s="1"/>
  <c r="AF54" i="58"/>
  <c r="U53" i="47" s="1"/>
  <c r="AF24" i="58"/>
  <c r="AB79" i="58"/>
  <c r="AB65" i="58"/>
  <c r="AB61" i="58"/>
  <c r="T54" i="47" s="1"/>
  <c r="AB54" i="58"/>
  <c r="T53" i="47" s="1"/>
  <c r="AB24" i="58"/>
  <c r="X79" i="58"/>
  <c r="S57" i="47" s="1"/>
  <c r="X65" i="58"/>
  <c r="X61" i="58"/>
  <c r="X54" i="58"/>
  <c r="S53" i="47" s="1"/>
  <c r="X24" i="58"/>
  <c r="T79" i="58"/>
  <c r="R57" i="47" s="1"/>
  <c r="T65" i="58"/>
  <c r="T61" i="58"/>
  <c r="T54" i="58"/>
  <c r="R53" i="47" s="1"/>
  <c r="T24" i="58"/>
  <c r="P79" i="58"/>
  <c r="P65" i="58"/>
  <c r="P61" i="58"/>
  <c r="Q54" i="47" s="1"/>
  <c r="P54" i="58"/>
  <c r="Q53" i="47" s="1"/>
  <c r="P24" i="58"/>
  <c r="L79" i="58"/>
  <c r="L65" i="58"/>
  <c r="L61" i="58"/>
  <c r="P54" i="47" s="1"/>
  <c r="L54" i="58"/>
  <c r="P53" i="47" s="1"/>
  <c r="L24" i="58"/>
  <c r="H79" i="58"/>
  <c r="H65" i="58"/>
  <c r="H61" i="58"/>
  <c r="H54" i="58"/>
  <c r="H24" i="58"/>
  <c r="AV79" i="55"/>
  <c r="Y21" i="47" s="1"/>
  <c r="AV65" i="55"/>
  <c r="AV61" i="55"/>
  <c r="Y19" i="47" s="1"/>
  <c r="AV54" i="55"/>
  <c r="Y18" i="47" s="1"/>
  <c r="AV24" i="55"/>
  <c r="AR79" i="55"/>
  <c r="X21" i="47" s="1"/>
  <c r="AR65" i="55"/>
  <c r="AR61" i="55"/>
  <c r="X19" i="47" s="1"/>
  <c r="AR54" i="55"/>
  <c r="X18" i="47" s="1"/>
  <c r="AR24" i="55"/>
  <c r="AN79" i="55"/>
  <c r="W21" i="47" s="1"/>
  <c r="AN65" i="55"/>
  <c r="AN61" i="55"/>
  <c r="W19" i="47" s="1"/>
  <c r="AN54" i="55"/>
  <c r="W18" i="47" s="1"/>
  <c r="AN24" i="55"/>
  <c r="AJ79" i="55"/>
  <c r="V21" i="47" s="1"/>
  <c r="AJ65" i="55"/>
  <c r="AJ61" i="55"/>
  <c r="V19" i="47" s="1"/>
  <c r="AJ54" i="55"/>
  <c r="V18" i="47" s="1"/>
  <c r="AJ24" i="55"/>
  <c r="AF79" i="55"/>
  <c r="U21" i="47" s="1"/>
  <c r="AF65" i="55"/>
  <c r="AF61" i="55"/>
  <c r="U19" i="47" s="1"/>
  <c r="AF54" i="55"/>
  <c r="U18" i="47" s="1"/>
  <c r="AF24" i="55"/>
  <c r="AB79" i="55"/>
  <c r="T21" i="47" s="1"/>
  <c r="AB65" i="55"/>
  <c r="AB61" i="55"/>
  <c r="T19" i="47" s="1"/>
  <c r="AB54" i="55"/>
  <c r="T18" i="47" s="1"/>
  <c r="AB24" i="55"/>
  <c r="X79" i="55"/>
  <c r="S21" i="47" s="1"/>
  <c r="X65" i="55"/>
  <c r="X61" i="55"/>
  <c r="S19" i="47" s="1"/>
  <c r="X54" i="55"/>
  <c r="S18" i="47" s="1"/>
  <c r="X24" i="55"/>
  <c r="T79" i="55"/>
  <c r="R21" i="47" s="1"/>
  <c r="T65" i="55"/>
  <c r="T61" i="55"/>
  <c r="R19" i="47" s="1"/>
  <c r="T54" i="55"/>
  <c r="R18" i="47" s="1"/>
  <c r="T24" i="55"/>
  <c r="P79" i="55"/>
  <c r="Q21" i="47" s="1"/>
  <c r="P65" i="55"/>
  <c r="W22" i="48" s="1"/>
  <c r="W12" i="48" s="1"/>
  <c r="P61" i="55"/>
  <c r="Q19" i="47" s="1"/>
  <c r="P54" i="55"/>
  <c r="Q18" i="47" s="1"/>
  <c r="P24" i="55"/>
  <c r="L79" i="55"/>
  <c r="P21" i="47" s="1"/>
  <c r="L65" i="55"/>
  <c r="S22" i="48" s="1"/>
  <c r="S12" i="48" s="1"/>
  <c r="L61" i="55"/>
  <c r="P19" i="47" s="1"/>
  <c r="L54" i="55"/>
  <c r="P18" i="47" s="1"/>
  <c r="L24" i="55"/>
  <c r="H79" i="55"/>
  <c r="O21" i="47" s="1"/>
  <c r="H65" i="55"/>
  <c r="R22" i="47" s="1"/>
  <c r="R12" i="47" s="1"/>
  <c r="H61" i="55"/>
  <c r="O19" i="47" s="1"/>
  <c r="H54" i="55"/>
  <c r="O18" i="47" s="1"/>
  <c r="H24" i="55"/>
  <c r="AV79" i="57"/>
  <c r="Y49" i="47" s="1"/>
  <c r="AV65" i="57"/>
  <c r="AV61" i="57"/>
  <c r="Y46" i="47" s="1"/>
  <c r="AV54" i="57"/>
  <c r="Y45" i="47" s="1"/>
  <c r="AV24" i="57"/>
  <c r="AR79" i="57"/>
  <c r="X49" i="47" s="1"/>
  <c r="AR65" i="57"/>
  <c r="AR61" i="57"/>
  <c r="X46" i="47" s="1"/>
  <c r="AR54" i="57"/>
  <c r="X45" i="47" s="1"/>
  <c r="AR24" i="57"/>
  <c r="AN79" i="57"/>
  <c r="W49" i="47" s="1"/>
  <c r="AN65" i="57"/>
  <c r="AN61" i="57"/>
  <c r="W46" i="47" s="1"/>
  <c r="AN54" i="57"/>
  <c r="W45" i="47" s="1"/>
  <c r="AN24" i="57"/>
  <c r="AJ79" i="57"/>
  <c r="V49" i="47" s="1"/>
  <c r="AJ65" i="57"/>
  <c r="AJ61" i="57"/>
  <c r="V46" i="47" s="1"/>
  <c r="AJ54" i="57"/>
  <c r="V45" i="47" s="1"/>
  <c r="AJ24" i="57"/>
  <c r="AF79" i="57"/>
  <c r="U49" i="47" s="1"/>
  <c r="AF65" i="57"/>
  <c r="AF61" i="57"/>
  <c r="U46" i="47" s="1"/>
  <c r="AF54" i="57"/>
  <c r="U45" i="47" s="1"/>
  <c r="AF24" i="57"/>
  <c r="AB79" i="57"/>
  <c r="T49" i="47" s="1"/>
  <c r="AB65" i="57"/>
  <c r="AB61" i="57"/>
  <c r="T46" i="47" s="1"/>
  <c r="AB54" i="57"/>
  <c r="T45" i="47" s="1"/>
  <c r="AB24" i="57"/>
  <c r="X79" i="57"/>
  <c r="S49" i="47" s="1"/>
  <c r="X65" i="57"/>
  <c r="X61" i="57"/>
  <c r="S46" i="47" s="1"/>
  <c r="X54" i="57"/>
  <c r="S45" i="47" s="1"/>
  <c r="X24" i="57"/>
  <c r="T79" i="57"/>
  <c r="R49" i="47" s="1"/>
  <c r="T65" i="57"/>
  <c r="T61" i="57"/>
  <c r="R46" i="47" s="1"/>
  <c r="T54" i="57"/>
  <c r="R45" i="47" s="1"/>
  <c r="T24" i="57"/>
  <c r="P79" i="57"/>
  <c r="Q49" i="47" s="1"/>
  <c r="P65" i="57"/>
  <c r="P61" i="57"/>
  <c r="Q46" i="47" s="1"/>
  <c r="P54" i="57"/>
  <c r="Q45" i="47" s="1"/>
  <c r="P24" i="57"/>
  <c r="L79" i="57"/>
  <c r="P49" i="47" s="1"/>
  <c r="L65" i="57"/>
  <c r="L61" i="57"/>
  <c r="P46" i="47" s="1"/>
  <c r="L54" i="57"/>
  <c r="P45" i="47" s="1"/>
  <c r="L24" i="57"/>
  <c r="H79" i="57"/>
  <c r="O49" i="47" s="1"/>
  <c r="H65" i="57"/>
  <c r="H61" i="57"/>
  <c r="O46" i="47" s="1"/>
  <c r="H54" i="57"/>
  <c r="O45" i="47" s="1"/>
  <c r="H24" i="57"/>
  <c r="AV79" i="56"/>
  <c r="Y41" i="47" s="1"/>
  <c r="AV65" i="56"/>
  <c r="AV61" i="56"/>
  <c r="Y38" i="47" s="1"/>
  <c r="AV54" i="56"/>
  <c r="Y37" i="47" s="1"/>
  <c r="AV24" i="56"/>
  <c r="AN79" i="56"/>
  <c r="W41" i="47" s="1"/>
  <c r="AN65" i="56"/>
  <c r="AN61" i="56"/>
  <c r="W38" i="47" s="1"/>
  <c r="AN54" i="56"/>
  <c r="W37" i="47" s="1"/>
  <c r="AN24" i="56"/>
  <c r="AR79" i="56"/>
  <c r="X41" i="47" s="1"/>
  <c r="AR65" i="56"/>
  <c r="AR61" i="56"/>
  <c r="X38" i="47" s="1"/>
  <c r="AR54" i="56"/>
  <c r="X37" i="47" s="1"/>
  <c r="AR24" i="56"/>
  <c r="AJ79" i="56"/>
  <c r="V41" i="47" s="1"/>
  <c r="AJ65" i="56"/>
  <c r="AJ61" i="56"/>
  <c r="V38" i="47" s="1"/>
  <c r="AJ54" i="56"/>
  <c r="V37" i="47" s="1"/>
  <c r="AJ24" i="56"/>
  <c r="AF79" i="56"/>
  <c r="U41" i="47" s="1"/>
  <c r="AF65" i="56"/>
  <c r="AF61" i="56"/>
  <c r="U38" i="47" s="1"/>
  <c r="AF54" i="56"/>
  <c r="U37" i="47" s="1"/>
  <c r="AF24" i="56"/>
  <c r="AB79" i="56"/>
  <c r="T41" i="47" s="1"/>
  <c r="AB65" i="56"/>
  <c r="AB61" i="56"/>
  <c r="T38" i="47" s="1"/>
  <c r="AB54" i="56"/>
  <c r="T37" i="47" s="1"/>
  <c r="AB24" i="56"/>
  <c r="X79" i="56"/>
  <c r="S41" i="47" s="1"/>
  <c r="X65" i="56"/>
  <c r="X61" i="56"/>
  <c r="S38" i="47" s="1"/>
  <c r="X54" i="56"/>
  <c r="S37" i="47" s="1"/>
  <c r="X24" i="56"/>
  <c r="T79" i="56"/>
  <c r="R41" i="47" s="1"/>
  <c r="T65" i="56"/>
  <c r="T61" i="56"/>
  <c r="R38" i="47" s="1"/>
  <c r="T54" i="56"/>
  <c r="R37" i="47" s="1"/>
  <c r="T24" i="56"/>
  <c r="P79" i="56"/>
  <c r="Q41" i="47" s="1"/>
  <c r="P65" i="56"/>
  <c r="P61" i="56"/>
  <c r="Q38" i="47" s="1"/>
  <c r="P54" i="56"/>
  <c r="Q37" i="47" s="1"/>
  <c r="P24" i="56"/>
  <c r="L79" i="56"/>
  <c r="P41" i="47" s="1"/>
  <c r="L65" i="56"/>
  <c r="V40" i="47" s="1"/>
  <c r="L61" i="56"/>
  <c r="P38" i="47" s="1"/>
  <c r="L54" i="56"/>
  <c r="P37" i="47" s="1"/>
  <c r="L24" i="56"/>
  <c r="H79" i="56"/>
  <c r="O41" i="47" s="1"/>
  <c r="H65" i="56"/>
  <c r="R40" i="47" s="1"/>
  <c r="H61" i="56"/>
  <c r="O38" i="47" s="1"/>
  <c r="H54" i="56"/>
  <c r="O37" i="47" s="1"/>
  <c r="H24" i="56"/>
  <c r="O36" i="47" s="1"/>
  <c r="D63" i="47"/>
  <c r="D67" i="47" s="1"/>
  <c r="C63" i="47"/>
  <c r="C67" i="47" s="1"/>
  <c r="D55" i="47"/>
  <c r="D59" i="47" s="1"/>
  <c r="C55" i="47"/>
  <c r="C59" i="47" s="1"/>
  <c r="D47" i="47"/>
  <c r="D51" i="47" s="1"/>
  <c r="C47" i="47"/>
  <c r="C51" i="47" s="1"/>
  <c r="D39" i="47"/>
  <c r="D43" i="47" s="1"/>
  <c r="C39" i="47"/>
  <c r="C43" i="47" s="1"/>
  <c r="D31" i="47"/>
  <c r="C31" i="47"/>
  <c r="D30" i="47"/>
  <c r="C30" i="47"/>
  <c r="D29" i="47"/>
  <c r="C29" i="47"/>
  <c r="D27" i="47"/>
  <c r="C27" i="47"/>
  <c r="D26" i="47"/>
  <c r="C26" i="47"/>
  <c r="D25" i="47"/>
  <c r="D28" i="47" s="1"/>
  <c r="C25" i="47"/>
  <c r="C28" i="47" s="1"/>
  <c r="C32" i="47" s="1"/>
  <c r="D20" i="47"/>
  <c r="D24" i="47" s="1"/>
  <c r="C20" i="47"/>
  <c r="C24" i="47" s="1"/>
  <c r="C11" i="47"/>
  <c r="D11" i="47"/>
  <c r="E30" i="47"/>
  <c r="E11" i="47" s="1"/>
  <c r="G30" i="47"/>
  <c r="H30" i="47"/>
  <c r="I30" i="47" s="1"/>
  <c r="J30" i="47" s="1"/>
  <c r="I57" i="47"/>
  <c r="J57" i="47" s="1"/>
  <c r="I65" i="47"/>
  <c r="J65" i="47" s="1"/>
  <c r="F65" i="47"/>
  <c r="C12" i="47"/>
  <c r="E29" i="47"/>
  <c r="F29" i="47" s="1"/>
  <c r="G29" i="47"/>
  <c r="H29" i="47"/>
  <c r="V78" i="59"/>
  <c r="W78" i="59" s="1"/>
  <c r="BT78" i="59" s="1"/>
  <c r="V77" i="59"/>
  <c r="W77" i="59" s="1"/>
  <c r="BT77" i="59" s="1"/>
  <c r="V75" i="59"/>
  <c r="W75" i="59" s="1"/>
  <c r="BT75" i="59" s="1"/>
  <c r="V74" i="59"/>
  <c r="W74" i="59" s="1"/>
  <c r="BT74" i="59" s="1"/>
  <c r="V73" i="59"/>
  <c r="W73" i="59" s="1"/>
  <c r="BT73" i="59" s="1"/>
  <c r="D79" i="59"/>
  <c r="N65" i="47" s="1"/>
  <c r="B78" i="59"/>
  <c r="BU78" i="59" s="1"/>
  <c r="B77" i="59"/>
  <c r="BU77" i="59" s="1"/>
  <c r="B75" i="59"/>
  <c r="BU75" i="59" s="1"/>
  <c r="B74" i="59"/>
  <c r="BU74" i="59" s="1"/>
  <c r="B73" i="59"/>
  <c r="BU73" i="59" s="1"/>
  <c r="V78" i="58"/>
  <c r="W78" i="58" s="1"/>
  <c r="BT78" i="58" s="1"/>
  <c r="V77" i="58"/>
  <c r="W77" i="58" s="1"/>
  <c r="BT77" i="58" s="1"/>
  <c r="V75" i="58"/>
  <c r="W75" i="58" s="1"/>
  <c r="BT75" i="58" s="1"/>
  <c r="V74" i="58"/>
  <c r="W74" i="58" s="1"/>
  <c r="BT74" i="58" s="1"/>
  <c r="V73" i="58"/>
  <c r="W73" i="58" s="1"/>
  <c r="BT73" i="58" s="1"/>
  <c r="Y57" i="47"/>
  <c r="X57" i="47"/>
  <c r="U57" i="47"/>
  <c r="T57" i="47"/>
  <c r="Q57" i="47"/>
  <c r="P57" i="47"/>
  <c r="D79" i="58"/>
  <c r="N57" i="47" s="1"/>
  <c r="B78" i="58"/>
  <c r="BU78" i="58" s="1"/>
  <c r="B77" i="58"/>
  <c r="BU77" i="58" s="1"/>
  <c r="B75" i="58"/>
  <c r="BU75" i="58" s="1"/>
  <c r="B74" i="58"/>
  <c r="BU74" i="58" s="1"/>
  <c r="B73" i="58"/>
  <c r="BU73" i="58" s="1"/>
  <c r="D79" i="57"/>
  <c r="N49" i="47" s="1"/>
  <c r="V78" i="57"/>
  <c r="W78" i="57" s="1"/>
  <c r="BT78" i="57" s="1"/>
  <c r="B78" i="57"/>
  <c r="BU78" i="57" s="1"/>
  <c r="V77" i="57"/>
  <c r="W77" i="57" s="1"/>
  <c r="BT77" i="57" s="1"/>
  <c r="B77" i="57"/>
  <c r="BU77" i="57" s="1"/>
  <c r="V75" i="57"/>
  <c r="W75" i="57" s="1"/>
  <c r="BT75" i="57" s="1"/>
  <c r="B75" i="57"/>
  <c r="BU75" i="57" s="1"/>
  <c r="V74" i="57"/>
  <c r="W74" i="57" s="1"/>
  <c r="BT74" i="57" s="1"/>
  <c r="B74" i="57"/>
  <c r="BU74" i="57" s="1"/>
  <c r="V73" i="57"/>
  <c r="W73" i="57" s="1"/>
  <c r="BT73" i="57" s="1"/>
  <c r="B73" i="57"/>
  <c r="BU73" i="57" s="1"/>
  <c r="D79" i="56"/>
  <c r="N41" i="47" s="1"/>
  <c r="V78" i="56"/>
  <c r="W78" i="56" s="1"/>
  <c r="BT78" i="56" s="1"/>
  <c r="B78" i="56"/>
  <c r="BU78" i="56" s="1"/>
  <c r="V77" i="56"/>
  <c r="W77" i="56" s="1"/>
  <c r="BT77" i="56" s="1"/>
  <c r="B77" i="56"/>
  <c r="BU77" i="56" s="1"/>
  <c r="V75" i="56"/>
  <c r="W75" i="56" s="1"/>
  <c r="BT75" i="56" s="1"/>
  <c r="B75" i="56"/>
  <c r="BU75" i="56" s="1"/>
  <c r="V74" i="56"/>
  <c r="W74" i="56" s="1"/>
  <c r="BT74" i="56" s="1"/>
  <c r="B74" i="56"/>
  <c r="BU74" i="56" s="1"/>
  <c r="V73" i="56"/>
  <c r="W73" i="56" s="1"/>
  <c r="B73" i="56"/>
  <c r="BU73" i="56" s="1"/>
  <c r="E79" i="66"/>
  <c r="E81" i="66" s="1"/>
  <c r="F81" i="66" s="1"/>
  <c r="D79" i="66"/>
  <c r="D81" i="66" s="1"/>
  <c r="C79" i="66"/>
  <c r="C81" i="66" s="1"/>
  <c r="D79" i="55"/>
  <c r="V69" i="59"/>
  <c r="W69" i="59" s="1"/>
  <c r="BT69" i="59" s="1"/>
  <c r="V64" i="59"/>
  <c r="W64" i="59" s="1"/>
  <c r="BT64" i="59" s="1"/>
  <c r="V63" i="59"/>
  <c r="W63" i="59" s="1"/>
  <c r="BT63" i="59" s="1"/>
  <c r="V60" i="59"/>
  <c r="W60" i="59" s="1"/>
  <c r="BT60" i="59" s="1"/>
  <c r="V59" i="59"/>
  <c r="W59" i="59" s="1"/>
  <c r="BT59" i="59" s="1"/>
  <c r="V57" i="59"/>
  <c r="W57" i="59" s="1"/>
  <c r="BT57" i="59" s="1"/>
  <c r="V56" i="59"/>
  <c r="W56" i="59" s="1"/>
  <c r="BT56" i="59" s="1"/>
  <c r="V53" i="59"/>
  <c r="W53" i="59" s="1"/>
  <c r="BT53" i="59" s="1"/>
  <c r="V52" i="59"/>
  <c r="W52" i="59" s="1"/>
  <c r="BT52" i="59" s="1"/>
  <c r="V51" i="59"/>
  <c r="W51" i="59" s="1"/>
  <c r="BT51" i="59" s="1"/>
  <c r="V50" i="59"/>
  <c r="W50" i="59" s="1"/>
  <c r="BT50" i="59" s="1"/>
  <c r="V49" i="59"/>
  <c r="W49" i="59" s="1"/>
  <c r="BT49" i="59" s="1"/>
  <c r="V48" i="59"/>
  <c r="W48" i="59" s="1"/>
  <c r="BT48" i="59" s="1"/>
  <c r="V47" i="59"/>
  <c r="W47" i="59" s="1"/>
  <c r="BT47" i="59" s="1"/>
  <c r="V46" i="59"/>
  <c r="W46" i="59" s="1"/>
  <c r="BT46" i="59" s="1"/>
  <c r="V45" i="59"/>
  <c r="W45" i="59" s="1"/>
  <c r="BT45" i="59" s="1"/>
  <c r="V44" i="59"/>
  <c r="W44" i="59" s="1"/>
  <c r="BT44" i="59" s="1"/>
  <c r="V43" i="59"/>
  <c r="W43" i="59" s="1"/>
  <c r="BT43" i="59" s="1"/>
  <c r="V42" i="59"/>
  <c r="W42" i="59" s="1"/>
  <c r="BT42" i="59" s="1"/>
  <c r="V41" i="59"/>
  <c r="W41" i="59" s="1"/>
  <c r="BT41" i="59" s="1"/>
  <c r="V40" i="59"/>
  <c r="W40" i="59" s="1"/>
  <c r="BT40" i="59" s="1"/>
  <c r="V39" i="59"/>
  <c r="W39" i="59" s="1"/>
  <c r="BT39" i="59" s="1"/>
  <c r="V38" i="59"/>
  <c r="W38" i="59" s="1"/>
  <c r="BT38" i="59" s="1"/>
  <c r="V37" i="59"/>
  <c r="W37" i="59" s="1"/>
  <c r="BT37" i="59" s="1"/>
  <c r="V36" i="59"/>
  <c r="W36" i="59" s="1"/>
  <c r="BT36" i="59" s="1"/>
  <c r="V35" i="59"/>
  <c r="W35" i="59" s="1"/>
  <c r="BT35" i="59" s="1"/>
  <c r="V34" i="59"/>
  <c r="W34" i="59" s="1"/>
  <c r="BT34" i="59" s="1"/>
  <c r="V33" i="59"/>
  <c r="W33" i="59" s="1"/>
  <c r="BT33" i="59" s="1"/>
  <c r="V31" i="59"/>
  <c r="W31" i="59" s="1"/>
  <c r="BT31" i="59" s="1"/>
  <c r="V30" i="59"/>
  <c r="W30" i="59" s="1"/>
  <c r="BT30" i="59" s="1"/>
  <c r="V29" i="59"/>
  <c r="W29" i="59" s="1"/>
  <c r="BT29" i="59" s="1"/>
  <c r="V28" i="59"/>
  <c r="W28" i="59" s="1"/>
  <c r="BT28" i="59" s="1"/>
  <c r="V27" i="59"/>
  <c r="W27" i="59" s="1"/>
  <c r="BT27" i="59" s="1"/>
  <c r="V26" i="59"/>
  <c r="W26" i="59" s="1"/>
  <c r="BT26" i="59" s="1"/>
  <c r="V22" i="59"/>
  <c r="W22" i="59" s="1"/>
  <c r="BT22" i="59" s="1"/>
  <c r="V21" i="59"/>
  <c r="W21" i="59" s="1"/>
  <c r="BT21" i="59" s="1"/>
  <c r="V20" i="59"/>
  <c r="W20" i="59" s="1"/>
  <c r="BT20" i="59" s="1"/>
  <c r="V19" i="59"/>
  <c r="W19" i="59" s="1"/>
  <c r="BT19" i="59" s="1"/>
  <c r="V18" i="59"/>
  <c r="W18" i="59" s="1"/>
  <c r="BT18" i="59" s="1"/>
  <c r="V14" i="59"/>
  <c r="W14" i="59" s="1"/>
  <c r="BT14" i="59" s="1"/>
  <c r="V12" i="59"/>
  <c r="W12" i="59" s="1"/>
  <c r="BT12" i="59" s="1"/>
  <c r="V11" i="59"/>
  <c r="W11" i="59" s="1"/>
  <c r="BT11" i="59" s="1"/>
  <c r="V9" i="59"/>
  <c r="W9" i="59" s="1"/>
  <c r="BT9" i="59" s="1"/>
  <c r="V8" i="59"/>
  <c r="W8" i="59" s="1"/>
  <c r="BT8" i="59" s="1"/>
  <c r="V7" i="59"/>
  <c r="W7" i="59" s="1"/>
  <c r="BT7" i="59" s="1"/>
  <c r="I22" i="48"/>
  <c r="I12" i="48" s="1"/>
  <c r="G55" i="47"/>
  <c r="G11" i="47"/>
  <c r="G20" i="47"/>
  <c r="G24" i="47" s="1"/>
  <c r="B39" i="56"/>
  <c r="BU39" i="56" s="1"/>
  <c r="V39" i="56"/>
  <c r="W39" i="56" s="1"/>
  <c r="BT39" i="56" s="1"/>
  <c r="B39" i="57"/>
  <c r="BU39" i="57" s="1"/>
  <c r="V39" i="57"/>
  <c r="W39" i="57" s="1"/>
  <c r="BT39" i="57" s="1"/>
  <c r="B39" i="58"/>
  <c r="BU39" i="58" s="1"/>
  <c r="V39" i="58"/>
  <c r="W39" i="58" s="1"/>
  <c r="BT39" i="58" s="1"/>
  <c r="B39" i="59"/>
  <c r="BU39" i="59" s="1"/>
  <c r="K29" i="48"/>
  <c r="K12" i="48" s="1"/>
  <c r="H29" i="48"/>
  <c r="G29" i="48"/>
  <c r="I29" i="48"/>
  <c r="E29" i="48"/>
  <c r="F29" i="48" s="1"/>
  <c r="G12" i="47"/>
  <c r="D12" i="47"/>
  <c r="E27" i="48"/>
  <c r="E26" i="48"/>
  <c r="E25" i="48"/>
  <c r="H12" i="47"/>
  <c r="F22" i="47"/>
  <c r="H12" i="48"/>
  <c r="AD21" i="48"/>
  <c r="F22" i="48"/>
  <c r="I22" i="47"/>
  <c r="J22" i="47" s="1"/>
  <c r="E27" i="47"/>
  <c r="E26" i="47"/>
  <c r="E25" i="47"/>
  <c r="E20" i="47"/>
  <c r="E24" i="47" s="1"/>
  <c r="AD65" i="60"/>
  <c r="AA65" i="60"/>
  <c r="U65" i="60"/>
  <c r="R65" i="60"/>
  <c r="O65" i="60"/>
  <c r="L65" i="60"/>
  <c r="I65" i="60"/>
  <c r="F65" i="60"/>
  <c r="D65" i="59"/>
  <c r="D65" i="58"/>
  <c r="B64" i="58"/>
  <c r="BU64" i="58" s="1"/>
  <c r="V64" i="58"/>
  <c r="W64" i="58" s="1"/>
  <c r="BT64" i="58" s="1"/>
  <c r="D65" i="57"/>
  <c r="D65" i="56"/>
  <c r="N40" i="47" s="1"/>
  <c r="N29" i="47" s="1"/>
  <c r="K29" i="47" s="1"/>
  <c r="BR66" i="66"/>
  <c r="BQ66" i="66"/>
  <c r="BP66" i="66"/>
  <c r="BO66" i="66"/>
  <c r="BN66" i="66"/>
  <c r="BM66" i="66"/>
  <c r="BL66" i="66"/>
  <c r="BK66" i="66"/>
  <c r="E65" i="66"/>
  <c r="D65" i="55"/>
  <c r="B59" i="59"/>
  <c r="BU59" i="59" s="1"/>
  <c r="V59" i="58"/>
  <c r="W59" i="58" s="1"/>
  <c r="BT59" i="58" s="1"/>
  <c r="B59" i="58"/>
  <c r="BU59" i="58" s="1"/>
  <c r="V59" i="57"/>
  <c r="W59" i="57" s="1"/>
  <c r="BT59" i="57" s="1"/>
  <c r="B59" i="57"/>
  <c r="BU59" i="57" s="1"/>
  <c r="V59" i="56"/>
  <c r="W59" i="56" s="1"/>
  <c r="BT59" i="56" s="1"/>
  <c r="B59" i="56"/>
  <c r="BU59" i="56" s="1"/>
  <c r="I59" i="66"/>
  <c r="I145" i="66" s="1"/>
  <c r="BF59" i="66"/>
  <c r="BB59" i="66"/>
  <c r="AX59" i="66"/>
  <c r="AT59" i="66"/>
  <c r="AP59" i="66"/>
  <c r="AL59" i="66"/>
  <c r="AH59" i="66"/>
  <c r="AD59" i="66"/>
  <c r="Z59" i="66"/>
  <c r="V59" i="66"/>
  <c r="R59" i="66"/>
  <c r="BT66" i="66"/>
  <c r="BU66" i="66" s="1"/>
  <c r="C65" i="66"/>
  <c r="C54" i="66"/>
  <c r="C24" i="66"/>
  <c r="D13" i="47"/>
  <c r="BC6" i="55"/>
  <c r="AZ6" i="55"/>
  <c r="BQ6" i="55" s="1"/>
  <c r="D65" i="66"/>
  <c r="E20" i="48"/>
  <c r="E24" i="48" s="1"/>
  <c r="E63" i="47"/>
  <c r="E67" i="47" s="1"/>
  <c r="E55" i="47"/>
  <c r="E47" i="47"/>
  <c r="E51" i="47" s="1"/>
  <c r="J51" i="47" s="1"/>
  <c r="E39" i="47"/>
  <c r="E43" i="47" s="1"/>
  <c r="E31" i="47"/>
  <c r="E9" i="47"/>
  <c r="E8" i="47"/>
  <c r="E59" i="48"/>
  <c r="E62" i="48" s="1"/>
  <c r="E52" i="48"/>
  <c r="E55" i="48" s="1"/>
  <c r="E45" i="48"/>
  <c r="E48" i="48" s="1"/>
  <c r="J48" i="48" s="1"/>
  <c r="E38" i="48"/>
  <c r="E30" i="48"/>
  <c r="E13" i="48"/>
  <c r="F13" i="48" s="1"/>
  <c r="E9" i="48"/>
  <c r="E11" i="48"/>
  <c r="F11" i="48" s="1"/>
  <c r="C61" i="66"/>
  <c r="E7" i="47"/>
  <c r="E28" i="48"/>
  <c r="E31" i="48" s="1"/>
  <c r="E8" i="48"/>
  <c r="F8" i="48" s="1"/>
  <c r="E7" i="48"/>
  <c r="F61" i="48"/>
  <c r="F58" i="48"/>
  <c r="F57" i="48"/>
  <c r="F56" i="48"/>
  <c r="F54" i="48"/>
  <c r="F51" i="48"/>
  <c r="F50" i="48"/>
  <c r="F49" i="48"/>
  <c r="F47" i="48"/>
  <c r="F44" i="48"/>
  <c r="F43" i="48"/>
  <c r="F42" i="48"/>
  <c r="F40" i="48"/>
  <c r="F37" i="48"/>
  <c r="F36" i="48"/>
  <c r="F35" i="48"/>
  <c r="F23" i="48"/>
  <c r="F21" i="48"/>
  <c r="F19" i="48"/>
  <c r="F18" i="48"/>
  <c r="F17" i="48"/>
  <c r="J21" i="47"/>
  <c r="F66" i="47"/>
  <c r="F62" i="47"/>
  <c r="F61" i="47"/>
  <c r="F60" i="47"/>
  <c r="F58" i="47"/>
  <c r="F54" i="47"/>
  <c r="F53" i="47"/>
  <c r="F52" i="47"/>
  <c r="F50" i="47"/>
  <c r="F46" i="47"/>
  <c r="F45" i="47"/>
  <c r="F44" i="47"/>
  <c r="F42" i="47"/>
  <c r="F38" i="47"/>
  <c r="F37" i="47"/>
  <c r="F36" i="47"/>
  <c r="F23" i="47"/>
  <c r="F21" i="47"/>
  <c r="F19" i="47"/>
  <c r="F18" i="47"/>
  <c r="F17" i="47"/>
  <c r="BX1" i="66"/>
  <c r="BY1" i="66" s="1"/>
  <c r="BZ1" i="66" s="1"/>
  <c r="CA1" i="66" s="1"/>
  <c r="CB1" i="66" s="1"/>
  <c r="CC1" i="66" s="1"/>
  <c r="CD1" i="66" s="1"/>
  <c r="CE1" i="66" s="1"/>
  <c r="CF1" i="66" s="1"/>
  <c r="CG1" i="66" s="1"/>
  <c r="CH1" i="66" s="1"/>
  <c r="CI1" i="66" s="1"/>
  <c r="CJ1" i="66" s="1"/>
  <c r="CK1" i="66" s="1"/>
  <c r="CL1" i="66" s="1"/>
  <c r="CM1" i="66" s="1"/>
  <c r="CN1" i="66" s="1"/>
  <c r="CO1" i="66" s="1"/>
  <c r="CP1" i="66" s="1"/>
  <c r="CQ1" i="66" s="1"/>
  <c r="CR1" i="66" s="1"/>
  <c r="CS1" i="66" s="1"/>
  <c r="AD11" i="48"/>
  <c r="AC11" i="48"/>
  <c r="AB11" i="48"/>
  <c r="AA11" i="48"/>
  <c r="Z11" i="48"/>
  <c r="B1" i="66"/>
  <c r="I21" i="48"/>
  <c r="J21" i="48" s="1"/>
  <c r="Y11" i="48"/>
  <c r="X11" i="48"/>
  <c r="W11" i="48"/>
  <c r="V11" i="48"/>
  <c r="U11" i="48"/>
  <c r="T11" i="48"/>
  <c r="S11" i="48"/>
  <c r="R11" i="48"/>
  <c r="Q11" i="48"/>
  <c r="P11" i="48"/>
  <c r="O11" i="48"/>
  <c r="N11" i="48"/>
  <c r="K11" i="48"/>
  <c r="H11" i="48"/>
  <c r="G11" i="48"/>
  <c r="H27" i="48"/>
  <c r="G27" i="48"/>
  <c r="H26" i="48"/>
  <c r="H8" i="48" s="1"/>
  <c r="G26" i="48"/>
  <c r="G8" i="48"/>
  <c r="H25" i="48"/>
  <c r="H7" i="48" s="1"/>
  <c r="G25" i="48"/>
  <c r="F25" i="48"/>
  <c r="F26" i="48"/>
  <c r="F30" i="48"/>
  <c r="AB23" i="48"/>
  <c r="BI6" i="55"/>
  <c r="BQ60" i="55"/>
  <c r="BU60" i="55" s="1"/>
  <c r="BQ57" i="55"/>
  <c r="BU57" i="55" s="1"/>
  <c r="BQ52" i="55"/>
  <c r="BU52" i="55" s="1"/>
  <c r="BQ64" i="55"/>
  <c r="BU64" i="55" s="1"/>
  <c r="BQ49" i="55"/>
  <c r="BU49" i="55" s="1"/>
  <c r="BQ47" i="55"/>
  <c r="BU47" i="55" s="1"/>
  <c r="BQ45" i="55"/>
  <c r="BU45" i="55" s="1"/>
  <c r="BQ43" i="55"/>
  <c r="BU43" i="55" s="1"/>
  <c r="BQ41" i="55"/>
  <c r="BU41" i="55" s="1"/>
  <c r="BQ38" i="55"/>
  <c r="BU38" i="55" s="1"/>
  <c r="BQ36" i="55"/>
  <c r="BU36" i="55" s="1"/>
  <c r="BQ34" i="55"/>
  <c r="BU34" i="55" s="1"/>
  <c r="BQ32" i="55"/>
  <c r="BU32" i="55" s="1"/>
  <c r="BQ30" i="55"/>
  <c r="BU30" i="55" s="1"/>
  <c r="BQ28" i="55"/>
  <c r="BQ26" i="55"/>
  <c r="BQ63" i="55"/>
  <c r="BQ16" i="55"/>
  <c r="BU16" i="55" s="1"/>
  <c r="BQ14" i="55"/>
  <c r="BU14" i="55" s="1"/>
  <c r="BQ12" i="55"/>
  <c r="BU12" i="55" s="1"/>
  <c r="BQ10" i="55"/>
  <c r="BU10" i="55" s="1"/>
  <c r="BQ8" i="55"/>
  <c r="BU8" i="55" s="1"/>
  <c r="C9" i="47"/>
  <c r="C13" i="47"/>
  <c r="C8" i="47"/>
  <c r="CB70" i="66"/>
  <c r="CA70" i="66"/>
  <c r="CB68" i="66"/>
  <c r="CA68" i="66"/>
  <c r="CB62" i="66"/>
  <c r="CA62" i="66"/>
  <c r="CB55" i="66"/>
  <c r="CA55" i="66"/>
  <c r="BY70" i="66"/>
  <c r="CE70" i="66" s="1"/>
  <c r="BX70" i="66"/>
  <c r="BY68" i="66"/>
  <c r="CE68" i="66" s="1"/>
  <c r="BX68" i="66"/>
  <c r="CD68" i="66" s="1"/>
  <c r="BY62" i="66"/>
  <c r="CE62" i="66" s="1"/>
  <c r="BX62" i="66"/>
  <c r="BY55" i="66"/>
  <c r="BX55" i="66"/>
  <c r="H4" i="59"/>
  <c r="L4" i="59" s="1"/>
  <c r="P4" i="59" s="1"/>
  <c r="T4" i="59" s="1"/>
  <c r="X4" i="59" s="1"/>
  <c r="AB4" i="59" s="1"/>
  <c r="AF4" i="59" s="1"/>
  <c r="AJ4" i="59" s="1"/>
  <c r="AN4" i="59" s="1"/>
  <c r="AR4" i="59" s="1"/>
  <c r="AV4" i="59" s="1"/>
  <c r="B6" i="59"/>
  <c r="BU6" i="59" s="1"/>
  <c r="B7" i="59"/>
  <c r="BU7" i="59" s="1"/>
  <c r="B8" i="59"/>
  <c r="BU8" i="59" s="1"/>
  <c r="B9" i="59"/>
  <c r="BU9" i="59" s="1"/>
  <c r="B10" i="59"/>
  <c r="BU10" i="59" s="1"/>
  <c r="B11" i="59"/>
  <c r="BU11" i="59" s="1"/>
  <c r="B12" i="59"/>
  <c r="BU12" i="59" s="1"/>
  <c r="B13" i="59"/>
  <c r="BU13" i="59" s="1"/>
  <c r="B14" i="59"/>
  <c r="BU14" i="59" s="1"/>
  <c r="B18" i="59"/>
  <c r="BU18" i="59" s="1"/>
  <c r="B19" i="59"/>
  <c r="BU19" i="59" s="1"/>
  <c r="B20" i="59"/>
  <c r="BU20" i="59" s="1"/>
  <c r="B63" i="59"/>
  <c r="BU63" i="59" s="1"/>
  <c r="B21" i="59"/>
  <c r="BU21" i="59" s="1"/>
  <c r="B22" i="59"/>
  <c r="BU22" i="59" s="1"/>
  <c r="B23" i="59"/>
  <c r="BU23" i="59" s="1"/>
  <c r="D24" i="59"/>
  <c r="B26" i="59"/>
  <c r="BU26" i="59" s="1"/>
  <c r="B27" i="59"/>
  <c r="BU27" i="59" s="1"/>
  <c r="B28" i="59"/>
  <c r="BU28" i="59" s="1"/>
  <c r="B29" i="59"/>
  <c r="BU29" i="59" s="1"/>
  <c r="B30" i="59"/>
  <c r="BU30" i="59" s="1"/>
  <c r="B31" i="59"/>
  <c r="BU31" i="59" s="1"/>
  <c r="B32" i="59"/>
  <c r="BU32" i="59" s="1"/>
  <c r="B33" i="59"/>
  <c r="BU33" i="59" s="1"/>
  <c r="B34" i="59"/>
  <c r="BU34" i="59" s="1"/>
  <c r="B35" i="59"/>
  <c r="BU35" i="59" s="1"/>
  <c r="B36" i="59"/>
  <c r="BU36" i="59" s="1"/>
  <c r="B37" i="59"/>
  <c r="BU37" i="59" s="1"/>
  <c r="B38" i="59"/>
  <c r="BU38" i="59" s="1"/>
  <c r="B40" i="59"/>
  <c r="BU40" i="59" s="1"/>
  <c r="B41" i="59"/>
  <c r="BU41" i="59" s="1"/>
  <c r="B42" i="59"/>
  <c r="BU42" i="59" s="1"/>
  <c r="B43" i="59"/>
  <c r="BU43" i="59" s="1"/>
  <c r="B44" i="59"/>
  <c r="BU44" i="59" s="1"/>
  <c r="B45" i="59"/>
  <c r="BU45" i="59" s="1"/>
  <c r="B46" i="59"/>
  <c r="BU46" i="59" s="1"/>
  <c r="B47" i="59"/>
  <c r="BU47" i="59" s="1"/>
  <c r="B48" i="59"/>
  <c r="BU48" i="59" s="1"/>
  <c r="B49" i="59"/>
  <c r="BU49" i="59" s="1"/>
  <c r="B50" i="59"/>
  <c r="BU50" i="59" s="1"/>
  <c r="B64" i="59"/>
  <c r="BU64" i="59" s="1"/>
  <c r="B51" i="59"/>
  <c r="BU51" i="59" s="1"/>
  <c r="B52" i="59"/>
  <c r="BU52" i="59" s="1"/>
  <c r="B53" i="59"/>
  <c r="BU53" i="59" s="1"/>
  <c r="D54" i="59"/>
  <c r="N61" i="47" s="1"/>
  <c r="B56" i="59"/>
  <c r="BU56" i="59" s="1"/>
  <c r="B57" i="59"/>
  <c r="BU57" i="59" s="1"/>
  <c r="B58" i="59"/>
  <c r="BU58" i="59" s="1"/>
  <c r="B60" i="59"/>
  <c r="BU60" i="59" s="1"/>
  <c r="D61" i="59"/>
  <c r="N62" i="47" s="1"/>
  <c r="B69" i="59"/>
  <c r="BU69" i="59" s="1"/>
  <c r="H4" i="58"/>
  <c r="L4" i="58" s="1"/>
  <c r="P4" i="58" s="1"/>
  <c r="T4" i="58" s="1"/>
  <c r="X4" i="58" s="1"/>
  <c r="AB4" i="58" s="1"/>
  <c r="AF4" i="58" s="1"/>
  <c r="AJ4" i="58" s="1"/>
  <c r="AN4" i="58" s="1"/>
  <c r="AR4" i="58" s="1"/>
  <c r="AV4" i="58" s="1"/>
  <c r="B6" i="58"/>
  <c r="BU6" i="58" s="1"/>
  <c r="V6" i="58"/>
  <c r="W6" i="58" s="1"/>
  <c r="BT6" i="58" s="1"/>
  <c r="B7" i="58"/>
  <c r="BU7" i="58" s="1"/>
  <c r="V7" i="58"/>
  <c r="W7" i="58" s="1"/>
  <c r="BT7" i="58" s="1"/>
  <c r="B8" i="58"/>
  <c r="BU8" i="58" s="1"/>
  <c r="V8" i="58"/>
  <c r="W8" i="58" s="1"/>
  <c r="BT8" i="58" s="1"/>
  <c r="B9" i="58"/>
  <c r="BU9" i="58" s="1"/>
  <c r="V9" i="58"/>
  <c r="W9" i="58" s="1"/>
  <c r="BT9" i="58" s="1"/>
  <c r="B10" i="58"/>
  <c r="B11" i="58"/>
  <c r="BU11" i="58" s="1"/>
  <c r="V11" i="58"/>
  <c r="W11" i="58" s="1"/>
  <c r="BT11" i="58" s="1"/>
  <c r="B12" i="58"/>
  <c r="BU12" i="58" s="1"/>
  <c r="V12" i="58"/>
  <c r="W12" i="58" s="1"/>
  <c r="BT12" i="58" s="1"/>
  <c r="B13" i="58"/>
  <c r="BU13" i="58" s="1"/>
  <c r="V13" i="58"/>
  <c r="W13" i="58" s="1"/>
  <c r="BT13" i="58" s="1"/>
  <c r="B14" i="58"/>
  <c r="BU14" i="58" s="1"/>
  <c r="V14" i="58"/>
  <c r="W14" i="58" s="1"/>
  <c r="BT14" i="58" s="1"/>
  <c r="B18" i="58"/>
  <c r="BU18" i="58" s="1"/>
  <c r="V18" i="58"/>
  <c r="W18" i="58" s="1"/>
  <c r="BT18" i="58" s="1"/>
  <c r="B19" i="58"/>
  <c r="BU19" i="58" s="1"/>
  <c r="V19" i="58"/>
  <c r="W19" i="58" s="1"/>
  <c r="BT19" i="58" s="1"/>
  <c r="B20" i="58"/>
  <c r="BU20" i="58" s="1"/>
  <c r="V20" i="58"/>
  <c r="W20" i="58" s="1"/>
  <c r="BT20" i="58" s="1"/>
  <c r="B63" i="58"/>
  <c r="BU63" i="58" s="1"/>
  <c r="V63" i="58"/>
  <c r="W63" i="58" s="1"/>
  <c r="B21" i="58"/>
  <c r="BU21" i="58" s="1"/>
  <c r="V21" i="58"/>
  <c r="W21" i="58" s="1"/>
  <c r="BT21" i="58" s="1"/>
  <c r="B22" i="58"/>
  <c r="BU22" i="58" s="1"/>
  <c r="V22" i="58"/>
  <c r="W22" i="58" s="1"/>
  <c r="BT22" i="58" s="1"/>
  <c r="B23" i="58"/>
  <c r="W23" i="58"/>
  <c r="D24" i="58"/>
  <c r="B26" i="58"/>
  <c r="BU26" i="58" s="1"/>
  <c r="V26" i="58"/>
  <c r="W26" i="58" s="1"/>
  <c r="BT26" i="58" s="1"/>
  <c r="B27" i="58"/>
  <c r="BU27" i="58" s="1"/>
  <c r="V27" i="58"/>
  <c r="W27" i="58" s="1"/>
  <c r="BT27" i="58" s="1"/>
  <c r="B28" i="58"/>
  <c r="BU28" i="58" s="1"/>
  <c r="V28" i="58"/>
  <c r="W28" i="58" s="1"/>
  <c r="BT28" i="58" s="1"/>
  <c r="V29" i="58"/>
  <c r="W29" i="58" s="1"/>
  <c r="BT29" i="58" s="1"/>
  <c r="B30" i="58"/>
  <c r="BU30" i="58" s="1"/>
  <c r="V30" i="58"/>
  <c r="W30" i="58" s="1"/>
  <c r="BT30" i="58" s="1"/>
  <c r="B31" i="58"/>
  <c r="BU31" i="58" s="1"/>
  <c r="V31" i="58"/>
  <c r="W31" i="58" s="1"/>
  <c r="BT31" i="58" s="1"/>
  <c r="B32" i="58"/>
  <c r="BU32" i="58" s="1"/>
  <c r="V32" i="58"/>
  <c r="W32" i="58" s="1"/>
  <c r="BT32" i="58" s="1"/>
  <c r="B33" i="58"/>
  <c r="BU33" i="58" s="1"/>
  <c r="V33" i="58"/>
  <c r="W33" i="58" s="1"/>
  <c r="BT33" i="58" s="1"/>
  <c r="B34" i="58"/>
  <c r="BU34" i="58" s="1"/>
  <c r="V34" i="58"/>
  <c r="W34" i="58" s="1"/>
  <c r="BT34" i="58" s="1"/>
  <c r="B35" i="58"/>
  <c r="BU35" i="58" s="1"/>
  <c r="V35" i="58"/>
  <c r="W35" i="58" s="1"/>
  <c r="BT35" i="58" s="1"/>
  <c r="B36" i="58"/>
  <c r="BU36" i="58" s="1"/>
  <c r="V36" i="58"/>
  <c r="W36" i="58" s="1"/>
  <c r="BT36" i="58" s="1"/>
  <c r="B37" i="58"/>
  <c r="BU37" i="58" s="1"/>
  <c r="V37" i="58"/>
  <c r="W37" i="58" s="1"/>
  <c r="BT37" i="58" s="1"/>
  <c r="B38" i="58"/>
  <c r="BU38" i="58" s="1"/>
  <c r="V38" i="58"/>
  <c r="W38" i="58" s="1"/>
  <c r="BT38" i="58" s="1"/>
  <c r="B40" i="58"/>
  <c r="BU40" i="58" s="1"/>
  <c r="B41" i="58"/>
  <c r="BU41" i="58" s="1"/>
  <c r="B42" i="58"/>
  <c r="BU42" i="58" s="1"/>
  <c r="V42" i="58"/>
  <c r="W42" i="58" s="1"/>
  <c r="BT42" i="58" s="1"/>
  <c r="B43" i="58"/>
  <c r="BU43" i="58" s="1"/>
  <c r="V43" i="58"/>
  <c r="W43" i="58" s="1"/>
  <c r="BT43" i="58" s="1"/>
  <c r="B44" i="58"/>
  <c r="BU44" i="58" s="1"/>
  <c r="V44" i="58"/>
  <c r="W44" i="58" s="1"/>
  <c r="BT44" i="58" s="1"/>
  <c r="B45" i="58"/>
  <c r="BU45" i="58" s="1"/>
  <c r="V45" i="58"/>
  <c r="W45" i="58" s="1"/>
  <c r="BT45" i="58" s="1"/>
  <c r="B46" i="58"/>
  <c r="BU46" i="58" s="1"/>
  <c r="V46" i="58"/>
  <c r="W46" i="58" s="1"/>
  <c r="BT46" i="58" s="1"/>
  <c r="B47" i="58"/>
  <c r="BU47" i="58" s="1"/>
  <c r="V47" i="58"/>
  <c r="W47" i="58" s="1"/>
  <c r="BT47" i="58" s="1"/>
  <c r="B49" i="58"/>
  <c r="BU49" i="58" s="1"/>
  <c r="V49" i="58"/>
  <c r="W49" i="58" s="1"/>
  <c r="BT49" i="58" s="1"/>
  <c r="B50" i="58"/>
  <c r="BU50" i="58" s="1"/>
  <c r="V50" i="58"/>
  <c r="W50" i="58" s="1"/>
  <c r="BT50" i="58" s="1"/>
  <c r="B51" i="58"/>
  <c r="BU51" i="58" s="1"/>
  <c r="V51" i="58"/>
  <c r="W51" i="58" s="1"/>
  <c r="BT51" i="58" s="1"/>
  <c r="B52" i="58"/>
  <c r="BU52" i="58" s="1"/>
  <c r="V52" i="58"/>
  <c r="W52" i="58" s="1"/>
  <c r="BT52" i="58" s="1"/>
  <c r="B53" i="58"/>
  <c r="BU53" i="58" s="1"/>
  <c r="D54" i="58"/>
  <c r="N53" i="47" s="1"/>
  <c r="B56" i="58"/>
  <c r="BU56" i="58" s="1"/>
  <c r="V56" i="58"/>
  <c r="W56" i="58" s="1"/>
  <c r="BT56" i="58" s="1"/>
  <c r="B57" i="58"/>
  <c r="BU57" i="58" s="1"/>
  <c r="V57" i="58"/>
  <c r="W57" i="58" s="1"/>
  <c r="BT57" i="58" s="1"/>
  <c r="B58" i="58"/>
  <c r="BU58" i="58" s="1"/>
  <c r="V58" i="58"/>
  <c r="W58" i="58" s="1"/>
  <c r="BT58" i="58" s="1"/>
  <c r="B60" i="58"/>
  <c r="BU60" i="58" s="1"/>
  <c r="V60" i="58"/>
  <c r="W60" i="58" s="1"/>
  <c r="BT60" i="58" s="1"/>
  <c r="D61" i="58"/>
  <c r="N54" i="47" s="1"/>
  <c r="R54" i="47"/>
  <c r="B69" i="58"/>
  <c r="BU69" i="58" s="1"/>
  <c r="V69" i="58"/>
  <c r="W69" i="58" s="1"/>
  <c r="H4" i="57"/>
  <c r="L4" i="57" s="1"/>
  <c r="P4" i="57" s="1"/>
  <c r="T4" i="57" s="1"/>
  <c r="X4" i="57" s="1"/>
  <c r="AB4" i="57" s="1"/>
  <c r="AF4" i="57" s="1"/>
  <c r="AJ4" i="57" s="1"/>
  <c r="AN4" i="57" s="1"/>
  <c r="AR4" i="57" s="1"/>
  <c r="AV4" i="57" s="1"/>
  <c r="V6" i="57"/>
  <c r="W6" i="57" s="1"/>
  <c r="BT6" i="57" s="1"/>
  <c r="B6" i="57"/>
  <c r="BU6" i="57" s="1"/>
  <c r="B7" i="57"/>
  <c r="BU7" i="57" s="1"/>
  <c r="V7" i="57"/>
  <c r="W7" i="57" s="1"/>
  <c r="BT7" i="57" s="1"/>
  <c r="B8" i="57"/>
  <c r="BU8" i="57" s="1"/>
  <c r="V8" i="57"/>
  <c r="W8" i="57" s="1"/>
  <c r="BT8" i="57" s="1"/>
  <c r="B9" i="57"/>
  <c r="BU9" i="57" s="1"/>
  <c r="V9" i="57"/>
  <c r="W9" i="57" s="1"/>
  <c r="BT9" i="57" s="1"/>
  <c r="B11" i="57"/>
  <c r="BU11" i="57" s="1"/>
  <c r="V11" i="57"/>
  <c r="W11" i="57" s="1"/>
  <c r="BT11" i="57" s="1"/>
  <c r="V12" i="57"/>
  <c r="W12" i="57" s="1"/>
  <c r="BT12" i="57" s="1"/>
  <c r="B12" i="57"/>
  <c r="BU12" i="57" s="1"/>
  <c r="B13" i="57"/>
  <c r="BU13" i="57" s="1"/>
  <c r="B14" i="57"/>
  <c r="BU14" i="57" s="1"/>
  <c r="V14" i="57"/>
  <c r="W14" i="57" s="1"/>
  <c r="BT14" i="57" s="1"/>
  <c r="B18" i="57"/>
  <c r="BU18" i="57" s="1"/>
  <c r="V18" i="57"/>
  <c r="W18" i="57" s="1"/>
  <c r="BT18" i="57" s="1"/>
  <c r="B19" i="57"/>
  <c r="BU19" i="57" s="1"/>
  <c r="V19" i="57"/>
  <c r="W19" i="57" s="1"/>
  <c r="BT19" i="57" s="1"/>
  <c r="B20" i="57"/>
  <c r="BU20" i="57" s="1"/>
  <c r="V20" i="57"/>
  <c r="W20" i="57" s="1"/>
  <c r="BT20" i="57" s="1"/>
  <c r="B63" i="57"/>
  <c r="BU63" i="57" s="1"/>
  <c r="V63" i="57"/>
  <c r="W63" i="57" s="1"/>
  <c r="BT63" i="57" s="1"/>
  <c r="B21" i="57"/>
  <c r="BU21" i="57" s="1"/>
  <c r="B22" i="57"/>
  <c r="BU22" i="57" s="1"/>
  <c r="V22" i="57"/>
  <c r="W22" i="57" s="1"/>
  <c r="BT22" i="57" s="1"/>
  <c r="B23" i="57"/>
  <c r="BU23" i="57" s="1"/>
  <c r="W23" i="57"/>
  <c r="BT23" i="57" s="1"/>
  <c r="D24" i="57"/>
  <c r="B26" i="57"/>
  <c r="BU26" i="57" s="1"/>
  <c r="B27" i="57"/>
  <c r="BU27" i="57" s="1"/>
  <c r="B28" i="57"/>
  <c r="BU28" i="57" s="1"/>
  <c r="V28" i="57"/>
  <c r="W28" i="57" s="1"/>
  <c r="BT28" i="57" s="1"/>
  <c r="B29" i="57"/>
  <c r="BU29" i="57" s="1"/>
  <c r="V29" i="57"/>
  <c r="W29" i="57" s="1"/>
  <c r="BT29" i="57" s="1"/>
  <c r="B30" i="57"/>
  <c r="BU30" i="57" s="1"/>
  <c r="B31" i="57"/>
  <c r="BU31" i="57" s="1"/>
  <c r="V31" i="57"/>
  <c r="W31" i="57" s="1"/>
  <c r="BT31" i="57" s="1"/>
  <c r="B32" i="57"/>
  <c r="BU32" i="57" s="1"/>
  <c r="V32" i="57"/>
  <c r="W32" i="57" s="1"/>
  <c r="BT32" i="57" s="1"/>
  <c r="B33" i="57"/>
  <c r="BU33" i="57" s="1"/>
  <c r="V33" i="57"/>
  <c r="W33" i="57" s="1"/>
  <c r="BT33" i="57" s="1"/>
  <c r="B34" i="57"/>
  <c r="BU34" i="57" s="1"/>
  <c r="V34" i="57"/>
  <c r="W34" i="57" s="1"/>
  <c r="BT34" i="57" s="1"/>
  <c r="B35" i="57"/>
  <c r="BU35" i="57" s="1"/>
  <c r="V35" i="57"/>
  <c r="W35" i="57" s="1"/>
  <c r="BT35" i="57" s="1"/>
  <c r="B36" i="57"/>
  <c r="BU36" i="57" s="1"/>
  <c r="V36" i="57"/>
  <c r="W36" i="57" s="1"/>
  <c r="BT36" i="57" s="1"/>
  <c r="B37" i="57"/>
  <c r="BU37" i="57" s="1"/>
  <c r="V37" i="57"/>
  <c r="W37" i="57" s="1"/>
  <c r="BT37" i="57" s="1"/>
  <c r="B38" i="57"/>
  <c r="BU38" i="57" s="1"/>
  <c r="V38" i="57"/>
  <c r="W38" i="57" s="1"/>
  <c r="BT38" i="57" s="1"/>
  <c r="B40" i="57"/>
  <c r="BU40" i="57" s="1"/>
  <c r="B41" i="57"/>
  <c r="BU41" i="57" s="1"/>
  <c r="V41" i="57"/>
  <c r="W41" i="57" s="1"/>
  <c r="BT41" i="57" s="1"/>
  <c r="B42" i="57"/>
  <c r="BU42" i="57" s="1"/>
  <c r="V42" i="57"/>
  <c r="W42" i="57" s="1"/>
  <c r="BT42" i="57" s="1"/>
  <c r="B43" i="57"/>
  <c r="BU43" i="57" s="1"/>
  <c r="V43" i="57"/>
  <c r="W43" i="57" s="1"/>
  <c r="BT43" i="57" s="1"/>
  <c r="B44" i="57"/>
  <c r="BU44" i="57" s="1"/>
  <c r="V44" i="57"/>
  <c r="W44" i="57" s="1"/>
  <c r="BT44" i="57" s="1"/>
  <c r="B45" i="57"/>
  <c r="BU45" i="57" s="1"/>
  <c r="V45" i="57"/>
  <c r="W45" i="57" s="1"/>
  <c r="BT45" i="57" s="1"/>
  <c r="B46" i="57"/>
  <c r="BU46" i="57" s="1"/>
  <c r="V46" i="57"/>
  <c r="W46" i="57" s="1"/>
  <c r="BT46" i="57" s="1"/>
  <c r="B47" i="57"/>
  <c r="BU47" i="57" s="1"/>
  <c r="V47" i="57"/>
  <c r="W47" i="57" s="1"/>
  <c r="BT47" i="57" s="1"/>
  <c r="V48" i="57"/>
  <c r="W48" i="57" s="1"/>
  <c r="BT48" i="57" s="1"/>
  <c r="B48" i="57"/>
  <c r="BU48" i="57" s="1"/>
  <c r="B49" i="57"/>
  <c r="BU49" i="57" s="1"/>
  <c r="V49" i="57"/>
  <c r="W49" i="57" s="1"/>
  <c r="BT49" i="57" s="1"/>
  <c r="B50" i="57"/>
  <c r="BU50" i="57" s="1"/>
  <c r="V50" i="57"/>
  <c r="W50" i="57" s="1"/>
  <c r="BT50" i="57" s="1"/>
  <c r="B64" i="57"/>
  <c r="V64" i="57"/>
  <c r="W64" i="57" s="1"/>
  <c r="BT64" i="57" s="1"/>
  <c r="B51" i="57"/>
  <c r="BU51" i="57" s="1"/>
  <c r="V51" i="57"/>
  <c r="W51" i="57" s="1"/>
  <c r="BT51" i="57" s="1"/>
  <c r="B52" i="57"/>
  <c r="BU52" i="57" s="1"/>
  <c r="V52" i="57"/>
  <c r="W52" i="57" s="1"/>
  <c r="BT52" i="57" s="1"/>
  <c r="B53" i="57"/>
  <c r="BU53" i="57" s="1"/>
  <c r="D54" i="57"/>
  <c r="N45" i="47" s="1"/>
  <c r="B56" i="57"/>
  <c r="BU56" i="57" s="1"/>
  <c r="V56" i="57"/>
  <c r="W56" i="57" s="1"/>
  <c r="BT56" i="57" s="1"/>
  <c r="B57" i="57"/>
  <c r="BU57" i="57" s="1"/>
  <c r="V57" i="57"/>
  <c r="W57" i="57" s="1"/>
  <c r="BT57" i="57" s="1"/>
  <c r="B58" i="57"/>
  <c r="BU58" i="57" s="1"/>
  <c r="V58" i="57"/>
  <c r="W58" i="57" s="1"/>
  <c r="BT58" i="57" s="1"/>
  <c r="B60" i="57"/>
  <c r="BU60" i="57" s="1"/>
  <c r="V60" i="57"/>
  <c r="W60" i="57" s="1"/>
  <c r="BT60" i="57" s="1"/>
  <c r="D61" i="57"/>
  <c r="N46" i="47" s="1"/>
  <c r="B69" i="57"/>
  <c r="BU69" i="57" s="1"/>
  <c r="V69" i="57"/>
  <c r="W69" i="57" s="1"/>
  <c r="H4" i="56"/>
  <c r="L4" i="56" s="1"/>
  <c r="P4" i="56" s="1"/>
  <c r="T4" i="56" s="1"/>
  <c r="X4" i="56" s="1"/>
  <c r="AB4" i="56" s="1"/>
  <c r="AF4" i="56" s="1"/>
  <c r="AJ4" i="56" s="1"/>
  <c r="AN4" i="56" s="1"/>
  <c r="AR4" i="56" s="1"/>
  <c r="AV4" i="56" s="1"/>
  <c r="V6" i="56"/>
  <c r="W6" i="56" s="1"/>
  <c r="BT6" i="56" s="1"/>
  <c r="B6" i="56"/>
  <c r="BU6" i="56" s="1"/>
  <c r="B7" i="56"/>
  <c r="BU7" i="56" s="1"/>
  <c r="V7" i="56"/>
  <c r="W7" i="56" s="1"/>
  <c r="BT7" i="56" s="1"/>
  <c r="B8" i="56"/>
  <c r="BU8" i="56" s="1"/>
  <c r="V8" i="56"/>
  <c r="W8" i="56" s="1"/>
  <c r="BT8" i="56" s="1"/>
  <c r="V9" i="56"/>
  <c r="W9" i="56" s="1"/>
  <c r="BT9" i="56" s="1"/>
  <c r="B10" i="56"/>
  <c r="BU10" i="56" s="1"/>
  <c r="B11" i="56"/>
  <c r="BU11" i="56" s="1"/>
  <c r="V11" i="56"/>
  <c r="W11" i="56" s="1"/>
  <c r="BT11" i="56" s="1"/>
  <c r="V12" i="56"/>
  <c r="W12" i="56" s="1"/>
  <c r="BT12" i="56" s="1"/>
  <c r="B13" i="56"/>
  <c r="BU13" i="56" s="1"/>
  <c r="B14" i="56"/>
  <c r="BU14" i="56" s="1"/>
  <c r="V14" i="56"/>
  <c r="W14" i="56" s="1"/>
  <c r="BT14" i="56" s="1"/>
  <c r="B18" i="56"/>
  <c r="BU18" i="56" s="1"/>
  <c r="V18" i="56"/>
  <c r="W18" i="56" s="1"/>
  <c r="BT18" i="56" s="1"/>
  <c r="B19" i="56"/>
  <c r="BU19" i="56" s="1"/>
  <c r="B20" i="56"/>
  <c r="BU20" i="56" s="1"/>
  <c r="V20" i="56"/>
  <c r="W20" i="56" s="1"/>
  <c r="BT20" i="56" s="1"/>
  <c r="B63" i="56"/>
  <c r="BU63" i="56" s="1"/>
  <c r="V63" i="56"/>
  <c r="W63" i="56" s="1"/>
  <c r="BT63" i="56" s="1"/>
  <c r="B21" i="56"/>
  <c r="BU21" i="56" s="1"/>
  <c r="B22" i="56"/>
  <c r="BU22" i="56" s="1"/>
  <c r="V22" i="56"/>
  <c r="W22" i="56" s="1"/>
  <c r="BT22" i="56" s="1"/>
  <c r="B23" i="56"/>
  <c r="BU23" i="56" s="1"/>
  <c r="W23" i="56"/>
  <c r="BT23" i="56" s="1"/>
  <c r="D24" i="56"/>
  <c r="B26" i="56"/>
  <c r="BU26" i="56" s="1"/>
  <c r="V26" i="56"/>
  <c r="W26" i="56" s="1"/>
  <c r="BT26" i="56" s="1"/>
  <c r="B27" i="56"/>
  <c r="BU27" i="56" s="1"/>
  <c r="V27" i="56"/>
  <c r="W27" i="56" s="1"/>
  <c r="BT27" i="56" s="1"/>
  <c r="B28" i="56"/>
  <c r="BU28" i="56" s="1"/>
  <c r="V28" i="56"/>
  <c r="W28" i="56" s="1"/>
  <c r="BT28" i="56" s="1"/>
  <c r="B29" i="56"/>
  <c r="BU29" i="56" s="1"/>
  <c r="V29" i="56"/>
  <c r="W29" i="56" s="1"/>
  <c r="BT29" i="56" s="1"/>
  <c r="B30" i="56"/>
  <c r="BU30" i="56" s="1"/>
  <c r="V30" i="56"/>
  <c r="W30" i="56" s="1"/>
  <c r="BT30" i="56" s="1"/>
  <c r="B31" i="56"/>
  <c r="BU31" i="56" s="1"/>
  <c r="V31" i="56"/>
  <c r="W31" i="56" s="1"/>
  <c r="BT31" i="56" s="1"/>
  <c r="B32" i="56"/>
  <c r="BU32" i="56" s="1"/>
  <c r="V32" i="56"/>
  <c r="W32" i="56" s="1"/>
  <c r="BT32" i="56" s="1"/>
  <c r="B33" i="56"/>
  <c r="BU33" i="56" s="1"/>
  <c r="V33" i="56"/>
  <c r="W33" i="56" s="1"/>
  <c r="BT33" i="56" s="1"/>
  <c r="B34" i="56"/>
  <c r="BU34" i="56" s="1"/>
  <c r="V34" i="56"/>
  <c r="W34" i="56" s="1"/>
  <c r="BT34" i="56" s="1"/>
  <c r="B35" i="56"/>
  <c r="BU35" i="56" s="1"/>
  <c r="V35" i="56"/>
  <c r="W35" i="56" s="1"/>
  <c r="BT35" i="56" s="1"/>
  <c r="B36" i="56"/>
  <c r="BU36" i="56" s="1"/>
  <c r="V36" i="56"/>
  <c r="W36" i="56" s="1"/>
  <c r="BT36" i="56" s="1"/>
  <c r="B37" i="56"/>
  <c r="BU37" i="56" s="1"/>
  <c r="V37" i="56"/>
  <c r="W37" i="56" s="1"/>
  <c r="BT37" i="56" s="1"/>
  <c r="B38" i="56"/>
  <c r="BU38" i="56" s="1"/>
  <c r="V38" i="56"/>
  <c r="W38" i="56" s="1"/>
  <c r="BT38" i="56" s="1"/>
  <c r="B40" i="56"/>
  <c r="BU40" i="56" s="1"/>
  <c r="V40" i="56"/>
  <c r="W40" i="56" s="1"/>
  <c r="BT40" i="56" s="1"/>
  <c r="B41" i="56"/>
  <c r="BU41" i="56" s="1"/>
  <c r="V41" i="56"/>
  <c r="W41" i="56" s="1"/>
  <c r="BT41" i="56" s="1"/>
  <c r="B42" i="56"/>
  <c r="BU42" i="56" s="1"/>
  <c r="V42" i="56"/>
  <c r="W42" i="56" s="1"/>
  <c r="BT42" i="56" s="1"/>
  <c r="B43" i="56"/>
  <c r="BU43" i="56" s="1"/>
  <c r="V43" i="56"/>
  <c r="W43" i="56" s="1"/>
  <c r="BT43" i="56" s="1"/>
  <c r="B44" i="56"/>
  <c r="BU44" i="56" s="1"/>
  <c r="V44" i="56"/>
  <c r="W44" i="56" s="1"/>
  <c r="BT44" i="56" s="1"/>
  <c r="B45" i="56"/>
  <c r="BU45" i="56" s="1"/>
  <c r="V45" i="56"/>
  <c r="W45" i="56" s="1"/>
  <c r="BT45" i="56" s="1"/>
  <c r="B46" i="56"/>
  <c r="BU46" i="56" s="1"/>
  <c r="V46" i="56"/>
  <c r="W46" i="56" s="1"/>
  <c r="BT46" i="56" s="1"/>
  <c r="B47" i="56"/>
  <c r="BU47" i="56" s="1"/>
  <c r="V47" i="56"/>
  <c r="W47" i="56" s="1"/>
  <c r="BT47" i="56" s="1"/>
  <c r="V48" i="56"/>
  <c r="W48" i="56" s="1"/>
  <c r="BT48" i="56" s="1"/>
  <c r="B48" i="56"/>
  <c r="BU48" i="56" s="1"/>
  <c r="B49" i="56"/>
  <c r="BU49" i="56" s="1"/>
  <c r="V49" i="56"/>
  <c r="W49" i="56" s="1"/>
  <c r="BT49" i="56" s="1"/>
  <c r="B50" i="56"/>
  <c r="BU50" i="56" s="1"/>
  <c r="V50" i="56"/>
  <c r="W50" i="56" s="1"/>
  <c r="BT50" i="56" s="1"/>
  <c r="B64" i="56"/>
  <c r="BU64" i="56" s="1"/>
  <c r="V64" i="56"/>
  <c r="W64" i="56" s="1"/>
  <c r="BT64" i="56" s="1"/>
  <c r="B51" i="56"/>
  <c r="BU51" i="56" s="1"/>
  <c r="V51" i="56"/>
  <c r="W51" i="56" s="1"/>
  <c r="BT51" i="56" s="1"/>
  <c r="B52" i="56"/>
  <c r="BU52" i="56" s="1"/>
  <c r="V52" i="56"/>
  <c r="W52" i="56" s="1"/>
  <c r="BT52" i="56" s="1"/>
  <c r="B53" i="56"/>
  <c r="BU53" i="56" s="1"/>
  <c r="D54" i="56"/>
  <c r="N37" i="47" s="1"/>
  <c r="B56" i="56"/>
  <c r="BU56" i="56" s="1"/>
  <c r="V56" i="56"/>
  <c r="W56" i="56" s="1"/>
  <c r="BT56" i="56" s="1"/>
  <c r="B57" i="56"/>
  <c r="BU57" i="56" s="1"/>
  <c r="V57" i="56"/>
  <c r="W57" i="56" s="1"/>
  <c r="BT57" i="56" s="1"/>
  <c r="B58" i="56"/>
  <c r="BU58" i="56" s="1"/>
  <c r="V58" i="56"/>
  <c r="W58" i="56" s="1"/>
  <c r="BT58" i="56" s="1"/>
  <c r="B60" i="56"/>
  <c r="BU60" i="56" s="1"/>
  <c r="V60" i="56"/>
  <c r="W60" i="56" s="1"/>
  <c r="BT60" i="56" s="1"/>
  <c r="D61" i="56"/>
  <c r="N38" i="47" s="1"/>
  <c r="B69" i="56"/>
  <c r="BU69" i="56" s="1"/>
  <c r="V69" i="56"/>
  <c r="W69" i="56" s="1"/>
  <c r="D1" i="66"/>
  <c r="E1" i="66" s="1"/>
  <c r="F1" i="66" s="1"/>
  <c r="G1" i="66" s="1"/>
  <c r="H1" i="66" s="1"/>
  <c r="I1" i="66" s="1"/>
  <c r="J1" i="66" s="1"/>
  <c r="K1" i="66" s="1"/>
  <c r="L1" i="66" s="1"/>
  <c r="M1" i="66" s="1"/>
  <c r="N1" i="66" s="1"/>
  <c r="O1" i="66" s="1"/>
  <c r="P1" i="66" s="1"/>
  <c r="Q1" i="66" s="1"/>
  <c r="R1" i="66" s="1"/>
  <c r="S1" i="66" s="1"/>
  <c r="T1" i="66" s="1"/>
  <c r="U1" i="66" s="1"/>
  <c r="V1" i="66" s="1"/>
  <c r="W1" i="66" s="1"/>
  <c r="X1" i="66" s="1"/>
  <c r="Y1" i="66" s="1"/>
  <c r="Z1" i="66" s="1"/>
  <c r="AA1" i="66" s="1"/>
  <c r="AB1" i="66" s="1"/>
  <c r="AC1" i="66" s="1"/>
  <c r="AD1" i="66" s="1"/>
  <c r="AE1" i="66" s="1"/>
  <c r="AF1" i="66" s="1"/>
  <c r="AG1" i="66" s="1"/>
  <c r="AH1" i="66" s="1"/>
  <c r="AI1" i="66" s="1"/>
  <c r="AJ1" i="66" s="1"/>
  <c r="AK1" i="66" s="1"/>
  <c r="AL1" i="66" s="1"/>
  <c r="AM1" i="66" s="1"/>
  <c r="AN1" i="66" s="1"/>
  <c r="AO1" i="66" s="1"/>
  <c r="AP1" i="66" s="1"/>
  <c r="AQ1" i="66" s="1"/>
  <c r="AR1" i="66" s="1"/>
  <c r="AS1" i="66" s="1"/>
  <c r="AT1" i="66" s="1"/>
  <c r="AU1" i="66" s="1"/>
  <c r="AV1" i="66" s="1"/>
  <c r="AW1" i="66" s="1"/>
  <c r="AX1" i="66" s="1"/>
  <c r="AY1" i="66" s="1"/>
  <c r="AZ1" i="66" s="1"/>
  <c r="BA1" i="66" s="1"/>
  <c r="BB1" i="66" s="1"/>
  <c r="BC1" i="66" s="1"/>
  <c r="BD1" i="66" s="1"/>
  <c r="BE1" i="66" s="1"/>
  <c r="BF1" i="66" s="1"/>
  <c r="BG1" i="66" s="1"/>
  <c r="BH1" i="66" s="1"/>
  <c r="BI1" i="66" s="1"/>
  <c r="BJ1" i="66" s="1"/>
  <c r="AM2" i="66"/>
  <c r="R4" i="66"/>
  <c r="V4" i="66" s="1"/>
  <c r="Z4" i="66" s="1"/>
  <c r="AD4" i="66" s="1"/>
  <c r="AH4" i="66" s="1"/>
  <c r="AL4" i="66" s="1"/>
  <c r="AP4" i="66" s="1"/>
  <c r="AT4" i="66" s="1"/>
  <c r="AX4" i="66" s="1"/>
  <c r="BB4" i="66" s="1"/>
  <c r="BF4" i="66" s="1"/>
  <c r="DQ6" i="66"/>
  <c r="DQ7" i="66"/>
  <c r="DQ8" i="66"/>
  <c r="R63" i="66"/>
  <c r="V63" i="66"/>
  <c r="Z63" i="66"/>
  <c r="AD63" i="66"/>
  <c r="AH63" i="66"/>
  <c r="AL63" i="66"/>
  <c r="AP63" i="66"/>
  <c r="AT63" i="66"/>
  <c r="AX63" i="66"/>
  <c r="BB63" i="66"/>
  <c r="BF63" i="66"/>
  <c r="D24" i="66"/>
  <c r="E24" i="66"/>
  <c r="DR38" i="66"/>
  <c r="R64" i="66"/>
  <c r="V64" i="66"/>
  <c r="Z64" i="66"/>
  <c r="AD64" i="66"/>
  <c r="AH64" i="66"/>
  <c r="AL64" i="66"/>
  <c r="AP64" i="66"/>
  <c r="AT64" i="66"/>
  <c r="AX64" i="66"/>
  <c r="BB64" i="66"/>
  <c r="BF64" i="66"/>
  <c r="D54" i="66"/>
  <c r="E54" i="66"/>
  <c r="BS55" i="66"/>
  <c r="DO55" i="66"/>
  <c r="DP55" i="66"/>
  <c r="R56" i="66"/>
  <c r="V56" i="66"/>
  <c r="Z56" i="66"/>
  <c r="AD56" i="66"/>
  <c r="AH56" i="66"/>
  <c r="AL56" i="66"/>
  <c r="AP56" i="66"/>
  <c r="AT56" i="66"/>
  <c r="AX56" i="66"/>
  <c r="BB56" i="66"/>
  <c r="BF56" i="66"/>
  <c r="R57" i="66"/>
  <c r="V57" i="66"/>
  <c r="Z57" i="66"/>
  <c r="AD57" i="66"/>
  <c r="AH57" i="66"/>
  <c r="AL57" i="66"/>
  <c r="AP57" i="66"/>
  <c r="AT57" i="66"/>
  <c r="AX57" i="66"/>
  <c r="BB57" i="66"/>
  <c r="BF57" i="66"/>
  <c r="R58" i="66"/>
  <c r="V58" i="66"/>
  <c r="Z58" i="66"/>
  <c r="AD58" i="66"/>
  <c r="AH58" i="66"/>
  <c r="AL58" i="66"/>
  <c r="AP58" i="66"/>
  <c r="AT58" i="66"/>
  <c r="AX58" i="66"/>
  <c r="BB58" i="66"/>
  <c r="BF58" i="66"/>
  <c r="R60" i="66"/>
  <c r="V60" i="66"/>
  <c r="Z60" i="66"/>
  <c r="AD60" i="66"/>
  <c r="AH60" i="66"/>
  <c r="AL60" i="66"/>
  <c r="AP60" i="66"/>
  <c r="AT60" i="66"/>
  <c r="AX60" i="66"/>
  <c r="BB60" i="66"/>
  <c r="BF60" i="66"/>
  <c r="D61" i="66"/>
  <c r="E61" i="66"/>
  <c r="BK62" i="66"/>
  <c r="BL62" i="66"/>
  <c r="BM62" i="66"/>
  <c r="BN62" i="66"/>
  <c r="BO62" i="66"/>
  <c r="BP62" i="66"/>
  <c r="BQ62" i="66"/>
  <c r="BR62" i="66"/>
  <c r="DN62" i="66"/>
  <c r="DO62" i="66"/>
  <c r="DP62" i="66"/>
  <c r="BK68" i="66"/>
  <c r="BL68" i="66"/>
  <c r="BM68" i="66"/>
  <c r="BN68" i="66"/>
  <c r="BO68" i="66"/>
  <c r="BP68" i="66"/>
  <c r="BQ68" i="66"/>
  <c r="BR68" i="66"/>
  <c r="DN68" i="66"/>
  <c r="DO68" i="66"/>
  <c r="DP68" i="66"/>
  <c r="F69" i="66"/>
  <c r="G69" i="66"/>
  <c r="N69" i="66"/>
  <c r="R69" i="66"/>
  <c r="V69" i="66"/>
  <c r="Z69" i="66"/>
  <c r="AD69" i="66"/>
  <c r="AH69" i="66"/>
  <c r="AL69" i="66"/>
  <c r="AP69" i="66"/>
  <c r="AT69" i="66"/>
  <c r="AX69" i="66"/>
  <c r="BB69" i="66"/>
  <c r="BF69" i="66"/>
  <c r="BK70" i="66"/>
  <c r="BM70" i="66"/>
  <c r="BO70" i="66"/>
  <c r="BQ70" i="66"/>
  <c r="DN70" i="66"/>
  <c r="DO70" i="66"/>
  <c r="DP70" i="66"/>
  <c r="CK75" i="66"/>
  <c r="H4" i="55"/>
  <c r="L4" i="55" s="1"/>
  <c r="P4" i="55" s="1"/>
  <c r="T4" i="55" s="1"/>
  <c r="X4" i="55" s="1"/>
  <c r="AB4" i="55" s="1"/>
  <c r="AF4" i="55" s="1"/>
  <c r="AJ4" i="55" s="1"/>
  <c r="AN4" i="55" s="1"/>
  <c r="AR4" i="55" s="1"/>
  <c r="AV4" i="55" s="1"/>
  <c r="CA23" i="66"/>
  <c r="D24" i="55"/>
  <c r="D54" i="55"/>
  <c r="D61" i="55"/>
  <c r="O23" i="48"/>
  <c r="P23" i="48"/>
  <c r="Q23" i="48"/>
  <c r="R23" i="48"/>
  <c r="U23" i="48"/>
  <c r="V23" i="48"/>
  <c r="W23" i="48"/>
  <c r="X23" i="48"/>
  <c r="F4" i="60"/>
  <c r="I4" i="60" s="1"/>
  <c r="L4" i="60" s="1"/>
  <c r="O4" i="60" s="1"/>
  <c r="R4" i="60" s="1"/>
  <c r="U4" i="60" s="1"/>
  <c r="X4" i="60" s="1"/>
  <c r="AA4" i="60" s="1"/>
  <c r="AD4" i="60" s="1"/>
  <c r="AG4" i="60" s="1"/>
  <c r="AJ4" i="60" s="1"/>
  <c r="O5" i="48"/>
  <c r="P5" i="48" s="1"/>
  <c r="Q5" i="48" s="1"/>
  <c r="R5" i="48" s="1"/>
  <c r="S5" i="48" s="1"/>
  <c r="T5" i="48" s="1"/>
  <c r="U5" i="48" s="1"/>
  <c r="V5" i="48" s="1"/>
  <c r="W5" i="48" s="1"/>
  <c r="X5" i="48" s="1"/>
  <c r="Y5" i="48" s="1"/>
  <c r="G7" i="48"/>
  <c r="I17" i="48"/>
  <c r="J17" i="48" s="1"/>
  <c r="I18" i="48"/>
  <c r="J18" i="48"/>
  <c r="I19" i="48"/>
  <c r="J19" i="48" s="1"/>
  <c r="G20" i="48"/>
  <c r="G24" i="48"/>
  <c r="H20" i="48"/>
  <c r="H24" i="48" s="1"/>
  <c r="I23" i="48"/>
  <c r="J23" i="48"/>
  <c r="H9" i="48"/>
  <c r="H28" i="48"/>
  <c r="G30" i="48"/>
  <c r="G13" i="48"/>
  <c r="H30" i="48"/>
  <c r="H13" i="48" s="1"/>
  <c r="I35" i="48"/>
  <c r="J35" i="48"/>
  <c r="I36" i="48"/>
  <c r="J36" i="48" s="1"/>
  <c r="I37" i="48"/>
  <c r="J37" i="48"/>
  <c r="G38" i="48"/>
  <c r="G41" i="48" s="1"/>
  <c r="H38" i="48"/>
  <c r="H41" i="48"/>
  <c r="I40" i="48"/>
  <c r="J40" i="48" s="1"/>
  <c r="I42" i="48"/>
  <c r="J42" i="48"/>
  <c r="I43" i="48"/>
  <c r="J43" i="48" s="1"/>
  <c r="I44" i="48"/>
  <c r="J44" i="48"/>
  <c r="F45" i="48"/>
  <c r="G45" i="48"/>
  <c r="G48" i="48"/>
  <c r="H45" i="48"/>
  <c r="H48" i="48" s="1"/>
  <c r="I47" i="48"/>
  <c r="J47" i="48"/>
  <c r="I49" i="48"/>
  <c r="I50" i="48"/>
  <c r="J50" i="48" s="1"/>
  <c r="I51" i="48"/>
  <c r="J51" i="48"/>
  <c r="G52" i="48"/>
  <c r="G55" i="48" s="1"/>
  <c r="H52" i="48"/>
  <c r="H55" i="48"/>
  <c r="I54" i="48"/>
  <c r="J54" i="48" s="1"/>
  <c r="O54" i="48"/>
  <c r="P54" i="48"/>
  <c r="Q54" i="48"/>
  <c r="R54" i="48"/>
  <c r="S54" i="48"/>
  <c r="T54" i="48"/>
  <c r="U54" i="48"/>
  <c r="V54" i="48"/>
  <c r="W54" i="48"/>
  <c r="X54" i="48"/>
  <c r="Y54" i="48"/>
  <c r="I56" i="48"/>
  <c r="I57" i="48"/>
  <c r="J57" i="48"/>
  <c r="I58" i="48"/>
  <c r="J58" i="48" s="1"/>
  <c r="G59" i="48"/>
  <c r="G62" i="48"/>
  <c r="H59" i="48"/>
  <c r="H62" i="48" s="1"/>
  <c r="I61" i="48"/>
  <c r="J61" i="48"/>
  <c r="O5" i="47"/>
  <c r="P5" i="47" s="1"/>
  <c r="Q5" i="47" s="1"/>
  <c r="R5" i="47" s="1"/>
  <c r="S5" i="47" s="1"/>
  <c r="T5" i="47" s="1"/>
  <c r="U5" i="47" s="1"/>
  <c r="V5" i="47" s="1"/>
  <c r="W5" i="47" s="1"/>
  <c r="X5" i="47" s="1"/>
  <c r="Y5" i="47" s="1"/>
  <c r="I17" i="47"/>
  <c r="J17" i="47" s="1"/>
  <c r="P17" i="47"/>
  <c r="I18" i="47"/>
  <c r="J18" i="47" s="1"/>
  <c r="I19" i="47"/>
  <c r="J19" i="47" s="1"/>
  <c r="H20" i="47"/>
  <c r="H24" i="47" s="1"/>
  <c r="I23" i="47"/>
  <c r="J23" i="47" s="1"/>
  <c r="N23" i="47"/>
  <c r="O23" i="47"/>
  <c r="P23" i="47"/>
  <c r="Q23" i="47"/>
  <c r="R23" i="47"/>
  <c r="S23" i="47"/>
  <c r="T23" i="47"/>
  <c r="U23" i="47"/>
  <c r="V23" i="47"/>
  <c r="W23" i="47"/>
  <c r="X23" i="47"/>
  <c r="Y23" i="47"/>
  <c r="F25" i="47"/>
  <c r="G25" i="47"/>
  <c r="G7" i="47" s="1"/>
  <c r="H25" i="47"/>
  <c r="H7" i="47" s="1"/>
  <c r="F26" i="47"/>
  <c r="G26" i="47"/>
  <c r="G8" i="47" s="1"/>
  <c r="H26" i="47"/>
  <c r="H8" i="47" s="1"/>
  <c r="F27" i="47"/>
  <c r="D9" i="47"/>
  <c r="G27" i="47"/>
  <c r="G9" i="47" s="1"/>
  <c r="H27" i="47"/>
  <c r="H9" i="47" s="1"/>
  <c r="G31" i="47"/>
  <c r="H31" i="47"/>
  <c r="H13" i="47" s="1"/>
  <c r="I36" i="47"/>
  <c r="J36" i="47" s="1"/>
  <c r="I37" i="47"/>
  <c r="J37" i="47" s="1"/>
  <c r="I38" i="47"/>
  <c r="J38" i="47" s="1"/>
  <c r="G39" i="47"/>
  <c r="G43" i="47" s="1"/>
  <c r="H39" i="47"/>
  <c r="H43" i="47" s="1"/>
  <c r="I42" i="47"/>
  <c r="J42" i="47" s="1"/>
  <c r="N42" i="47"/>
  <c r="O42" i="47"/>
  <c r="P42" i="47"/>
  <c r="Q42" i="47"/>
  <c r="R42" i="47"/>
  <c r="S42" i="47"/>
  <c r="T42" i="47"/>
  <c r="U42" i="47"/>
  <c r="V42" i="47"/>
  <c r="W42" i="47"/>
  <c r="X42" i="47"/>
  <c r="Y42" i="47"/>
  <c r="I44" i="47"/>
  <c r="J44" i="47" s="1"/>
  <c r="I45" i="47"/>
  <c r="J45" i="47" s="1"/>
  <c r="I46" i="47"/>
  <c r="J46" i="47" s="1"/>
  <c r="F47" i="47"/>
  <c r="G47" i="47"/>
  <c r="G51" i="47" s="1"/>
  <c r="H47" i="47"/>
  <c r="H51" i="47" s="1"/>
  <c r="I50" i="47"/>
  <c r="J50" i="47" s="1"/>
  <c r="N50" i="47"/>
  <c r="O50" i="47"/>
  <c r="P50" i="47"/>
  <c r="Q50" i="47"/>
  <c r="R50" i="47"/>
  <c r="S50" i="47"/>
  <c r="T50" i="47"/>
  <c r="U50" i="47"/>
  <c r="V50" i="47"/>
  <c r="W50" i="47"/>
  <c r="X50" i="47"/>
  <c r="Y50" i="47"/>
  <c r="I52" i="47"/>
  <c r="J52" i="47" s="1"/>
  <c r="I53" i="47"/>
  <c r="J53" i="47" s="1"/>
  <c r="I54" i="47"/>
  <c r="J54" i="47" s="1"/>
  <c r="S54" i="47"/>
  <c r="G59" i="47"/>
  <c r="H55" i="47"/>
  <c r="H59" i="47" s="1"/>
  <c r="I58" i="47"/>
  <c r="J58" i="47" s="1"/>
  <c r="N58" i="47"/>
  <c r="O58" i="47"/>
  <c r="P58" i="47"/>
  <c r="Q58" i="47"/>
  <c r="R58" i="47"/>
  <c r="S58" i="47"/>
  <c r="T58" i="47"/>
  <c r="U58" i="47"/>
  <c r="V58" i="47"/>
  <c r="W58" i="47"/>
  <c r="X58" i="47"/>
  <c r="Y58" i="47"/>
  <c r="I60" i="47"/>
  <c r="J60" i="47" s="1"/>
  <c r="I61" i="47"/>
  <c r="J61" i="47" s="1"/>
  <c r="I62" i="47"/>
  <c r="J62" i="47" s="1"/>
  <c r="O62" i="47"/>
  <c r="S62" i="47"/>
  <c r="V62" i="47"/>
  <c r="G63" i="47"/>
  <c r="G67" i="47" s="1"/>
  <c r="H63" i="47"/>
  <c r="H67" i="47" s="1"/>
  <c r="I66" i="47"/>
  <c r="J66" i="47" s="1"/>
  <c r="N66" i="47"/>
  <c r="O66" i="47"/>
  <c r="P66" i="47"/>
  <c r="Q66" i="47"/>
  <c r="R66" i="47"/>
  <c r="S66" i="47"/>
  <c r="T66" i="47"/>
  <c r="U66" i="47"/>
  <c r="V66" i="47"/>
  <c r="W66" i="47"/>
  <c r="X66" i="47"/>
  <c r="Y66" i="47"/>
  <c r="R15" i="64"/>
  <c r="Q15" i="64"/>
  <c r="O54" i="47"/>
  <c r="V21" i="57"/>
  <c r="W21" i="57" s="1"/>
  <c r="BT21" i="57" s="1"/>
  <c r="B9" i="56"/>
  <c r="BU9" i="56" s="1"/>
  <c r="B12" i="56"/>
  <c r="BU12" i="56" s="1"/>
  <c r="V48" i="58"/>
  <c r="W48" i="58" s="1"/>
  <c r="BT48" i="58" s="1"/>
  <c r="B29" i="58"/>
  <c r="BU29" i="58" s="1"/>
  <c r="B48" i="58"/>
  <c r="BU48" i="58" s="1"/>
  <c r="H28" i="47"/>
  <c r="H32" i="47"/>
  <c r="F59" i="48"/>
  <c r="F52" i="48"/>
  <c r="I27" i="47"/>
  <c r="J27" i="47" s="1"/>
  <c r="H10" i="48"/>
  <c r="I30" i="48"/>
  <c r="J30" i="48" s="1"/>
  <c r="I7" i="48"/>
  <c r="I25" i="48"/>
  <c r="J25" i="48" s="1"/>
  <c r="I27" i="48"/>
  <c r="J27" i="48" s="1"/>
  <c r="I26" i="47"/>
  <c r="J26" i="47" s="1"/>
  <c r="J7" i="48"/>
  <c r="I20" i="47"/>
  <c r="I55" i="47"/>
  <c r="J55" i="47" s="1"/>
  <c r="G9" i="48"/>
  <c r="G10" i="48" s="1"/>
  <c r="G28" i="48"/>
  <c r="I26" i="48"/>
  <c r="J26" i="48"/>
  <c r="F39" i="47"/>
  <c r="I63" i="47"/>
  <c r="I67" i="47" s="1"/>
  <c r="E41" i="48"/>
  <c r="F38" i="48"/>
  <c r="E13" i="47"/>
  <c r="F31" i="47"/>
  <c r="J56" i="48"/>
  <c r="I59" i="48"/>
  <c r="F63" i="47"/>
  <c r="E59" i="47"/>
  <c r="F55" i="47"/>
  <c r="I25" i="47"/>
  <c r="J25" i="47" s="1"/>
  <c r="I38" i="48"/>
  <c r="J38" i="48"/>
  <c r="G13" i="47"/>
  <c r="I13" i="47" s="1"/>
  <c r="J13" i="47" s="1"/>
  <c r="I31" i="47"/>
  <c r="J31" i="47" s="1"/>
  <c r="J49" i="48"/>
  <c r="I52" i="48"/>
  <c r="J52" i="48"/>
  <c r="S15" i="64"/>
  <c r="F9" i="47"/>
  <c r="I8" i="48"/>
  <c r="J8" i="48"/>
  <c r="E10" i="48"/>
  <c r="F11" i="47"/>
  <c r="E10" i="47"/>
  <c r="I45" i="48"/>
  <c r="I48" i="48" s="1"/>
  <c r="I11" i="48"/>
  <c r="I47" i="47"/>
  <c r="I39" i="47"/>
  <c r="G28" i="47"/>
  <c r="G32" i="47" s="1"/>
  <c r="G33" i="47" s="1"/>
  <c r="D8" i="47"/>
  <c r="F8" i="47" s="1"/>
  <c r="D7" i="47"/>
  <c r="I20" i="48"/>
  <c r="I24" i="48" s="1"/>
  <c r="F20" i="48"/>
  <c r="F27" i="48"/>
  <c r="C7" i="47"/>
  <c r="C10" i="47"/>
  <c r="F20" i="47"/>
  <c r="L21" i="48"/>
  <c r="E32" i="48"/>
  <c r="J59" i="48"/>
  <c r="I62" i="48"/>
  <c r="G31" i="48"/>
  <c r="G32" i="48" s="1"/>
  <c r="J20" i="47"/>
  <c r="I24" i="47"/>
  <c r="J24" i="47" s="1"/>
  <c r="J63" i="47"/>
  <c r="J62" i="48"/>
  <c r="I9" i="48"/>
  <c r="I41" i="48"/>
  <c r="J41" i="48" s="1"/>
  <c r="I28" i="48"/>
  <c r="I31" i="48"/>
  <c r="J31" i="48"/>
  <c r="I59" i="47"/>
  <c r="J59" i="47" s="1"/>
  <c r="I28" i="47"/>
  <c r="I55" i="48"/>
  <c r="J55" i="48"/>
  <c r="J11" i="48"/>
  <c r="L11" i="48"/>
  <c r="F9" i="48"/>
  <c r="J20" i="48"/>
  <c r="F7" i="47"/>
  <c r="D10" i="47"/>
  <c r="J39" i="47"/>
  <c r="I43" i="47"/>
  <c r="J47" i="47"/>
  <c r="I51" i="47"/>
  <c r="J9" i="48"/>
  <c r="I10" i="48"/>
  <c r="J10" i="48" s="1"/>
  <c r="J28" i="48"/>
  <c r="J43" i="47"/>
  <c r="F10" i="47"/>
  <c r="L22" i="48"/>
  <c r="I13" i="48"/>
  <c r="J13" i="48"/>
  <c r="H14" i="48"/>
  <c r="H31" i="48"/>
  <c r="H32" i="48" s="1"/>
  <c r="J29" i="48"/>
  <c r="L29" i="48"/>
  <c r="L12" i="48"/>
  <c r="J22" i="48"/>
  <c r="G12" i="48"/>
  <c r="G14" i="48"/>
  <c r="I14" i="48"/>
  <c r="BT69" i="56" l="1"/>
  <c r="AQ69" i="56"/>
  <c r="AQ71" i="56" s="1"/>
  <c r="BT69" i="58"/>
  <c r="AQ69" i="58"/>
  <c r="BT69" i="57"/>
  <c r="AQ69" i="57"/>
  <c r="AQ71" i="57" s="1"/>
  <c r="BQ39" i="55"/>
  <c r="BU39" i="55" s="1"/>
  <c r="BQ9" i="55"/>
  <c r="BU9" i="55" s="1"/>
  <c r="BQ13" i="55"/>
  <c r="BU13" i="55" s="1"/>
  <c r="BQ17" i="55"/>
  <c r="BU17" i="55" s="1"/>
  <c r="BQ27" i="55"/>
  <c r="BU27" i="55" s="1"/>
  <c r="BQ31" i="55"/>
  <c r="BU31" i="55" s="1"/>
  <c r="BQ35" i="55"/>
  <c r="BU35" i="55" s="1"/>
  <c r="BQ40" i="55"/>
  <c r="BU40" i="55" s="1"/>
  <c r="BQ44" i="55"/>
  <c r="BU44" i="55" s="1"/>
  <c r="BQ48" i="55"/>
  <c r="BU48" i="55" s="1"/>
  <c r="BQ51" i="55"/>
  <c r="BU51" i="55" s="1"/>
  <c r="BQ58" i="55"/>
  <c r="BU58" i="55" s="1"/>
  <c r="BT73" i="56"/>
  <c r="BT79" i="56" s="1"/>
  <c r="BT68" i="66"/>
  <c r="BU68" i="66" s="1"/>
  <c r="BT63" i="58"/>
  <c r="BT65" i="58" s="1"/>
  <c r="T81" i="58"/>
  <c r="AJ81" i="58"/>
  <c r="BT62" i="66"/>
  <c r="BU62" i="66" s="1"/>
  <c r="BS70" i="66"/>
  <c r="BV70" i="66" s="1"/>
  <c r="BS62" i="66"/>
  <c r="BV62" i="66" s="1"/>
  <c r="BS68" i="66"/>
  <c r="BV68" i="66" s="1"/>
  <c r="Q6" i="60"/>
  <c r="BG6" i="60" s="1"/>
  <c r="B65" i="57"/>
  <c r="BU65" i="57" s="1"/>
  <c r="BU64" i="57"/>
  <c r="BT61" i="57"/>
  <c r="BT83" i="57"/>
  <c r="W83" i="57"/>
  <c r="BT65" i="57"/>
  <c r="BT79" i="57"/>
  <c r="BT54" i="57"/>
  <c r="BT54" i="58"/>
  <c r="W83" i="58"/>
  <c r="Q32" i="60"/>
  <c r="BG32" i="60" s="1"/>
  <c r="BT61" i="58"/>
  <c r="Q13" i="60"/>
  <c r="BG13" i="60" s="1"/>
  <c r="BT79" i="58"/>
  <c r="BT65" i="56"/>
  <c r="BT61" i="56"/>
  <c r="Q58" i="60"/>
  <c r="BG58" i="60" s="1"/>
  <c r="Q18" i="60"/>
  <c r="BG18" i="60" s="1"/>
  <c r="Q28" i="60"/>
  <c r="BG28" i="60" s="1"/>
  <c r="Q37" i="60"/>
  <c r="BG37" i="60" s="1"/>
  <c r="Q45" i="60"/>
  <c r="BG45" i="60" s="1"/>
  <c r="Q53" i="60"/>
  <c r="BG53" i="60" s="1"/>
  <c r="Q11" i="60"/>
  <c r="BG11" i="60" s="1"/>
  <c r="Q34" i="60"/>
  <c r="BG34" i="60" s="1"/>
  <c r="Q42" i="60"/>
  <c r="BG42" i="60" s="1"/>
  <c r="Q50" i="60"/>
  <c r="BG50" i="60" s="1"/>
  <c r="Q56" i="60"/>
  <c r="BG56" i="60" s="1"/>
  <c r="Q77" i="60"/>
  <c r="BG77" i="60" s="1"/>
  <c r="Q7" i="60"/>
  <c r="BG7" i="60" s="1"/>
  <c r="Q12" i="60"/>
  <c r="BG12" i="60" s="1"/>
  <c r="Q20" i="60"/>
  <c r="BG20" i="60" s="1"/>
  <c r="Q26" i="60"/>
  <c r="BG26" i="60" s="1"/>
  <c r="Q30" i="60"/>
  <c r="BG30" i="60" s="1"/>
  <c r="Q35" i="60"/>
  <c r="BG35" i="60" s="1"/>
  <c r="Q39" i="60"/>
  <c r="BG39" i="60" s="1"/>
  <c r="Q43" i="60"/>
  <c r="BG43" i="60" s="1"/>
  <c r="Q47" i="60"/>
  <c r="BG47" i="60" s="1"/>
  <c r="Q51" i="60"/>
  <c r="BG51" i="60" s="1"/>
  <c r="Q57" i="60"/>
  <c r="BG57" i="60" s="1"/>
  <c r="Q64" i="60"/>
  <c r="BG64" i="60" s="1"/>
  <c r="Q75" i="60"/>
  <c r="BG75" i="60" s="1"/>
  <c r="Q9" i="60"/>
  <c r="BG9" i="60" s="1"/>
  <c r="Q22" i="60"/>
  <c r="BG22" i="60" s="1"/>
  <c r="Q33" i="60"/>
  <c r="BG33" i="60" s="1"/>
  <c r="Q41" i="60"/>
  <c r="BG41" i="60" s="1"/>
  <c r="Q49" i="60"/>
  <c r="BG49" i="60" s="1"/>
  <c r="Q60" i="60"/>
  <c r="BG60" i="60" s="1"/>
  <c r="Q73" i="60"/>
  <c r="BG73" i="60" s="1"/>
  <c r="Q78" i="60"/>
  <c r="BG78" i="60" s="1"/>
  <c r="Q19" i="60"/>
  <c r="BG19" i="60" s="1"/>
  <c r="Q29" i="60"/>
  <c r="BG29" i="60" s="1"/>
  <c r="Q38" i="60"/>
  <c r="BG38" i="60" s="1"/>
  <c r="Q46" i="60"/>
  <c r="BG46" i="60" s="1"/>
  <c r="Q63" i="60"/>
  <c r="BG63" i="60" s="1"/>
  <c r="Q8" i="60"/>
  <c r="BG8" i="60" s="1"/>
  <c r="Q14" i="60"/>
  <c r="BG14" i="60" s="1"/>
  <c r="Q21" i="60"/>
  <c r="BG21" i="60" s="1"/>
  <c r="Q27" i="60"/>
  <c r="BG27" i="60" s="1"/>
  <c r="Q31" i="60"/>
  <c r="BG31" i="60" s="1"/>
  <c r="W83" i="59"/>
  <c r="Q36" i="60"/>
  <c r="BG36" i="60" s="1"/>
  <c r="Q40" i="60"/>
  <c r="BG40" i="60" s="1"/>
  <c r="Q44" i="60"/>
  <c r="BG44" i="60" s="1"/>
  <c r="Q48" i="60"/>
  <c r="BG48" i="60" s="1"/>
  <c r="Q52" i="60"/>
  <c r="BG52" i="60" s="1"/>
  <c r="Q59" i="60"/>
  <c r="BG59" i="60" s="1"/>
  <c r="Q74" i="60"/>
  <c r="BG74" i="60" s="1"/>
  <c r="BU28" i="55"/>
  <c r="BT24" i="57"/>
  <c r="Q23" i="60"/>
  <c r="AJ64" i="66"/>
  <c r="AI64" i="66" s="1"/>
  <c r="S40" i="47"/>
  <c r="V65" i="56"/>
  <c r="U65" i="56" s="1"/>
  <c r="T60" i="66"/>
  <c r="S60" i="66" s="1"/>
  <c r="B61" i="59"/>
  <c r="BU61" i="59" s="1"/>
  <c r="Z65" i="59"/>
  <c r="O53" i="47"/>
  <c r="K53" i="47" s="1"/>
  <c r="L53" i="47" s="1"/>
  <c r="O57" i="47"/>
  <c r="O30" i="47" s="1"/>
  <c r="O11" i="47" s="1"/>
  <c r="T64" i="66"/>
  <c r="S64" i="66" s="1"/>
  <c r="BQ59" i="55"/>
  <c r="BU59" i="55" s="1"/>
  <c r="BQ22" i="55"/>
  <c r="BU22" i="55" s="1"/>
  <c r="BQ75" i="55"/>
  <c r="BU75" i="55" s="1"/>
  <c r="BQ77" i="55"/>
  <c r="BU77" i="55" s="1"/>
  <c r="BQ78" i="55"/>
  <c r="BU78" i="55" s="1"/>
  <c r="N44" i="47"/>
  <c r="N47" i="47" s="1"/>
  <c r="N51" i="47" s="1"/>
  <c r="D81" i="57"/>
  <c r="H67" i="57"/>
  <c r="Z61" i="58"/>
  <c r="N52" i="47"/>
  <c r="N55" i="47" s="1"/>
  <c r="N59" i="47" s="1"/>
  <c r="D81" i="58"/>
  <c r="S52" i="47"/>
  <c r="S55" i="47" s="1"/>
  <c r="S59" i="47" s="1"/>
  <c r="X81" i="58"/>
  <c r="W52" i="47"/>
  <c r="W55" i="47" s="1"/>
  <c r="W59" i="47" s="1"/>
  <c r="AN81" i="58"/>
  <c r="AF69" i="66"/>
  <c r="AE69" i="66" s="1"/>
  <c r="AZ58" i="66"/>
  <c r="AY58" i="66" s="1"/>
  <c r="AF57" i="66"/>
  <c r="AE57" i="66" s="1"/>
  <c r="V61" i="58"/>
  <c r="U61" i="58" s="1"/>
  <c r="L81" i="58"/>
  <c r="T52" i="47"/>
  <c r="T55" i="47" s="1"/>
  <c r="T59" i="47" s="1"/>
  <c r="AB81" i="58"/>
  <c r="X52" i="47"/>
  <c r="X55" i="47" s="1"/>
  <c r="X59" i="47" s="1"/>
  <c r="AR81" i="58"/>
  <c r="B61" i="58"/>
  <c r="BU61" i="58" s="1"/>
  <c r="O52" i="47"/>
  <c r="H81" i="58"/>
  <c r="V65" i="58"/>
  <c r="P81" i="58"/>
  <c r="U52" i="47"/>
  <c r="U55" i="47" s="1"/>
  <c r="U59" i="47" s="1"/>
  <c r="AF81" i="58"/>
  <c r="AV81" i="58"/>
  <c r="X60" i="66"/>
  <c r="W60" i="66" s="1"/>
  <c r="AR69" i="66"/>
  <c r="AQ69" i="66" s="1"/>
  <c r="P81" i="59"/>
  <c r="AB81" i="59"/>
  <c r="AV81" i="59"/>
  <c r="AB69" i="66"/>
  <c r="AA69" i="66" s="1"/>
  <c r="H81" i="59"/>
  <c r="X81" i="59"/>
  <c r="AJ81" i="59"/>
  <c r="L81" i="59"/>
  <c r="U60" i="47"/>
  <c r="U63" i="47" s="1"/>
  <c r="U67" i="47" s="1"/>
  <c r="AF81" i="59"/>
  <c r="X60" i="47"/>
  <c r="X63" i="47" s="1"/>
  <c r="X67" i="47" s="1"/>
  <c r="AR81" i="59"/>
  <c r="N60" i="47"/>
  <c r="N63" i="47" s="1"/>
  <c r="N67" i="47" s="1"/>
  <c r="D81" i="59"/>
  <c r="B65" i="59"/>
  <c r="BU65" i="59" s="1"/>
  <c r="T59" i="66"/>
  <c r="S59" i="66" s="1"/>
  <c r="T81" i="59"/>
  <c r="AN81" i="59"/>
  <c r="O40" i="47"/>
  <c r="B65" i="56"/>
  <c r="BU65" i="56" s="1"/>
  <c r="V61" i="56"/>
  <c r="U61" i="56" s="1"/>
  <c r="U67" i="56" s="1"/>
  <c r="U71" i="56" s="1"/>
  <c r="AV57" i="66"/>
  <c r="AU57" i="66" s="1"/>
  <c r="X40" i="47"/>
  <c r="AB81" i="56"/>
  <c r="Z65" i="56"/>
  <c r="AJ69" i="66"/>
  <c r="AI69" i="66" s="1"/>
  <c r="AZ56" i="66"/>
  <c r="AY56" i="66" s="1"/>
  <c r="N36" i="47"/>
  <c r="N39" i="47" s="1"/>
  <c r="N43" i="47" s="1"/>
  <c r="D81" i="56"/>
  <c r="AJ58" i="66"/>
  <c r="AI58" i="66" s="1"/>
  <c r="AN69" i="66"/>
  <c r="AM69" i="66" s="1"/>
  <c r="AB63" i="66"/>
  <c r="AA63" i="66" s="1"/>
  <c r="AF64" i="66"/>
  <c r="AE64" i="66" s="1"/>
  <c r="BD23" i="66"/>
  <c r="BC23" i="66" s="1"/>
  <c r="X57" i="66"/>
  <c r="W57" i="66" s="1"/>
  <c r="BH57" i="66"/>
  <c r="BG57" i="66" s="1"/>
  <c r="Z65" i="57"/>
  <c r="AF48" i="66"/>
  <c r="AE48" i="66" s="1"/>
  <c r="AF23" i="66"/>
  <c r="AE23" i="66" s="1"/>
  <c r="V65" i="57"/>
  <c r="U65" i="57" s="1"/>
  <c r="T81" i="57"/>
  <c r="AJ81" i="57"/>
  <c r="BH56" i="66"/>
  <c r="BG56" i="66" s="1"/>
  <c r="BD57" i="66"/>
  <c r="BC57" i="66" s="1"/>
  <c r="T56" i="66"/>
  <c r="S56" i="66" s="1"/>
  <c r="BU26" i="55"/>
  <c r="BQ65" i="55"/>
  <c r="BU65" i="55" s="1"/>
  <c r="BU63" i="55"/>
  <c r="BU6" i="55"/>
  <c r="BQ7" i="55"/>
  <c r="BU7" i="55" s="1"/>
  <c r="BQ11" i="55"/>
  <c r="BU11" i="55" s="1"/>
  <c r="BQ15" i="55"/>
  <c r="BU15" i="55" s="1"/>
  <c r="BQ23" i="55"/>
  <c r="BU23" i="55" s="1"/>
  <c r="BQ29" i="55"/>
  <c r="BU29" i="55" s="1"/>
  <c r="BQ33" i="55"/>
  <c r="BU33" i="55" s="1"/>
  <c r="BQ37" i="55"/>
  <c r="BU37" i="55" s="1"/>
  <c r="BQ42" i="55"/>
  <c r="BU42" i="55" s="1"/>
  <c r="BQ46" i="55"/>
  <c r="BU46" i="55" s="1"/>
  <c r="BQ50" i="55"/>
  <c r="BU50" i="55" s="1"/>
  <c r="BQ56" i="55"/>
  <c r="BQ69" i="55"/>
  <c r="BU69" i="55" s="1"/>
  <c r="BQ73" i="55"/>
  <c r="BU73" i="55" s="1"/>
  <c r="BQ74" i="55"/>
  <c r="AB54" i="48"/>
  <c r="P81" i="55"/>
  <c r="N18" i="47"/>
  <c r="K18" i="47" s="1"/>
  <c r="L18" i="47" s="1"/>
  <c r="N21" i="47"/>
  <c r="Z21" i="47" s="1"/>
  <c r="N22" i="47"/>
  <c r="N12" i="47" s="1"/>
  <c r="N19" i="47"/>
  <c r="Z19" i="47" s="1"/>
  <c r="CA49" i="66"/>
  <c r="N17" i="47"/>
  <c r="D81" i="55"/>
  <c r="U17" i="47"/>
  <c r="U20" i="47" s="1"/>
  <c r="U24" i="47" s="1"/>
  <c r="AF81" i="55"/>
  <c r="CA63" i="66"/>
  <c r="CA69" i="66"/>
  <c r="CA43" i="66"/>
  <c r="V17" i="47"/>
  <c r="V20" i="47" s="1"/>
  <c r="V24" i="47" s="1"/>
  <c r="AJ81" i="55"/>
  <c r="CA60" i="66"/>
  <c r="O17" i="47"/>
  <c r="O20" i="47" s="1"/>
  <c r="O24" i="47" s="1"/>
  <c r="H81" i="55"/>
  <c r="S17" i="47"/>
  <c r="S20" i="47" s="1"/>
  <c r="S24" i="47" s="1"/>
  <c r="X81" i="55"/>
  <c r="W17" i="47"/>
  <c r="W20" i="47" s="1"/>
  <c r="W24" i="47" s="1"/>
  <c r="AN81" i="55"/>
  <c r="Y17" i="47"/>
  <c r="Y20" i="47" s="1"/>
  <c r="Y24" i="47" s="1"/>
  <c r="AV81" i="55"/>
  <c r="CA53" i="66"/>
  <c r="R17" i="47"/>
  <c r="R20" i="47" s="1"/>
  <c r="R24" i="47" s="1"/>
  <c r="T81" i="55"/>
  <c r="CA48" i="66"/>
  <c r="Q17" i="47"/>
  <c r="Q20" i="47" s="1"/>
  <c r="Q24" i="47" s="1"/>
  <c r="L81" i="55"/>
  <c r="T17" i="47"/>
  <c r="T20" i="47" s="1"/>
  <c r="T24" i="47" s="1"/>
  <c r="AB81" i="55"/>
  <c r="X17" i="47"/>
  <c r="X20" i="47" s="1"/>
  <c r="X24" i="47" s="1"/>
  <c r="AR81" i="55"/>
  <c r="AJ57" i="66"/>
  <c r="AI57" i="66" s="1"/>
  <c r="W36" i="47"/>
  <c r="W39" i="47" s="1"/>
  <c r="W43" i="47" s="1"/>
  <c r="AN81" i="56"/>
  <c r="P81" i="56"/>
  <c r="AF81" i="56"/>
  <c r="AV69" i="66"/>
  <c r="AU69" i="66" s="1"/>
  <c r="P69" i="66"/>
  <c r="O69" i="66" s="1"/>
  <c r="AR51" i="66"/>
  <c r="AQ51" i="66" s="1"/>
  <c r="BH64" i="66"/>
  <c r="BG64" i="66" s="1"/>
  <c r="AN64" i="66"/>
  <c r="AM64" i="66" s="1"/>
  <c r="AZ60" i="66"/>
  <c r="AY60" i="66" s="1"/>
  <c r="R36" i="47"/>
  <c r="R39" i="47" s="1"/>
  <c r="R43" i="47" s="1"/>
  <c r="T81" i="56"/>
  <c r="V36" i="47"/>
  <c r="V39" i="47" s="1"/>
  <c r="V43" i="47" s="1"/>
  <c r="AJ81" i="56"/>
  <c r="P36" i="47"/>
  <c r="P39" i="47" s="1"/>
  <c r="P43" i="47" s="1"/>
  <c r="L81" i="56"/>
  <c r="AV81" i="56"/>
  <c r="X64" i="66"/>
  <c r="W64" i="66" s="1"/>
  <c r="T36" i="47"/>
  <c r="T39" i="47" s="1"/>
  <c r="T43" i="47" s="1"/>
  <c r="BH69" i="66"/>
  <c r="BG69" i="66" s="1"/>
  <c r="P63" i="66"/>
  <c r="O63" i="66" s="1"/>
  <c r="AV64" i="66"/>
  <c r="AU64" i="66" s="1"/>
  <c r="H81" i="56"/>
  <c r="S36" i="47"/>
  <c r="S39" i="47" s="1"/>
  <c r="S43" i="47" s="1"/>
  <c r="X81" i="56"/>
  <c r="AR81" i="56"/>
  <c r="R27" i="47"/>
  <c r="R9" i="47" s="1"/>
  <c r="AB66" i="47"/>
  <c r="B61" i="57"/>
  <c r="BU61" i="57" s="1"/>
  <c r="P64" i="66"/>
  <c r="H81" i="57"/>
  <c r="W44" i="47"/>
  <c r="W47" i="47" s="1"/>
  <c r="W51" i="47" s="1"/>
  <c r="AN81" i="57"/>
  <c r="BD60" i="66"/>
  <c r="BC60" i="66" s="1"/>
  <c r="AV63" i="66"/>
  <c r="AU63" i="66" s="1"/>
  <c r="AF63" i="66"/>
  <c r="V61" i="57"/>
  <c r="U61" i="57" s="1"/>
  <c r="AR57" i="66"/>
  <c r="AQ57" i="66" s="1"/>
  <c r="AB57" i="66"/>
  <c r="AA57" i="66" s="1"/>
  <c r="Q44" i="47"/>
  <c r="Q47" i="47" s="1"/>
  <c r="Q51" i="47" s="1"/>
  <c r="P81" i="57"/>
  <c r="U44" i="47"/>
  <c r="U47" i="47" s="1"/>
  <c r="U51" i="47" s="1"/>
  <c r="AF81" i="57"/>
  <c r="AV81" i="57"/>
  <c r="AJ63" i="66"/>
  <c r="S44" i="47"/>
  <c r="S47" i="47" s="1"/>
  <c r="S51" i="47" s="1"/>
  <c r="X81" i="57"/>
  <c r="AJ60" i="66"/>
  <c r="AI60" i="66" s="1"/>
  <c r="BF65" i="66"/>
  <c r="AP65" i="66"/>
  <c r="AH65" i="66"/>
  <c r="T58" i="66"/>
  <c r="S58" i="66" s="1"/>
  <c r="BH63" i="66"/>
  <c r="BG63" i="66" s="1"/>
  <c r="P44" i="47"/>
  <c r="P47" i="47" s="1"/>
  <c r="P51" i="47" s="1"/>
  <c r="L81" i="57"/>
  <c r="T44" i="47"/>
  <c r="T47" i="47" s="1"/>
  <c r="T51" i="47" s="1"/>
  <c r="AB81" i="57"/>
  <c r="X44" i="47"/>
  <c r="X47" i="47" s="1"/>
  <c r="X51" i="47" s="1"/>
  <c r="AR81" i="57"/>
  <c r="AC50" i="47"/>
  <c r="AC46" i="47"/>
  <c r="Q27" i="47"/>
  <c r="Q9" i="47" s="1"/>
  <c r="CE55" i="66"/>
  <c r="CD55" i="66"/>
  <c r="CD62" i="66"/>
  <c r="BS66" i="66"/>
  <c r="BV66" i="66" s="1"/>
  <c r="AA38" i="47"/>
  <c r="AC66" i="47"/>
  <c r="AA62" i="47"/>
  <c r="Z66" i="47"/>
  <c r="T46" i="66"/>
  <c r="S46" i="66" s="1"/>
  <c r="AZ50" i="66"/>
  <c r="AY50" i="66" s="1"/>
  <c r="Q19" i="48"/>
  <c r="U40" i="48"/>
  <c r="AC38" i="47"/>
  <c r="AA54" i="47"/>
  <c r="AC54" i="48"/>
  <c r="K50" i="47"/>
  <c r="L50" i="47" s="1"/>
  <c r="V31" i="47"/>
  <c r="V13" i="47" s="1"/>
  <c r="AB46" i="47"/>
  <c r="N31" i="47"/>
  <c r="N13" i="47" s="1"/>
  <c r="X31" i="47"/>
  <c r="X13" i="47" s="1"/>
  <c r="T31" i="47"/>
  <c r="T13" i="47" s="1"/>
  <c r="P31" i="47"/>
  <c r="P13" i="47" s="1"/>
  <c r="AL65" i="66"/>
  <c r="CD70" i="66"/>
  <c r="O22" i="48"/>
  <c r="O12" i="48" s="1"/>
  <c r="W40" i="48"/>
  <c r="O40" i="48"/>
  <c r="R40" i="48"/>
  <c r="P40" i="48"/>
  <c r="W65" i="56"/>
  <c r="R39" i="48" s="1"/>
  <c r="T40" i="48"/>
  <c r="V40" i="48"/>
  <c r="Q40" i="48"/>
  <c r="Y40" i="48"/>
  <c r="N40" i="48"/>
  <c r="X40" i="48"/>
  <c r="AZ47" i="66"/>
  <c r="AY47" i="66" s="1"/>
  <c r="AN48" i="66"/>
  <c r="AM48" i="66" s="1"/>
  <c r="AR45" i="66"/>
  <c r="AQ45" i="66" s="1"/>
  <c r="D67" i="56"/>
  <c r="D71" i="56" s="1"/>
  <c r="AR22" i="66"/>
  <c r="AQ22" i="66" s="1"/>
  <c r="AB22" i="66"/>
  <c r="AA22" i="66" s="1"/>
  <c r="BH22" i="66"/>
  <c r="BG22" i="66" s="1"/>
  <c r="T22" i="66"/>
  <c r="S22" i="66" s="1"/>
  <c r="AJ21" i="66"/>
  <c r="AI21" i="66" s="1"/>
  <c r="T44" i="66"/>
  <c r="S44" i="66" s="1"/>
  <c r="BD21" i="66"/>
  <c r="BC21" i="66" s="1"/>
  <c r="AR48" i="66"/>
  <c r="AQ48" i="66" s="1"/>
  <c r="AB52" i="66"/>
  <c r="AA52" i="66" s="1"/>
  <c r="X51" i="66"/>
  <c r="W51" i="66" s="1"/>
  <c r="BH10" i="66"/>
  <c r="BG10" i="66" s="1"/>
  <c r="AB45" i="66"/>
  <c r="AA45" i="66" s="1"/>
  <c r="BH43" i="66"/>
  <c r="BG43" i="66" s="1"/>
  <c r="AB49" i="66"/>
  <c r="AA49" i="66" s="1"/>
  <c r="T43" i="66"/>
  <c r="S43" i="66" s="1"/>
  <c r="AV50" i="66"/>
  <c r="AU50" i="66" s="1"/>
  <c r="AV21" i="66"/>
  <c r="AU21" i="66" s="1"/>
  <c r="AN21" i="66"/>
  <c r="AM21" i="66" s="1"/>
  <c r="CA42" i="66"/>
  <c r="CA44" i="66"/>
  <c r="Z46" i="47"/>
  <c r="K46" i="47"/>
  <c r="L46" i="47" s="1"/>
  <c r="S27" i="47"/>
  <c r="S9" i="47" s="1"/>
  <c r="Z61" i="57"/>
  <c r="AV60" i="66"/>
  <c r="AU60" i="66" s="1"/>
  <c r="AB50" i="47"/>
  <c r="BD69" i="66"/>
  <c r="BC69" i="66" s="1"/>
  <c r="AZ22" i="66"/>
  <c r="AY22" i="66" s="1"/>
  <c r="BH36" i="66"/>
  <c r="BG36" i="66" s="1"/>
  <c r="AZ63" i="66"/>
  <c r="AY63" i="66" s="1"/>
  <c r="P58" i="66"/>
  <c r="O58" i="66" s="1"/>
  <c r="AR56" i="66"/>
  <c r="AQ56" i="66" s="1"/>
  <c r="AB64" i="66"/>
  <c r="AA64" i="66" s="1"/>
  <c r="AF52" i="66"/>
  <c r="AE52" i="66" s="1"/>
  <c r="AB10" i="66"/>
  <c r="AA10" i="66" s="1"/>
  <c r="AR64" i="66"/>
  <c r="AQ64" i="66" s="1"/>
  <c r="P42" i="66"/>
  <c r="O42" i="66" s="1"/>
  <c r="AN58" i="66"/>
  <c r="AM58" i="66" s="1"/>
  <c r="AZ57" i="66"/>
  <c r="AY57" i="66" s="1"/>
  <c r="BD58" i="66"/>
  <c r="BC58" i="66" s="1"/>
  <c r="BD64" i="66"/>
  <c r="BC64" i="66" s="1"/>
  <c r="BH41" i="66"/>
  <c r="BG41" i="66" s="1"/>
  <c r="BQ60" i="66"/>
  <c r="BK47" i="66"/>
  <c r="X48" i="66"/>
  <c r="W48" i="66" s="1"/>
  <c r="AZ46" i="66"/>
  <c r="AY46" i="66" s="1"/>
  <c r="AR44" i="66"/>
  <c r="AQ44" i="66" s="1"/>
  <c r="AV23" i="66"/>
  <c r="AU23" i="66" s="1"/>
  <c r="AJ22" i="66"/>
  <c r="AI22" i="66" s="1"/>
  <c r="V79" i="57"/>
  <c r="U79" i="57" s="1"/>
  <c r="T67" i="57"/>
  <c r="T71" i="57" s="1"/>
  <c r="AJ67" i="57"/>
  <c r="AJ71" i="57" s="1"/>
  <c r="Z50" i="47"/>
  <c r="AB56" i="66"/>
  <c r="AA56" i="66" s="1"/>
  <c r="AF60" i="66"/>
  <c r="AE60" i="66" s="1"/>
  <c r="X69" i="66"/>
  <c r="W69" i="66" s="1"/>
  <c r="AB58" i="66"/>
  <c r="AA58" i="66" s="1"/>
  <c r="AN57" i="66"/>
  <c r="AM57" i="66" s="1"/>
  <c r="L67" i="58"/>
  <c r="L71" i="58" s="1"/>
  <c r="P52" i="47"/>
  <c r="P55" i="47" s="1"/>
  <c r="P59" i="47" s="1"/>
  <c r="N54" i="48"/>
  <c r="AC54" i="47"/>
  <c r="AB58" i="47"/>
  <c r="AA54" i="48"/>
  <c r="Z65" i="58"/>
  <c r="T57" i="66"/>
  <c r="S57" i="66" s="1"/>
  <c r="AN22" i="66"/>
  <c r="AM22" i="66" s="1"/>
  <c r="AR59" i="66"/>
  <c r="AQ59" i="66" s="1"/>
  <c r="BD22" i="66"/>
  <c r="BC22" i="66" s="1"/>
  <c r="X77" i="66"/>
  <c r="W77" i="66" s="1"/>
  <c r="BD77" i="66"/>
  <c r="BC77" i="66" s="1"/>
  <c r="AC58" i="47"/>
  <c r="AA58" i="47"/>
  <c r="BQ63" i="66"/>
  <c r="P60" i="66"/>
  <c r="O60" i="66" s="1"/>
  <c r="AZ51" i="66"/>
  <c r="AY51" i="66" s="1"/>
  <c r="B65" i="58"/>
  <c r="BU65" i="58" s="1"/>
  <c r="AV59" i="66"/>
  <c r="AU59" i="66" s="1"/>
  <c r="P32" i="66"/>
  <c r="O32" i="66" s="1"/>
  <c r="T69" i="66"/>
  <c r="S69" i="66" s="1"/>
  <c r="AF22" i="66"/>
  <c r="AE22" i="66" s="1"/>
  <c r="AN56" i="66"/>
  <c r="AM56" i="66" s="1"/>
  <c r="AR63" i="66"/>
  <c r="AN32" i="66"/>
  <c r="AM32" i="66" s="1"/>
  <c r="AN77" i="66"/>
  <c r="AM77" i="66" s="1"/>
  <c r="Y27" i="47"/>
  <c r="Y9" i="47" s="1"/>
  <c r="G65" i="58"/>
  <c r="G81" i="58" s="1"/>
  <c r="G85" i="58" s="1"/>
  <c r="AV10" i="66"/>
  <c r="AU10" i="66" s="1"/>
  <c r="AB62" i="47"/>
  <c r="AZ69" i="66"/>
  <c r="AY69" i="66" s="1"/>
  <c r="T63" i="66"/>
  <c r="T65" i="66" s="1"/>
  <c r="P22" i="66"/>
  <c r="O22" i="66" s="1"/>
  <c r="AV48" i="66"/>
  <c r="AU48" i="66" s="1"/>
  <c r="AF58" i="66"/>
  <c r="AE58" i="66" s="1"/>
  <c r="AV58" i="66"/>
  <c r="AU58" i="66" s="1"/>
  <c r="BH45" i="66"/>
  <c r="BG45" i="66" s="1"/>
  <c r="Z62" i="47"/>
  <c r="Y31" i="47"/>
  <c r="Y13" i="47" s="1"/>
  <c r="AN60" i="66"/>
  <c r="AM60" i="66" s="1"/>
  <c r="BQ52" i="66"/>
  <c r="BM44" i="66"/>
  <c r="R65" i="66"/>
  <c r="AR23" i="66"/>
  <c r="AQ23" i="66" s="1"/>
  <c r="AB23" i="66"/>
  <c r="AA23" i="66" s="1"/>
  <c r="BD40" i="66"/>
  <c r="BC40" i="66" s="1"/>
  <c r="P67" i="59"/>
  <c r="P71" i="59" s="1"/>
  <c r="AB67" i="59"/>
  <c r="AB71" i="59" s="1"/>
  <c r="AD71" i="59" s="1"/>
  <c r="X44" i="66"/>
  <c r="W44" i="66" s="1"/>
  <c r="AJ47" i="66"/>
  <c r="AI47" i="66" s="1"/>
  <c r="AJ45" i="66"/>
  <c r="AI45" i="66" s="1"/>
  <c r="V65" i="66"/>
  <c r="AN28" i="66"/>
  <c r="AM28" i="66" s="1"/>
  <c r="AR8" i="66"/>
  <c r="AQ8" i="66" s="1"/>
  <c r="AN50" i="66"/>
  <c r="AM50" i="66" s="1"/>
  <c r="X50" i="66"/>
  <c r="W50" i="66" s="1"/>
  <c r="AJ43" i="66"/>
  <c r="AI43" i="66" s="1"/>
  <c r="AN34" i="66"/>
  <c r="AM34" i="66" s="1"/>
  <c r="P78" i="66"/>
  <c r="O78" i="66" s="1"/>
  <c r="E67" i="66"/>
  <c r="E71" i="66" s="1"/>
  <c r="B67" i="66"/>
  <c r="B71" i="66" s="1"/>
  <c r="N23" i="48"/>
  <c r="Z23" i="48"/>
  <c r="P22" i="48"/>
  <c r="P12" i="48" s="1"/>
  <c r="AZ61" i="55"/>
  <c r="CA58" i="66"/>
  <c r="AB23" i="47"/>
  <c r="AA23" i="47"/>
  <c r="AA22" i="48"/>
  <c r="AA12" i="48" s="1"/>
  <c r="F65" i="66"/>
  <c r="G65" i="66" s="1"/>
  <c r="T9" i="66"/>
  <c r="S9" i="66" s="1"/>
  <c r="AR40" i="66"/>
  <c r="AQ40" i="66" s="1"/>
  <c r="AB40" i="66"/>
  <c r="AA40" i="66" s="1"/>
  <c r="AN9" i="66"/>
  <c r="AM9" i="66" s="1"/>
  <c r="AR67" i="57"/>
  <c r="AB26" i="66"/>
  <c r="AA26" i="66" s="1"/>
  <c r="AG65" i="60"/>
  <c r="CA64" i="66"/>
  <c r="C65" i="60"/>
  <c r="AV74" i="66"/>
  <c r="AU74" i="66" s="1"/>
  <c r="AF74" i="66"/>
  <c r="AE74" i="66" s="1"/>
  <c r="P75" i="66"/>
  <c r="O75" i="66" s="1"/>
  <c r="AF67" i="58"/>
  <c r="AF71" i="58" s="1"/>
  <c r="P67" i="58"/>
  <c r="P71" i="58" s="1"/>
  <c r="AJ9" i="66"/>
  <c r="AI9" i="66" s="1"/>
  <c r="BH48" i="66"/>
  <c r="BG48" i="66" s="1"/>
  <c r="AV45" i="66"/>
  <c r="AU45" i="66" s="1"/>
  <c r="AZ39" i="66"/>
  <c r="AY39" i="66" s="1"/>
  <c r="AZ43" i="66"/>
  <c r="AY43" i="66" s="1"/>
  <c r="AV44" i="66"/>
  <c r="AU44" i="66" s="1"/>
  <c r="AR50" i="66"/>
  <c r="AQ50" i="66" s="1"/>
  <c r="AN43" i="66"/>
  <c r="AM43" i="66" s="1"/>
  <c r="AB41" i="66"/>
  <c r="AA41" i="66" s="1"/>
  <c r="P49" i="66"/>
  <c r="O49" i="66" s="1"/>
  <c r="BD20" i="66"/>
  <c r="BC20" i="66" s="1"/>
  <c r="BH38" i="66"/>
  <c r="BG38" i="66" s="1"/>
  <c r="BH46" i="66"/>
  <c r="BG46" i="66" s="1"/>
  <c r="BD48" i="66"/>
  <c r="BC48" i="66" s="1"/>
  <c r="BD50" i="66"/>
  <c r="BC50" i="66" s="1"/>
  <c r="AV52" i="66"/>
  <c r="AU52" i="66" s="1"/>
  <c r="AZ38" i="66"/>
  <c r="AY38" i="66" s="1"/>
  <c r="AV42" i="66"/>
  <c r="AU42" i="66" s="1"/>
  <c r="X32" i="66"/>
  <c r="W32" i="66" s="1"/>
  <c r="AN47" i="66"/>
  <c r="AM47" i="66" s="1"/>
  <c r="P50" i="66"/>
  <c r="O50" i="66" s="1"/>
  <c r="X6" i="66"/>
  <c r="W6" i="66" s="1"/>
  <c r="BH32" i="66"/>
  <c r="BG32" i="66" s="1"/>
  <c r="BH27" i="66"/>
  <c r="BG27" i="66" s="1"/>
  <c r="AZ40" i="66"/>
  <c r="AY40" i="66" s="1"/>
  <c r="BD38" i="66"/>
  <c r="BC38" i="66" s="1"/>
  <c r="AF34" i="66"/>
  <c r="AE34" i="66" s="1"/>
  <c r="AR39" i="66"/>
  <c r="AQ39" i="66" s="1"/>
  <c r="X33" i="66"/>
  <c r="W33" i="66" s="1"/>
  <c r="T33" i="66"/>
  <c r="S33" i="66" s="1"/>
  <c r="AR38" i="66"/>
  <c r="AQ38" i="66" s="1"/>
  <c r="AV40" i="66"/>
  <c r="AU40" i="66" s="1"/>
  <c r="AV32" i="66"/>
  <c r="AU32" i="66" s="1"/>
  <c r="AB32" i="66"/>
  <c r="AA32" i="66" s="1"/>
  <c r="BD6" i="66"/>
  <c r="BC6" i="66" s="1"/>
  <c r="AR21" i="66"/>
  <c r="AQ21" i="66" s="1"/>
  <c r="AJ6" i="66"/>
  <c r="AI6" i="66" s="1"/>
  <c r="AF20" i="66"/>
  <c r="AE20" i="66" s="1"/>
  <c r="AF8" i="66"/>
  <c r="AE8" i="66" s="1"/>
  <c r="T8" i="66"/>
  <c r="S8" i="66" s="1"/>
  <c r="P8" i="66"/>
  <c r="O8" i="66" s="1"/>
  <c r="CB53" i="66"/>
  <c r="X22" i="47"/>
  <c r="X12" i="47" s="1"/>
  <c r="O22" i="47"/>
  <c r="O12" i="47" s="1"/>
  <c r="D67" i="59"/>
  <c r="D71" i="59" s="1"/>
  <c r="AV67" i="59"/>
  <c r="BH35" i="66"/>
  <c r="BG35" i="66" s="1"/>
  <c r="X67" i="59"/>
  <c r="X71" i="59" s="1"/>
  <c r="T67" i="59"/>
  <c r="T71" i="59" s="1"/>
  <c r="H67" i="59"/>
  <c r="H71" i="59" s="1"/>
  <c r="T35" i="66"/>
  <c r="S35" i="66" s="1"/>
  <c r="AR67" i="59"/>
  <c r="AZ37" i="66"/>
  <c r="AY37" i="66" s="1"/>
  <c r="AN67" i="59"/>
  <c r="AN71" i="59" s="1"/>
  <c r="AP71" i="59" s="1"/>
  <c r="AJ67" i="59"/>
  <c r="AJ71" i="59" s="1"/>
  <c r="AL71" i="59" s="1"/>
  <c r="AF67" i="59"/>
  <c r="AF71" i="59" s="1"/>
  <c r="AH71" i="59" s="1"/>
  <c r="AN38" i="66"/>
  <c r="AM38" i="66" s="1"/>
  <c r="X36" i="66"/>
  <c r="W36" i="66" s="1"/>
  <c r="L67" i="59"/>
  <c r="L71" i="59" s="1"/>
  <c r="B54" i="59"/>
  <c r="BU54" i="59" s="1"/>
  <c r="Y60" i="47"/>
  <c r="Y63" i="47" s="1"/>
  <c r="Y67" i="47" s="1"/>
  <c r="BD11" i="66"/>
  <c r="BC11" i="66" s="1"/>
  <c r="S60" i="47"/>
  <c r="P74" i="66"/>
  <c r="BH50" i="66"/>
  <c r="BG50" i="66" s="1"/>
  <c r="AB67" i="58"/>
  <c r="AB71" i="58" s="1"/>
  <c r="AB50" i="66"/>
  <c r="AA50" i="66" s="1"/>
  <c r="BH52" i="66"/>
  <c r="BG52" i="66" s="1"/>
  <c r="AV67" i="58"/>
  <c r="AR67" i="58"/>
  <c r="T67" i="58"/>
  <c r="T71" i="58" s="1"/>
  <c r="AB53" i="66"/>
  <c r="AA53" i="66" s="1"/>
  <c r="AR53" i="66"/>
  <c r="AQ53" i="66" s="1"/>
  <c r="AJ67" i="58"/>
  <c r="AJ71" i="58" s="1"/>
  <c r="BH53" i="66"/>
  <c r="BG53" i="66" s="1"/>
  <c r="BH39" i="66"/>
  <c r="BG39" i="66" s="1"/>
  <c r="BD26" i="66"/>
  <c r="BC26" i="66" s="1"/>
  <c r="AC53" i="47"/>
  <c r="AN67" i="58"/>
  <c r="AN71" i="58" s="1"/>
  <c r="AR31" i="66"/>
  <c r="AQ31" i="66" s="1"/>
  <c r="AB53" i="47"/>
  <c r="AA53" i="47"/>
  <c r="AJ31" i="66"/>
  <c r="AI31" i="66" s="1"/>
  <c r="X67" i="58"/>
  <c r="X71" i="58" s="1"/>
  <c r="AF32" i="66"/>
  <c r="AE32" i="66" s="1"/>
  <c r="X38" i="66"/>
  <c r="W38" i="66" s="1"/>
  <c r="T38" i="66"/>
  <c r="S38" i="66" s="1"/>
  <c r="H67" i="58"/>
  <c r="D67" i="58"/>
  <c r="D71" i="58" s="1"/>
  <c r="B54" i="58"/>
  <c r="BU54" i="58" s="1"/>
  <c r="P39" i="66"/>
  <c r="O39" i="66" s="1"/>
  <c r="P38" i="66"/>
  <c r="O38" i="66" s="1"/>
  <c r="BH18" i="66"/>
  <c r="BG18" i="66" s="1"/>
  <c r="Y52" i="47"/>
  <c r="BH14" i="66"/>
  <c r="BG14" i="66" s="1"/>
  <c r="AZ8" i="66"/>
  <c r="AY8" i="66" s="1"/>
  <c r="V52" i="47"/>
  <c r="V55" i="47" s="1"/>
  <c r="V59" i="47" s="1"/>
  <c r="AR6" i="66"/>
  <c r="AQ6" i="66" s="1"/>
  <c r="R52" i="47"/>
  <c r="R55" i="47" s="1"/>
  <c r="R59" i="47" s="1"/>
  <c r="Q52" i="47"/>
  <c r="Q55" i="47" s="1"/>
  <c r="Q59" i="47" s="1"/>
  <c r="AB18" i="66"/>
  <c r="AA18" i="66" s="1"/>
  <c r="X19" i="66"/>
  <c r="W19" i="66" s="1"/>
  <c r="AN67" i="57"/>
  <c r="AN71" i="57" s="1"/>
  <c r="BH33" i="66"/>
  <c r="BG33" i="66" s="1"/>
  <c r="AV67" i="57"/>
  <c r="AC45" i="47"/>
  <c r="U26" i="47"/>
  <c r="U8" i="47" s="1"/>
  <c r="AF67" i="57"/>
  <c r="AF71" i="57" s="1"/>
  <c r="X67" i="57"/>
  <c r="X71" i="57" s="1"/>
  <c r="AF38" i="66"/>
  <c r="AE38" i="66" s="1"/>
  <c r="AB38" i="66"/>
  <c r="AA38" i="66" s="1"/>
  <c r="H71" i="57"/>
  <c r="D67" i="57"/>
  <c r="D71" i="57" s="1"/>
  <c r="BH6" i="66"/>
  <c r="BG6" i="66" s="1"/>
  <c r="Y44" i="47"/>
  <c r="Y47" i="47" s="1"/>
  <c r="Y51" i="47" s="1"/>
  <c r="BD7" i="66"/>
  <c r="BC7" i="66" s="1"/>
  <c r="BD18" i="66"/>
  <c r="BC18" i="66" s="1"/>
  <c r="AZ19" i="66"/>
  <c r="AY19" i="66" s="1"/>
  <c r="AV6" i="66"/>
  <c r="AU6" i="66" s="1"/>
  <c r="V44" i="47"/>
  <c r="AR19" i="66"/>
  <c r="AQ19" i="66" s="1"/>
  <c r="AN13" i="66"/>
  <c r="AM13" i="66" s="1"/>
  <c r="AN6" i="66"/>
  <c r="AM6" i="66" s="1"/>
  <c r="AN12" i="66"/>
  <c r="AM12" i="66" s="1"/>
  <c r="AJ19" i="66"/>
  <c r="AI19" i="66" s="1"/>
  <c r="R44" i="47"/>
  <c r="R47" i="47" s="1"/>
  <c r="R51" i="47" s="1"/>
  <c r="X11" i="66"/>
  <c r="W11" i="66" s="1"/>
  <c r="O44" i="47"/>
  <c r="T12" i="66"/>
  <c r="S12" i="66" s="1"/>
  <c r="T19" i="66"/>
  <c r="S19" i="66" s="1"/>
  <c r="P9" i="66"/>
  <c r="O9" i="66" s="1"/>
  <c r="AN46" i="66"/>
  <c r="AM46" i="66" s="1"/>
  <c r="AN51" i="66"/>
  <c r="AM51" i="66" s="1"/>
  <c r="AB45" i="47"/>
  <c r="AJ38" i="66"/>
  <c r="AI38" i="66" s="1"/>
  <c r="L67" i="57"/>
  <c r="L71" i="57" s="1"/>
  <c r="T50" i="66"/>
  <c r="S50" i="66" s="1"/>
  <c r="AN45" i="66"/>
  <c r="AM45" i="66" s="1"/>
  <c r="AB67" i="57"/>
  <c r="AB71" i="57" s="1"/>
  <c r="AJ49" i="66"/>
  <c r="AI49" i="66" s="1"/>
  <c r="AF39" i="66"/>
  <c r="AE39" i="66" s="1"/>
  <c r="AB47" i="66"/>
  <c r="AA47" i="66" s="1"/>
  <c r="BX47" i="66"/>
  <c r="AA45" i="47"/>
  <c r="P67" i="57"/>
  <c r="P71" i="57" s="1"/>
  <c r="X39" i="66"/>
  <c r="W39" i="66" s="1"/>
  <c r="B54" i="57"/>
  <c r="BU54" i="57" s="1"/>
  <c r="BH26" i="66"/>
  <c r="BG26" i="66" s="1"/>
  <c r="BH31" i="66"/>
  <c r="BG31" i="66" s="1"/>
  <c r="BH40" i="66"/>
  <c r="BG40" i="66" s="1"/>
  <c r="BD33" i="66"/>
  <c r="BC33" i="66" s="1"/>
  <c r="AZ34" i="66"/>
  <c r="AY34" i="66" s="1"/>
  <c r="AZ28" i="66"/>
  <c r="AY28" i="66" s="1"/>
  <c r="AZ26" i="66"/>
  <c r="AY26" i="66" s="1"/>
  <c r="AV39" i="66"/>
  <c r="AU39" i="66" s="1"/>
  <c r="AR26" i="66"/>
  <c r="AQ26" i="66" s="1"/>
  <c r="AR35" i="66"/>
  <c r="AQ35" i="66" s="1"/>
  <c r="T26" i="47"/>
  <c r="T8" i="47" s="1"/>
  <c r="AN33" i="66"/>
  <c r="AM33" i="66" s="1"/>
  <c r="AN41" i="66"/>
  <c r="AM41" i="66" s="1"/>
  <c r="AB37" i="47"/>
  <c r="AN40" i="66"/>
  <c r="AM40" i="66" s="1"/>
  <c r="BM26" i="66"/>
  <c r="AJ39" i="66"/>
  <c r="AI39" i="66" s="1"/>
  <c r="AF33" i="66"/>
  <c r="AE33" i="66" s="1"/>
  <c r="X35" i="66"/>
  <c r="W35" i="66" s="1"/>
  <c r="T31" i="66"/>
  <c r="S31" i="66" s="1"/>
  <c r="P30" i="66"/>
  <c r="O30" i="66" s="1"/>
  <c r="BD12" i="66"/>
  <c r="BC12" i="66" s="1"/>
  <c r="AZ13" i="66"/>
  <c r="AY13" i="66" s="1"/>
  <c r="AR14" i="66"/>
  <c r="AQ14" i="66" s="1"/>
  <c r="AR18" i="66"/>
  <c r="AQ18" i="66" s="1"/>
  <c r="AN11" i="66"/>
  <c r="AM11" i="66" s="1"/>
  <c r="AJ20" i="66"/>
  <c r="AI20" i="66" s="1"/>
  <c r="AJ7" i="66"/>
  <c r="AI7" i="66" s="1"/>
  <c r="AF6" i="66"/>
  <c r="AE6" i="66" s="1"/>
  <c r="AF21" i="66"/>
  <c r="AE21" i="66" s="1"/>
  <c r="X20" i="66"/>
  <c r="W20" i="66" s="1"/>
  <c r="X12" i="66"/>
  <c r="W12" i="66" s="1"/>
  <c r="X14" i="66"/>
  <c r="W14" i="66" s="1"/>
  <c r="X21" i="66"/>
  <c r="W21" i="66" s="1"/>
  <c r="T6" i="66"/>
  <c r="S6" i="66" s="1"/>
  <c r="P10" i="66"/>
  <c r="O10" i="66" s="1"/>
  <c r="CA34" i="66"/>
  <c r="CA37" i="66"/>
  <c r="CA32" i="66"/>
  <c r="CA30" i="66"/>
  <c r="CA28" i="66"/>
  <c r="CA40" i="66"/>
  <c r="BI54" i="55"/>
  <c r="AC18" i="47"/>
  <c r="BC54" i="55"/>
  <c r="CA45" i="66"/>
  <c r="AA18" i="47"/>
  <c r="CA47" i="66"/>
  <c r="AZ54" i="55"/>
  <c r="CA29" i="66"/>
  <c r="CA31" i="66"/>
  <c r="CA26" i="66"/>
  <c r="CA41" i="66"/>
  <c r="CA35" i="66"/>
  <c r="CA27" i="66"/>
  <c r="CA38" i="66"/>
  <c r="CA36" i="66"/>
  <c r="CA33" i="66"/>
  <c r="P6" i="66"/>
  <c r="O6" i="66" s="1"/>
  <c r="T21" i="66"/>
  <c r="S21" i="66" s="1"/>
  <c r="R60" i="47"/>
  <c r="V60" i="47"/>
  <c r="W60" i="47"/>
  <c r="CA14" i="66"/>
  <c r="BI24" i="55"/>
  <c r="BG24" i="55"/>
  <c r="BC24" i="55"/>
  <c r="CA13" i="66"/>
  <c r="CA9" i="66"/>
  <c r="P60" i="47"/>
  <c r="P63" i="47" s="1"/>
  <c r="P67" i="47" s="1"/>
  <c r="AZ24" i="55"/>
  <c r="CA19" i="66"/>
  <c r="CA7" i="66"/>
  <c r="CA6" i="66"/>
  <c r="CA11" i="66"/>
  <c r="CA8" i="66"/>
  <c r="AZ6" i="66"/>
  <c r="AY6" i="66" s="1"/>
  <c r="AV13" i="66"/>
  <c r="AU13" i="66" s="1"/>
  <c r="AV9" i="66"/>
  <c r="AU9" i="66" s="1"/>
  <c r="T60" i="47"/>
  <c r="AJ8" i="66"/>
  <c r="AI8" i="66" s="1"/>
  <c r="AF9" i="66"/>
  <c r="AE9" i="66" s="1"/>
  <c r="Q60" i="47"/>
  <c r="Q63" i="47" s="1"/>
  <c r="Q67" i="47" s="1"/>
  <c r="X18" i="66"/>
  <c r="W18" i="66" s="1"/>
  <c r="X7" i="66"/>
  <c r="W7" i="66" s="1"/>
  <c r="B24" i="59"/>
  <c r="BU24" i="59" s="1"/>
  <c r="AB19" i="47"/>
  <c r="CA61" i="66"/>
  <c r="CA56" i="66"/>
  <c r="D67" i="55"/>
  <c r="CA57" i="66"/>
  <c r="P67" i="55"/>
  <c r="P71" i="55" s="1"/>
  <c r="AF67" i="55"/>
  <c r="AF71" i="55" s="1"/>
  <c r="AC22" i="48"/>
  <c r="AC12" i="48" s="1"/>
  <c r="AZ65" i="55"/>
  <c r="V22" i="47"/>
  <c r="V12" i="47" s="1"/>
  <c r="AX65" i="66"/>
  <c r="P35" i="66"/>
  <c r="O35" i="66" s="1"/>
  <c r="X49" i="66"/>
  <c r="W49" i="66" s="1"/>
  <c r="K66" i="47"/>
  <c r="L66" i="47" s="1"/>
  <c r="BO23" i="66"/>
  <c r="BO12" i="66"/>
  <c r="BM9" i="66"/>
  <c r="DA9" i="66" s="1"/>
  <c r="AN53" i="66"/>
  <c r="AM53" i="66" s="1"/>
  <c r="AZ48" i="66"/>
  <c r="AY48" i="66" s="1"/>
  <c r="BH42" i="66"/>
  <c r="BG42" i="66" s="1"/>
  <c r="AB42" i="66"/>
  <c r="AA42" i="66" s="1"/>
  <c r="BD19" i="66"/>
  <c r="BC19" i="66" s="1"/>
  <c r="AN19" i="66"/>
  <c r="AM19" i="66" s="1"/>
  <c r="AZ18" i="66"/>
  <c r="AY18" i="66" s="1"/>
  <c r="P14" i="66"/>
  <c r="O14" i="66" s="1"/>
  <c r="T74" i="66"/>
  <c r="S74" i="66" s="1"/>
  <c r="AJ74" i="66"/>
  <c r="AI74" i="66" s="1"/>
  <c r="AZ74" i="66"/>
  <c r="AY74" i="66" s="1"/>
  <c r="AB77" i="66"/>
  <c r="AA77" i="66" s="1"/>
  <c r="BH77" i="66"/>
  <c r="BG77" i="66" s="1"/>
  <c r="P36" i="66"/>
  <c r="O36" i="66" s="1"/>
  <c r="AV47" i="66"/>
  <c r="AU47" i="66" s="1"/>
  <c r="AZ33" i="66"/>
  <c r="AY33" i="66" s="1"/>
  <c r="AZ41" i="66"/>
  <c r="AY41" i="66" s="1"/>
  <c r="X37" i="66"/>
  <c r="W37" i="66" s="1"/>
  <c r="AA66" i="47"/>
  <c r="BQ44" i="66"/>
  <c r="J44" i="66"/>
  <c r="BO43" i="66"/>
  <c r="BO38" i="66"/>
  <c r="DB38" i="66" s="1"/>
  <c r="BO32" i="66"/>
  <c r="DB32" i="66" s="1"/>
  <c r="BM31" i="66"/>
  <c r="BQ27" i="66"/>
  <c r="DC27" i="66" s="1"/>
  <c r="BK26" i="66"/>
  <c r="AZ32" i="66"/>
  <c r="AY32" i="66" s="1"/>
  <c r="P41" i="66"/>
  <c r="O41" i="66" s="1"/>
  <c r="T42" i="66"/>
  <c r="S42" i="66" s="1"/>
  <c r="AF53" i="66"/>
  <c r="AE53" i="66" s="1"/>
  <c r="AZ52" i="66"/>
  <c r="AY52" i="66" s="1"/>
  <c r="AF51" i="66"/>
  <c r="AE51" i="66" s="1"/>
  <c r="P51" i="66"/>
  <c r="O51" i="66" s="1"/>
  <c r="BD47" i="66"/>
  <c r="BC47" i="66" s="1"/>
  <c r="P43" i="66"/>
  <c r="O43" i="66" s="1"/>
  <c r="AF35" i="66"/>
  <c r="AE35" i="66" s="1"/>
  <c r="T34" i="66"/>
  <c r="S34" i="66" s="1"/>
  <c r="AB14" i="66"/>
  <c r="AA14" i="66" s="1"/>
  <c r="AB11" i="66"/>
  <c r="AA11" i="66" s="1"/>
  <c r="P23" i="66"/>
  <c r="O23" i="66" s="1"/>
  <c r="BD75" i="66"/>
  <c r="BC75" i="66" s="1"/>
  <c r="K58" i="47"/>
  <c r="L58" i="47" s="1"/>
  <c r="Z58" i="47"/>
  <c r="AB54" i="47"/>
  <c r="U27" i="47"/>
  <c r="U9" i="47" s="1"/>
  <c r="Z54" i="47"/>
  <c r="P27" i="47"/>
  <c r="P9" i="47" s="1"/>
  <c r="K54" i="47"/>
  <c r="L54" i="47" s="1"/>
  <c r="BD52" i="66"/>
  <c r="BC52" i="66" s="1"/>
  <c r="P46" i="66"/>
  <c r="O46" i="66" s="1"/>
  <c r="P44" i="66"/>
  <c r="O44" i="66" s="1"/>
  <c r="AZ49" i="66"/>
  <c r="AY49" i="66" s="1"/>
  <c r="BH47" i="66"/>
  <c r="BG47" i="66" s="1"/>
  <c r="BD42" i="66"/>
  <c r="BC42" i="66" s="1"/>
  <c r="AN42" i="66"/>
  <c r="AM42" i="66" s="1"/>
  <c r="T53" i="66"/>
  <c r="S53" i="66" s="1"/>
  <c r="AJ51" i="66"/>
  <c r="AI51" i="66" s="1"/>
  <c r="AB34" i="66"/>
  <c r="AA34" i="66" s="1"/>
  <c r="AR30" i="66"/>
  <c r="AQ30" i="66" s="1"/>
  <c r="AF28" i="66"/>
  <c r="AE28" i="66" s="1"/>
  <c r="AZ27" i="66"/>
  <c r="AY27" i="66" s="1"/>
  <c r="AN26" i="66"/>
  <c r="AM26" i="66" s="1"/>
  <c r="AF12" i="66"/>
  <c r="AE12" i="66" s="1"/>
  <c r="B24" i="58"/>
  <c r="AN74" i="66"/>
  <c r="AM74" i="66" s="1"/>
  <c r="AV77" i="66"/>
  <c r="AU77" i="66" s="1"/>
  <c r="T11" i="66"/>
  <c r="S11" i="66" s="1"/>
  <c r="BH30" i="66"/>
  <c r="BG30" i="66" s="1"/>
  <c r="AV7" i="66"/>
  <c r="AU7" i="66" s="1"/>
  <c r="BH34" i="66"/>
  <c r="BG34" i="66" s="1"/>
  <c r="AV12" i="66"/>
  <c r="AU12" i="66" s="1"/>
  <c r="AB9" i="66"/>
  <c r="AA9" i="66" s="1"/>
  <c r="AB8" i="66"/>
  <c r="AA8" i="66" s="1"/>
  <c r="X74" i="66"/>
  <c r="W74" i="66" s="1"/>
  <c r="BD74" i="66"/>
  <c r="BC74" i="66" s="1"/>
  <c r="AF77" i="66"/>
  <c r="AE77" i="66" s="1"/>
  <c r="BH8" i="66"/>
  <c r="BG8" i="66" s="1"/>
  <c r="P19" i="66"/>
  <c r="O19" i="66" s="1"/>
  <c r="AB74" i="66"/>
  <c r="AA74" i="66" s="1"/>
  <c r="BH74" i="66"/>
  <c r="BG74" i="66" s="1"/>
  <c r="T77" i="66"/>
  <c r="S77" i="66" s="1"/>
  <c r="AJ77" i="66"/>
  <c r="AI77" i="66" s="1"/>
  <c r="AZ77" i="66"/>
  <c r="AY77" i="66" s="1"/>
  <c r="BO69" i="66"/>
  <c r="BM60" i="66"/>
  <c r="BK53" i="66"/>
  <c r="BO52" i="66"/>
  <c r="BM51" i="66"/>
  <c r="DA51" i="66" s="1"/>
  <c r="BK64" i="66"/>
  <c r="BO49" i="66"/>
  <c r="BK48" i="66"/>
  <c r="CZ48" i="66" s="1"/>
  <c r="BQ47" i="66"/>
  <c r="BD49" i="66"/>
  <c r="BC49" i="66" s="1"/>
  <c r="P48" i="66"/>
  <c r="O48" i="66" s="1"/>
  <c r="X10" i="66"/>
  <c r="W10" i="66" s="1"/>
  <c r="AN49" i="66"/>
  <c r="AM49" i="66" s="1"/>
  <c r="AB48" i="66"/>
  <c r="AA48" i="66" s="1"/>
  <c r="BH44" i="66"/>
  <c r="BG44" i="66" s="1"/>
  <c r="AB37" i="66"/>
  <c r="AA37" i="66" s="1"/>
  <c r="AV35" i="66"/>
  <c r="AU35" i="66" s="1"/>
  <c r="AR34" i="66"/>
  <c r="AQ34" i="66" s="1"/>
  <c r="AZ23" i="66"/>
  <c r="AY23" i="66" s="1"/>
  <c r="AR13" i="66"/>
  <c r="AQ13" i="66" s="1"/>
  <c r="AJ10" i="66"/>
  <c r="AI10" i="66" s="1"/>
  <c r="BD78" i="66"/>
  <c r="BC78" i="66" s="1"/>
  <c r="BO45" i="66"/>
  <c r="Y26" i="47"/>
  <c r="Y8" i="47" s="1"/>
  <c r="BD51" i="66"/>
  <c r="BC51" i="66" s="1"/>
  <c r="AF44" i="66"/>
  <c r="AE44" i="66" s="1"/>
  <c r="BO9" i="66"/>
  <c r="DB9" i="66" s="1"/>
  <c r="BQ8" i="66"/>
  <c r="DC8" i="66" s="1"/>
  <c r="T52" i="66"/>
  <c r="S52" i="66" s="1"/>
  <c r="T49" i="66"/>
  <c r="S49" i="66" s="1"/>
  <c r="AF47" i="66"/>
  <c r="AE47" i="66" s="1"/>
  <c r="P47" i="66"/>
  <c r="O47" i="66" s="1"/>
  <c r="AJ33" i="66"/>
  <c r="AI33" i="66" s="1"/>
  <c r="AR32" i="66"/>
  <c r="AQ32" i="66" s="1"/>
  <c r="AN31" i="66"/>
  <c r="AM31" i="66" s="1"/>
  <c r="AV19" i="66"/>
  <c r="AU19" i="66" s="1"/>
  <c r="AN18" i="66"/>
  <c r="AM18" i="66" s="1"/>
  <c r="BH11" i="66"/>
  <c r="BG11" i="66" s="1"/>
  <c r="AN7" i="66"/>
  <c r="AM7" i="66" s="1"/>
  <c r="Y47" i="48"/>
  <c r="V47" i="48"/>
  <c r="S47" i="48"/>
  <c r="AR10" i="66"/>
  <c r="AQ10" i="66" s="1"/>
  <c r="AR11" i="66"/>
  <c r="AQ11" i="66" s="1"/>
  <c r="X31" i="66"/>
  <c r="W31" i="66" s="1"/>
  <c r="AF29" i="66"/>
  <c r="AE29" i="66" s="1"/>
  <c r="AN14" i="66"/>
  <c r="AM14" i="66" s="1"/>
  <c r="BD36" i="66"/>
  <c r="BC36" i="66" s="1"/>
  <c r="AZ42" i="66"/>
  <c r="AY42" i="66" s="1"/>
  <c r="P53" i="66"/>
  <c r="O53" i="66" s="1"/>
  <c r="X41" i="66"/>
  <c r="W41" i="66" s="1"/>
  <c r="AJ36" i="66"/>
  <c r="AI36" i="66" s="1"/>
  <c r="AR52" i="66"/>
  <c r="AQ52" i="66" s="1"/>
  <c r="AR47" i="66"/>
  <c r="AQ47" i="66" s="1"/>
  <c r="AB46" i="66"/>
  <c r="AA46" i="66" s="1"/>
  <c r="AF45" i="66"/>
  <c r="AE45" i="66" s="1"/>
  <c r="P45" i="66"/>
  <c r="O45" i="66" s="1"/>
  <c r="AJ37" i="66"/>
  <c r="AI37" i="66" s="1"/>
  <c r="P37" i="66"/>
  <c r="O37" i="66" s="1"/>
  <c r="AB30" i="66"/>
  <c r="AA30" i="66" s="1"/>
  <c r="AN27" i="66"/>
  <c r="AM27" i="66" s="1"/>
  <c r="X27" i="66"/>
  <c r="W27" i="66" s="1"/>
  <c r="P21" i="66"/>
  <c r="O21" i="66" s="1"/>
  <c r="T20" i="66"/>
  <c r="S20" i="66" s="1"/>
  <c r="AR9" i="66"/>
  <c r="AQ9" i="66" s="1"/>
  <c r="B24" i="57"/>
  <c r="BU24" i="57" s="1"/>
  <c r="P27" i="66"/>
  <c r="O27" i="66" s="1"/>
  <c r="AN35" i="66"/>
  <c r="AM35" i="66" s="1"/>
  <c r="AJ44" i="66"/>
  <c r="AI44" i="66" s="1"/>
  <c r="BD35" i="66"/>
  <c r="BC35" i="66" s="1"/>
  <c r="X53" i="66"/>
  <c r="W53" i="66" s="1"/>
  <c r="AR37" i="66"/>
  <c r="AQ37" i="66" s="1"/>
  <c r="AJ52" i="66"/>
  <c r="AI52" i="66" s="1"/>
  <c r="AV53" i="66"/>
  <c r="AU53" i="66" s="1"/>
  <c r="BK12" i="66"/>
  <c r="AA50" i="47"/>
  <c r="AA46" i="47"/>
  <c r="Q31" i="47"/>
  <c r="Q13" i="47" s="1"/>
  <c r="BQ23" i="66"/>
  <c r="W27" i="47"/>
  <c r="W9" i="47" s="1"/>
  <c r="P33" i="66"/>
  <c r="O33" i="66" s="1"/>
  <c r="AB20" i="66"/>
  <c r="AA20" i="66" s="1"/>
  <c r="F61" i="60"/>
  <c r="BO46" i="66"/>
  <c r="BK46" i="66"/>
  <c r="BM27" i="66"/>
  <c r="DA27" i="66" s="1"/>
  <c r="BO7" i="66"/>
  <c r="DB7" i="66" s="1"/>
  <c r="AR41" i="66"/>
  <c r="AQ41" i="66" s="1"/>
  <c r="P40" i="66"/>
  <c r="O40" i="66" s="1"/>
  <c r="AZ20" i="66"/>
  <c r="AY20" i="66" s="1"/>
  <c r="AB13" i="66"/>
  <c r="AA13" i="66" s="1"/>
  <c r="BO30" i="66"/>
  <c r="BM7" i="66"/>
  <c r="DA7" i="66" s="1"/>
  <c r="AV41" i="66"/>
  <c r="AU41" i="66" s="1"/>
  <c r="BD34" i="66"/>
  <c r="BC34" i="66" s="1"/>
  <c r="X26" i="66"/>
  <c r="W26" i="66" s="1"/>
  <c r="T23" i="66"/>
  <c r="S23" i="66" s="1"/>
  <c r="AB19" i="66"/>
  <c r="AA19" i="66" s="1"/>
  <c r="AZ14" i="66"/>
  <c r="AY14" i="66" s="1"/>
  <c r="AZ9" i="66"/>
  <c r="AY9" i="66" s="1"/>
  <c r="BM48" i="66"/>
  <c r="DA48" i="66" s="1"/>
  <c r="AJ42" i="66"/>
  <c r="AI42" i="66" s="1"/>
  <c r="R31" i="47"/>
  <c r="R13" i="47" s="1"/>
  <c r="T27" i="47"/>
  <c r="T9" i="47" s="1"/>
  <c r="BM46" i="66"/>
  <c r="BO36" i="66"/>
  <c r="DB36" i="66" s="1"/>
  <c r="BK34" i="66"/>
  <c r="BQ33" i="66"/>
  <c r="DC33" i="66" s="1"/>
  <c r="BK32" i="66"/>
  <c r="CZ32" i="66" s="1"/>
  <c r="BO31" i="66"/>
  <c r="BK14" i="66"/>
  <c r="BK10" i="66"/>
  <c r="CZ10" i="66" s="1"/>
  <c r="BD41" i="66"/>
  <c r="BC41" i="66" s="1"/>
  <c r="AF40" i="66"/>
  <c r="AE40" i="66" s="1"/>
  <c r="BH12" i="66"/>
  <c r="BG12" i="66" s="1"/>
  <c r="BD29" i="66"/>
  <c r="BC29" i="66" s="1"/>
  <c r="X29" i="66"/>
  <c r="W29" i="66" s="1"/>
  <c r="AJ27" i="66"/>
  <c r="AI27" i="66" s="1"/>
  <c r="AF13" i="66"/>
  <c r="AE13" i="66" s="1"/>
  <c r="AZ12" i="66"/>
  <c r="AY12" i="66" s="1"/>
  <c r="P12" i="66"/>
  <c r="O12" i="66" s="1"/>
  <c r="R26" i="47"/>
  <c r="R8" i="47" s="1"/>
  <c r="BH28" i="66"/>
  <c r="BG28" i="66" s="1"/>
  <c r="AV18" i="66"/>
  <c r="AU18" i="66" s="1"/>
  <c r="X43" i="66"/>
  <c r="W43" i="66" s="1"/>
  <c r="AN8" i="66"/>
  <c r="AM8" i="66" s="1"/>
  <c r="BH21" i="66"/>
  <c r="BG21" i="66" s="1"/>
  <c r="X28" i="66"/>
  <c r="W28" i="66" s="1"/>
  <c r="AJ53" i="66"/>
  <c r="AI53" i="66" s="1"/>
  <c r="AN52" i="66"/>
  <c r="AM52" i="66" s="1"/>
  <c r="X52" i="66"/>
  <c r="W52" i="66" s="1"/>
  <c r="AR49" i="66"/>
  <c r="AQ49" i="66" s="1"/>
  <c r="T48" i="66"/>
  <c r="S48" i="66" s="1"/>
  <c r="AR46" i="66"/>
  <c r="AQ46" i="66" s="1"/>
  <c r="X46" i="66"/>
  <c r="W46" i="66" s="1"/>
  <c r="AR36" i="66"/>
  <c r="AQ36" i="66" s="1"/>
  <c r="AB36" i="66"/>
  <c r="AA36" i="66" s="1"/>
  <c r="AB31" i="66"/>
  <c r="AA31" i="66" s="1"/>
  <c r="AV30" i="66"/>
  <c r="AU30" i="66" s="1"/>
  <c r="AF30" i="66"/>
  <c r="AE30" i="66" s="1"/>
  <c r="AZ29" i="66"/>
  <c r="AY29" i="66" s="1"/>
  <c r="AJ29" i="66"/>
  <c r="AI29" i="66" s="1"/>
  <c r="T29" i="66"/>
  <c r="S29" i="66" s="1"/>
  <c r="BD28" i="66"/>
  <c r="BC28" i="66" s="1"/>
  <c r="T28" i="66"/>
  <c r="S28" i="66" s="1"/>
  <c r="T30" i="66"/>
  <c r="S30" i="66" s="1"/>
  <c r="AN29" i="66"/>
  <c r="AM29" i="66" s="1"/>
  <c r="AR28" i="66"/>
  <c r="AQ28" i="66" s="1"/>
  <c r="BD27" i="66"/>
  <c r="BC27" i="66" s="1"/>
  <c r="T27" i="66"/>
  <c r="S27" i="66" s="1"/>
  <c r="AN20" i="66"/>
  <c r="AM20" i="66" s="1"/>
  <c r="BH19" i="66"/>
  <c r="BG19" i="66" s="1"/>
  <c r="AF18" i="66"/>
  <c r="AE18" i="66" s="1"/>
  <c r="AF14" i="66"/>
  <c r="AE14" i="66" s="1"/>
  <c r="P13" i="66"/>
  <c r="O13" i="66" s="1"/>
  <c r="AJ12" i="66"/>
  <c r="AI12" i="66" s="1"/>
  <c r="AF10" i="66"/>
  <c r="AE10" i="66" s="1"/>
  <c r="X8" i="66"/>
  <c r="W8" i="66" s="1"/>
  <c r="BH7" i="66"/>
  <c r="BG7" i="66" s="1"/>
  <c r="AB7" i="66"/>
  <c r="AA7" i="66" s="1"/>
  <c r="AR7" i="66"/>
  <c r="AQ7" i="66" s="1"/>
  <c r="P18" i="66"/>
  <c r="O18" i="66" s="1"/>
  <c r="AJ23" i="66"/>
  <c r="AI23" i="66" s="1"/>
  <c r="BD8" i="66"/>
  <c r="BC8" i="66" s="1"/>
  <c r="AP61" i="66"/>
  <c r="Z61" i="66"/>
  <c r="J69" i="66"/>
  <c r="BK28" i="66"/>
  <c r="J28" i="66"/>
  <c r="BK11" i="66"/>
  <c r="AV49" i="66"/>
  <c r="AU49" i="66" s="1"/>
  <c r="AN44" i="66"/>
  <c r="AM44" i="66" s="1"/>
  <c r="BD43" i="66"/>
  <c r="BC43" i="66" s="1"/>
  <c r="P11" i="66"/>
  <c r="O11" i="66" s="1"/>
  <c r="AJ46" i="66"/>
  <c r="AI46" i="66" s="1"/>
  <c r="AB21" i="66"/>
  <c r="AA21" i="66" s="1"/>
  <c r="AR43" i="66"/>
  <c r="AQ43" i="66" s="1"/>
  <c r="T41" i="66"/>
  <c r="S41" i="66" s="1"/>
  <c r="BQ48" i="66"/>
  <c r="DC48" i="66" s="1"/>
  <c r="AJ14" i="66"/>
  <c r="AI14" i="66" s="1"/>
  <c r="AB42" i="47"/>
  <c r="BX56" i="66"/>
  <c r="BO53" i="66"/>
  <c r="BK51" i="66"/>
  <c r="CZ51" i="66" s="1"/>
  <c r="BO42" i="66"/>
  <c r="BM41" i="66"/>
  <c r="BK40" i="66"/>
  <c r="CZ40" i="66" s="1"/>
  <c r="BQ38" i="66"/>
  <c r="DC38" i="66" s="1"/>
  <c r="BM38" i="66"/>
  <c r="DA38" i="66" s="1"/>
  <c r="BO21" i="66"/>
  <c r="BQ18" i="66"/>
  <c r="BO14" i="66"/>
  <c r="BM13" i="66"/>
  <c r="AJ41" i="66"/>
  <c r="AI41" i="66" s="1"/>
  <c r="B64" i="60"/>
  <c r="BH64" i="60" s="1"/>
  <c r="B27" i="60"/>
  <c r="BH27" i="60" s="1"/>
  <c r="B26" i="60"/>
  <c r="BH26" i="60" s="1"/>
  <c r="BD39" i="66"/>
  <c r="BC39" i="66" s="1"/>
  <c r="X45" i="66"/>
  <c r="W45" i="66" s="1"/>
  <c r="AJ28" i="66"/>
  <c r="AI28" i="66" s="1"/>
  <c r="AV14" i="66"/>
  <c r="AU14" i="66" s="1"/>
  <c r="AV27" i="66"/>
  <c r="AU27" i="66" s="1"/>
  <c r="AV46" i="66"/>
  <c r="AU46" i="66" s="1"/>
  <c r="BH60" i="66"/>
  <c r="BG60" i="66" s="1"/>
  <c r="Z61" i="56"/>
  <c r="J53" i="66"/>
  <c r="X40" i="66"/>
  <c r="W40" i="66" s="1"/>
  <c r="AV56" i="66"/>
  <c r="AU56" i="66" s="1"/>
  <c r="BX42" i="66"/>
  <c r="AT54" i="66"/>
  <c r="AN39" i="66"/>
  <c r="AM39" i="66" s="1"/>
  <c r="X56" i="66"/>
  <c r="W56" i="66" s="1"/>
  <c r="AJ56" i="66"/>
  <c r="AI56" i="66" s="1"/>
  <c r="P40" i="47"/>
  <c r="U31" i="47"/>
  <c r="BK69" i="66"/>
  <c r="BX49" i="66"/>
  <c r="BM35" i="66"/>
  <c r="J35" i="66"/>
  <c r="Z54" i="66"/>
  <c r="J29" i="66"/>
  <c r="BX29" i="66"/>
  <c r="AH54" i="66"/>
  <c r="BX27" i="66"/>
  <c r="R54" i="66"/>
  <c r="AR60" i="66"/>
  <c r="AQ60" i="66" s="1"/>
  <c r="AB60" i="66"/>
  <c r="AA60" i="66" s="1"/>
  <c r="BH58" i="66"/>
  <c r="BG58" i="66" s="1"/>
  <c r="AR58" i="66"/>
  <c r="X58" i="66"/>
  <c r="W58" i="66" s="1"/>
  <c r="AV33" i="66"/>
  <c r="AU33" i="66" s="1"/>
  <c r="J6" i="66"/>
  <c r="S40" i="48"/>
  <c r="AF56" i="66"/>
  <c r="AE56" i="66" s="1"/>
  <c r="AZ64" i="66"/>
  <c r="AF50" i="66"/>
  <c r="AE50" i="66" s="1"/>
  <c r="AF49" i="66"/>
  <c r="AE49" i="66" s="1"/>
  <c r="AB43" i="66"/>
  <c r="AA43" i="66" s="1"/>
  <c r="AF42" i="66"/>
  <c r="AE42" i="66" s="1"/>
  <c r="AN37" i="66"/>
  <c r="AM37" i="66" s="1"/>
  <c r="T37" i="66"/>
  <c r="S37" i="66" s="1"/>
  <c r="P52" i="66"/>
  <c r="T51" i="66"/>
  <c r="S51" i="66" s="1"/>
  <c r="AF36" i="66"/>
  <c r="AE36" i="66" s="1"/>
  <c r="BH23" i="66"/>
  <c r="BG23" i="66" s="1"/>
  <c r="AV22" i="66"/>
  <c r="AU22" i="66" s="1"/>
  <c r="AZ21" i="66"/>
  <c r="AY21" i="66" s="1"/>
  <c r="BD63" i="66"/>
  <c r="AN63" i="66"/>
  <c r="X63" i="66"/>
  <c r="AV20" i="66"/>
  <c r="AU20" i="66" s="1"/>
  <c r="P20" i="66"/>
  <c r="O20" i="66" s="1"/>
  <c r="AR12" i="66"/>
  <c r="AQ12" i="66" s="1"/>
  <c r="AB12" i="66"/>
  <c r="BD10" i="66"/>
  <c r="BC10" i="66" s="1"/>
  <c r="AN10" i="66"/>
  <c r="AM10" i="66" s="1"/>
  <c r="BH9" i="66"/>
  <c r="BG9" i="66" s="1"/>
  <c r="AV8" i="66"/>
  <c r="AZ7" i="66"/>
  <c r="AY7" i="66" s="1"/>
  <c r="T7" i="66"/>
  <c r="P67" i="56"/>
  <c r="P71" i="56" s="1"/>
  <c r="Q36" i="47"/>
  <c r="AF67" i="56"/>
  <c r="AF71" i="56" s="1"/>
  <c r="U36" i="47"/>
  <c r="U39" i="47" s="1"/>
  <c r="U43" i="47" s="1"/>
  <c r="AV67" i="56"/>
  <c r="Y36" i="47"/>
  <c r="Y39" i="47" s="1"/>
  <c r="Y43" i="47" s="1"/>
  <c r="X13" i="66"/>
  <c r="W13" i="66" s="1"/>
  <c r="BM43" i="66"/>
  <c r="BQ21" i="66"/>
  <c r="BM21" i="66"/>
  <c r="BM20" i="66"/>
  <c r="BX19" i="66"/>
  <c r="BK18" i="66"/>
  <c r="BQ14" i="66"/>
  <c r="BO13" i="66"/>
  <c r="BO10" i="66"/>
  <c r="AC37" i="47"/>
  <c r="BH13" i="66"/>
  <c r="BG13" i="66" s="1"/>
  <c r="BQ51" i="66"/>
  <c r="DC51" i="66" s="1"/>
  <c r="BO51" i="66"/>
  <c r="DB51" i="66" s="1"/>
  <c r="BM30" i="66"/>
  <c r="BO28" i="66"/>
  <c r="BM22" i="66"/>
  <c r="X22" i="66"/>
  <c r="AB6" i="66"/>
  <c r="H67" i="56"/>
  <c r="H71" i="56" s="1"/>
  <c r="X67" i="56"/>
  <c r="X71" i="56" s="1"/>
  <c r="AR67" i="56"/>
  <c r="X36" i="47"/>
  <c r="X39" i="47" s="1"/>
  <c r="X43" i="47" s="1"/>
  <c r="BO60" i="66"/>
  <c r="BF61" i="66"/>
  <c r="BO57" i="66"/>
  <c r="BK57" i="66"/>
  <c r="BO56" i="66"/>
  <c r="BQ53" i="66"/>
  <c r="BM53" i="66"/>
  <c r="BO47" i="66"/>
  <c r="BM47" i="66"/>
  <c r="BM45" i="66"/>
  <c r="BK45" i="66"/>
  <c r="BK44" i="66"/>
  <c r="BQ43" i="66"/>
  <c r="BM42" i="66"/>
  <c r="BO41" i="66"/>
  <c r="BK41" i="66"/>
  <c r="BQ40" i="66"/>
  <c r="DC40" i="66" s="1"/>
  <c r="BO40" i="66"/>
  <c r="DB40" i="66" s="1"/>
  <c r="BQ37" i="66"/>
  <c r="DC37" i="66" s="1"/>
  <c r="BO37" i="66"/>
  <c r="DB37" i="66" s="1"/>
  <c r="BM37" i="66"/>
  <c r="DA37" i="66" s="1"/>
  <c r="BM36" i="66"/>
  <c r="DA36" i="66" s="1"/>
  <c r="BO35" i="66"/>
  <c r="BO34" i="66"/>
  <c r="BM34" i="66"/>
  <c r="BO33" i="66"/>
  <c r="DB33" i="66" s="1"/>
  <c r="BM33" i="66"/>
  <c r="DA33" i="66" s="1"/>
  <c r="BK33" i="66"/>
  <c r="BM32" i="66"/>
  <c r="DA32" i="66" s="1"/>
  <c r="BQ31" i="66"/>
  <c r="BM28" i="66"/>
  <c r="BO27" i="66"/>
  <c r="DB27" i="66" s="1"/>
  <c r="BO22" i="66"/>
  <c r="BO20" i="66"/>
  <c r="BO19" i="66"/>
  <c r="BM19" i="66"/>
  <c r="BM18" i="66"/>
  <c r="BK7" i="66"/>
  <c r="CZ7" i="66" s="1"/>
  <c r="B24" i="56"/>
  <c r="BU24" i="56" s="1"/>
  <c r="T67" i="56"/>
  <c r="T71" i="56" s="1"/>
  <c r="AJ67" i="56"/>
  <c r="AJ71" i="56" s="1"/>
  <c r="BO50" i="66"/>
  <c r="BM49" i="66"/>
  <c r="BK30" i="66"/>
  <c r="BO29" i="66"/>
  <c r="P59" i="66"/>
  <c r="O59" i="66" s="1"/>
  <c r="AF59" i="66"/>
  <c r="AE59" i="66" s="1"/>
  <c r="Z79" i="56"/>
  <c r="L67" i="56"/>
  <c r="L71" i="56" s="1"/>
  <c r="AB67" i="56"/>
  <c r="AB71" i="56" s="1"/>
  <c r="AN67" i="56"/>
  <c r="AN71" i="56" s="1"/>
  <c r="W31" i="47"/>
  <c r="W13" i="47" s="1"/>
  <c r="AC42" i="47"/>
  <c r="BO63" i="66"/>
  <c r="AT65" i="66"/>
  <c r="AZ53" i="66"/>
  <c r="AY53" i="66" s="1"/>
  <c r="BD45" i="66"/>
  <c r="BC45" i="66" s="1"/>
  <c r="AZ44" i="66"/>
  <c r="AY44" i="66" s="1"/>
  <c r="AV43" i="66"/>
  <c r="AU43" i="66" s="1"/>
  <c r="AR42" i="66"/>
  <c r="AQ42" i="66" s="1"/>
  <c r="T36" i="66"/>
  <c r="S36" i="66" s="1"/>
  <c r="AB35" i="66"/>
  <c r="AA35" i="66" s="1"/>
  <c r="P34" i="66"/>
  <c r="O34" i="66" s="1"/>
  <c r="BD32" i="66"/>
  <c r="BC32" i="66" s="1"/>
  <c r="AF31" i="66"/>
  <c r="AE31" i="66" s="1"/>
  <c r="AZ30" i="66"/>
  <c r="AY30" i="66" s="1"/>
  <c r="AR29" i="66"/>
  <c r="AQ29" i="66" s="1"/>
  <c r="AV28" i="66"/>
  <c r="AU28" i="66" s="1"/>
  <c r="AJ30" i="66"/>
  <c r="AI30" i="66" s="1"/>
  <c r="BX21" i="66"/>
  <c r="BH37" i="66"/>
  <c r="BG37" i="66" s="1"/>
  <c r="BK22" i="66"/>
  <c r="J63" i="66"/>
  <c r="BK20" i="66"/>
  <c r="BX20" i="66"/>
  <c r="BM14" i="66"/>
  <c r="BX14" i="66"/>
  <c r="BX12" i="66"/>
  <c r="AF46" i="66"/>
  <c r="AE46" i="66" s="1"/>
  <c r="T45" i="66"/>
  <c r="S45" i="66" s="1"/>
  <c r="AV37" i="66"/>
  <c r="AU37" i="66" s="1"/>
  <c r="AF37" i="66"/>
  <c r="AE37" i="66" s="1"/>
  <c r="AN36" i="66"/>
  <c r="AM36" i="66" s="1"/>
  <c r="AJ34" i="66"/>
  <c r="AI34" i="66" s="1"/>
  <c r="AJ32" i="66"/>
  <c r="AI32" i="66" s="1"/>
  <c r="BD31" i="66"/>
  <c r="P31" i="66"/>
  <c r="O31" i="66" s="1"/>
  <c r="X30" i="66"/>
  <c r="W30" i="66" s="1"/>
  <c r="BH29" i="66"/>
  <c r="BG29" i="66" s="1"/>
  <c r="AB29" i="66"/>
  <c r="AA29" i="66" s="1"/>
  <c r="AF26" i="66"/>
  <c r="AE26" i="66" s="1"/>
  <c r="V54" i="56"/>
  <c r="AB38" i="47"/>
  <c r="J14" i="66"/>
  <c r="V27" i="47"/>
  <c r="V9" i="47" s="1"/>
  <c r="J48" i="66"/>
  <c r="BO48" i="66"/>
  <c r="BX48" i="66"/>
  <c r="X47" i="66"/>
  <c r="W47" i="66" s="1"/>
  <c r="S31" i="47"/>
  <c r="AA42" i="47"/>
  <c r="K42" i="47"/>
  <c r="L42" i="47" s="1"/>
  <c r="O31" i="47"/>
  <c r="O13" i="47" s="1"/>
  <c r="Z42" i="47"/>
  <c r="K38" i="47"/>
  <c r="L38" i="47" s="1"/>
  <c r="N27" i="47"/>
  <c r="Z38" i="47"/>
  <c r="BM63" i="66"/>
  <c r="AD65" i="66"/>
  <c r="BK6" i="66"/>
  <c r="CZ6" i="66" s="1"/>
  <c r="Z37" i="47"/>
  <c r="K37" i="47"/>
  <c r="L37" i="47" s="1"/>
  <c r="P26" i="47"/>
  <c r="P8" i="47" s="1"/>
  <c r="T47" i="66"/>
  <c r="AB44" i="66"/>
  <c r="AA44" i="66" s="1"/>
  <c r="AF43" i="66"/>
  <c r="X42" i="66"/>
  <c r="W42" i="66" s="1"/>
  <c r="AF41" i="66"/>
  <c r="T40" i="66"/>
  <c r="S40" i="66" s="1"/>
  <c r="AZ36" i="66"/>
  <c r="AY36" i="66" s="1"/>
  <c r="AZ35" i="66"/>
  <c r="AY35" i="66" s="1"/>
  <c r="AV34" i="66"/>
  <c r="AU34" i="66" s="1"/>
  <c r="AR33" i="66"/>
  <c r="T32" i="66"/>
  <c r="S32" i="66" s="1"/>
  <c r="AB28" i="66"/>
  <c r="AB27" i="66"/>
  <c r="AA27" i="66" s="1"/>
  <c r="O39" i="47"/>
  <c r="O43" i="47" s="1"/>
  <c r="P26" i="66"/>
  <c r="O26" i="66" s="1"/>
  <c r="N65" i="66"/>
  <c r="AB33" i="66"/>
  <c r="AA33" i="66" s="1"/>
  <c r="AV26" i="66"/>
  <c r="AU26" i="66" s="1"/>
  <c r="AV11" i="66"/>
  <c r="AU11" i="66" s="1"/>
  <c r="AV31" i="66"/>
  <c r="AU31" i="66" s="1"/>
  <c r="AJ13" i="66"/>
  <c r="AI13" i="66" s="1"/>
  <c r="AJ40" i="66"/>
  <c r="AI40" i="66" s="1"/>
  <c r="BO58" i="66"/>
  <c r="BX58" i="66"/>
  <c r="AD61" i="66"/>
  <c r="J52" i="66"/>
  <c r="BK52" i="66"/>
  <c r="BX46" i="66"/>
  <c r="BO44" i="66"/>
  <c r="BK36" i="66"/>
  <c r="CZ36" i="66" s="1"/>
  <c r="BX36" i="66"/>
  <c r="AA37" i="47"/>
  <c r="BD53" i="66"/>
  <c r="BC53" i="66" s="1"/>
  <c r="BD30" i="66"/>
  <c r="BC30" i="66" s="1"/>
  <c r="AN30" i="66"/>
  <c r="AM30" i="66" s="1"/>
  <c r="P29" i="66"/>
  <c r="P28" i="66"/>
  <c r="O28" i="66" s="1"/>
  <c r="AR27" i="66"/>
  <c r="AQ27" i="66" s="1"/>
  <c r="AF27" i="66"/>
  <c r="AJ26" i="66"/>
  <c r="AI26" i="66" s="1"/>
  <c r="Z54" i="56"/>
  <c r="T26" i="66"/>
  <c r="S26" i="66" s="1"/>
  <c r="AN23" i="66"/>
  <c r="AM23" i="66" s="1"/>
  <c r="X23" i="66"/>
  <c r="W23" i="66" s="1"/>
  <c r="BH20" i="66"/>
  <c r="BG20" i="66" s="1"/>
  <c r="AR20" i="66"/>
  <c r="AQ20" i="66" s="1"/>
  <c r="AF19" i="66"/>
  <c r="AJ18" i="66"/>
  <c r="AI18" i="66" s="1"/>
  <c r="T18" i="66"/>
  <c r="S18" i="66" s="1"/>
  <c r="BD14" i="66"/>
  <c r="BC14" i="66" s="1"/>
  <c r="T14" i="66"/>
  <c r="S14" i="66" s="1"/>
  <c r="BD13" i="66"/>
  <c r="BC13" i="66" s="1"/>
  <c r="T13" i="66"/>
  <c r="S13" i="66" s="1"/>
  <c r="BF54" i="66"/>
  <c r="BM23" i="66"/>
  <c r="AJ35" i="66"/>
  <c r="AI35" i="66" s="1"/>
  <c r="AZ11" i="66"/>
  <c r="AY11" i="66" s="1"/>
  <c r="AF11" i="66"/>
  <c r="AZ10" i="66"/>
  <c r="AY10" i="66" s="1"/>
  <c r="T10" i="66"/>
  <c r="BD9" i="66"/>
  <c r="AF7" i="66"/>
  <c r="AE7" i="66" s="1"/>
  <c r="P7" i="66"/>
  <c r="O7" i="66" s="1"/>
  <c r="BH51" i="66"/>
  <c r="BG51" i="66" s="1"/>
  <c r="J51" i="66"/>
  <c r="BM69" i="66"/>
  <c r="AH61" i="66"/>
  <c r="V61" i="66"/>
  <c r="BM52" i="66"/>
  <c r="BQ45" i="66"/>
  <c r="BO11" i="66"/>
  <c r="BM11" i="66"/>
  <c r="BM10" i="66"/>
  <c r="BK9" i="66"/>
  <c r="CZ9" i="66" s="1"/>
  <c r="AB51" i="66"/>
  <c r="AA51" i="66" s="1"/>
  <c r="BH49" i="66"/>
  <c r="BG49" i="66" s="1"/>
  <c r="AZ45" i="66"/>
  <c r="AY45" i="66" s="1"/>
  <c r="AV36" i="66"/>
  <c r="AU36" i="66" s="1"/>
  <c r="AZ31" i="66"/>
  <c r="AY31" i="66" s="1"/>
  <c r="R24" i="60"/>
  <c r="BM39" i="66"/>
  <c r="BO64" i="66"/>
  <c r="BM50" i="66"/>
  <c r="BK50" i="66"/>
  <c r="BK21" i="66"/>
  <c r="J21" i="66"/>
  <c r="AJ11" i="66"/>
  <c r="AI11" i="66" s="1"/>
  <c r="BK8" i="66"/>
  <c r="CZ8" i="66" s="1"/>
  <c r="AP24" i="66"/>
  <c r="AT61" i="66"/>
  <c r="AJ24" i="60"/>
  <c r="BO39" i="66"/>
  <c r="J77" i="66"/>
  <c r="BM75" i="66"/>
  <c r="J78" i="66"/>
  <c r="AT24" i="66"/>
  <c r="BO8" i="66"/>
  <c r="DB8" i="66" s="1"/>
  <c r="AD24" i="66"/>
  <c r="BM8" i="66"/>
  <c r="DA8" i="66" s="1"/>
  <c r="BQ7" i="66"/>
  <c r="DC7" i="66" s="1"/>
  <c r="BX7" i="66"/>
  <c r="J7" i="66"/>
  <c r="BQ6" i="66"/>
  <c r="DC6" i="66" s="1"/>
  <c r="BF24" i="66"/>
  <c r="BM6" i="66"/>
  <c r="DA6" i="66" s="1"/>
  <c r="Z24" i="66"/>
  <c r="F24" i="66"/>
  <c r="C67" i="66"/>
  <c r="C71" i="66" s="1"/>
  <c r="N24" i="66"/>
  <c r="BX44" i="66"/>
  <c r="BX8" i="66"/>
  <c r="BQ42" i="66"/>
  <c r="J8" i="66"/>
  <c r="BO6" i="66"/>
  <c r="DB6" i="66" s="1"/>
  <c r="BX60" i="66"/>
  <c r="BK60" i="66"/>
  <c r="J60" i="66"/>
  <c r="N61" i="66"/>
  <c r="BM58" i="66"/>
  <c r="J58" i="66"/>
  <c r="BK58" i="66"/>
  <c r="R61" i="66"/>
  <c r="BM57" i="66"/>
  <c r="BX57" i="66"/>
  <c r="BQ56" i="66"/>
  <c r="AX61" i="66"/>
  <c r="BM56" i="66"/>
  <c r="BK56" i="66"/>
  <c r="J56" i="66"/>
  <c r="BX53" i="66"/>
  <c r="BX52" i="66"/>
  <c r="BX51" i="66"/>
  <c r="BM64" i="66"/>
  <c r="Z65" i="66"/>
  <c r="J49" i="66"/>
  <c r="BK49" i="66"/>
  <c r="J46" i="66"/>
  <c r="BX43" i="66"/>
  <c r="J43" i="66"/>
  <c r="BK43" i="66"/>
  <c r="J42" i="66"/>
  <c r="BK42" i="66"/>
  <c r="BM40" i="66"/>
  <c r="DA40" i="66" s="1"/>
  <c r="BX40" i="66"/>
  <c r="BX38" i="66"/>
  <c r="BK38" i="66"/>
  <c r="CZ38" i="66" s="1"/>
  <c r="J38" i="66"/>
  <c r="BK37" i="66"/>
  <c r="CZ37" i="66" s="1"/>
  <c r="BX37" i="66"/>
  <c r="J37" i="66"/>
  <c r="BK35" i="66"/>
  <c r="BX35" i="66"/>
  <c r="BX33" i="66"/>
  <c r="J33" i="66"/>
  <c r="BK31" i="66"/>
  <c r="J31" i="66"/>
  <c r="N54" i="66"/>
  <c r="BX31" i="66"/>
  <c r="BX30" i="66"/>
  <c r="J30" i="66"/>
  <c r="BK27" i="66"/>
  <c r="J27" i="66"/>
  <c r="BO26" i="66"/>
  <c r="BK23" i="66"/>
  <c r="J23" i="66"/>
  <c r="BX23" i="66"/>
  <c r="CD23" i="66" s="1"/>
  <c r="BK63" i="66"/>
  <c r="BX63" i="66"/>
  <c r="J20" i="66"/>
  <c r="BO18" i="66"/>
  <c r="AL24" i="66"/>
  <c r="BK13" i="66"/>
  <c r="BX13" i="66"/>
  <c r="J12" i="66"/>
  <c r="R24" i="66"/>
  <c r="AX24" i="66"/>
  <c r="BQ58" i="66"/>
  <c r="BX64" i="66"/>
  <c r="BQ49" i="66"/>
  <c r="J47" i="66"/>
  <c r="BQ46" i="66"/>
  <c r="J40" i="66"/>
  <c r="BQ35" i="66"/>
  <c r="BQ30" i="66"/>
  <c r="BQ28" i="66"/>
  <c r="BX28" i="66"/>
  <c r="BQ20" i="66"/>
  <c r="BQ19" i="66"/>
  <c r="BK19" i="66"/>
  <c r="J19" i="66"/>
  <c r="BQ12" i="66"/>
  <c r="BM12" i="66"/>
  <c r="J10" i="66"/>
  <c r="BX6" i="66"/>
  <c r="V24" i="66"/>
  <c r="J75" i="66"/>
  <c r="AP54" i="66"/>
  <c r="AL54" i="66"/>
  <c r="AD54" i="66"/>
  <c r="BM29" i="66"/>
  <c r="AL61" i="66"/>
  <c r="AX54" i="66"/>
  <c r="AH24" i="66"/>
  <c r="BK29" i="66"/>
  <c r="B35" i="60"/>
  <c r="BH35" i="60" s="1"/>
  <c r="CA51" i="66"/>
  <c r="CA52" i="66"/>
  <c r="CA20" i="66"/>
  <c r="X65" i="60"/>
  <c r="CA21" i="66"/>
  <c r="X47" i="48"/>
  <c r="U47" i="48"/>
  <c r="R47" i="48"/>
  <c r="AC23" i="47"/>
  <c r="Z23" i="47"/>
  <c r="K23" i="47"/>
  <c r="P20" i="47"/>
  <c r="P24" i="47" s="1"/>
  <c r="X61" i="60"/>
  <c r="CA12" i="66"/>
  <c r="T47" i="48"/>
  <c r="P47" i="48"/>
  <c r="F24" i="60"/>
  <c r="BG54" i="55"/>
  <c r="AB18" i="48" s="1"/>
  <c r="AA61" i="60"/>
  <c r="C54" i="60"/>
  <c r="AG61" i="60"/>
  <c r="B48" i="60"/>
  <c r="BH48" i="60" s="1"/>
  <c r="B30" i="60"/>
  <c r="BH30" i="60" s="1"/>
  <c r="R54" i="60"/>
  <c r="I24" i="60"/>
  <c r="O24" i="60"/>
  <c r="C24" i="60"/>
  <c r="B11" i="60"/>
  <c r="BH11" i="60" s="1"/>
  <c r="B75" i="60"/>
  <c r="BH75" i="60" s="1"/>
  <c r="L61" i="60"/>
  <c r="B51" i="60"/>
  <c r="BH51" i="60" s="1"/>
  <c r="B47" i="60"/>
  <c r="BH47" i="60" s="1"/>
  <c r="B43" i="60"/>
  <c r="BH43" i="60" s="1"/>
  <c r="B40" i="60"/>
  <c r="BH40" i="60" s="1"/>
  <c r="AD54" i="60"/>
  <c r="F54" i="60"/>
  <c r="B10" i="60"/>
  <c r="AA24" i="60"/>
  <c r="B60" i="60"/>
  <c r="BH60" i="60" s="1"/>
  <c r="AD61" i="60"/>
  <c r="R61" i="60"/>
  <c r="B58" i="60"/>
  <c r="BH58" i="60" s="1"/>
  <c r="B50" i="60"/>
  <c r="BH50" i="60" s="1"/>
  <c r="B49" i="60"/>
  <c r="BH49" i="60" s="1"/>
  <c r="B45" i="60"/>
  <c r="BH45" i="60" s="1"/>
  <c r="B44" i="60"/>
  <c r="BH44" i="60" s="1"/>
  <c r="B42" i="60"/>
  <c r="BH42" i="60" s="1"/>
  <c r="B38" i="60"/>
  <c r="BH38" i="60" s="1"/>
  <c r="B37" i="60"/>
  <c r="BH37" i="60" s="1"/>
  <c r="B31" i="60"/>
  <c r="BH31" i="60" s="1"/>
  <c r="I54" i="60"/>
  <c r="AJ54" i="60"/>
  <c r="X54" i="60"/>
  <c r="L54" i="60"/>
  <c r="AA54" i="60"/>
  <c r="O54" i="60"/>
  <c r="B14" i="60"/>
  <c r="BH14" i="60" s="1"/>
  <c r="L24" i="60"/>
  <c r="AG24" i="60"/>
  <c r="X24" i="60"/>
  <c r="AM6" i="60"/>
  <c r="O61" i="60"/>
  <c r="I61" i="60"/>
  <c r="B8" i="60"/>
  <c r="BH8" i="60" s="1"/>
  <c r="C61" i="60"/>
  <c r="AJ61" i="60"/>
  <c r="B77" i="60"/>
  <c r="BH77" i="60" s="1"/>
  <c r="AJ65" i="60"/>
  <c r="U61" i="60"/>
  <c r="AD24" i="60"/>
  <c r="B56" i="60"/>
  <c r="BH56" i="60" s="1"/>
  <c r="G24" i="66"/>
  <c r="L67" i="55"/>
  <c r="L71" i="55" s="1"/>
  <c r="AB67" i="55"/>
  <c r="AB71" i="55" s="1"/>
  <c r="AN67" i="55"/>
  <c r="AN71" i="55" s="1"/>
  <c r="AR67" i="55"/>
  <c r="AR71" i="55" s="1"/>
  <c r="H67" i="55"/>
  <c r="H71" i="55" s="1"/>
  <c r="X67" i="55"/>
  <c r="X71" i="55" s="1"/>
  <c r="AJ67" i="55"/>
  <c r="AJ71" i="55" s="1"/>
  <c r="D67" i="66"/>
  <c r="D71" i="66" s="1"/>
  <c r="F54" i="66"/>
  <c r="G54" i="66" s="1"/>
  <c r="F61" i="66"/>
  <c r="G61" i="66" s="1"/>
  <c r="E12" i="48"/>
  <c r="E14" i="48" s="1"/>
  <c r="J14" i="48" s="1"/>
  <c r="F55" i="48"/>
  <c r="F48" i="48"/>
  <c r="F41" i="48"/>
  <c r="C32" i="48"/>
  <c r="D32" i="48"/>
  <c r="F24" i="48"/>
  <c r="F62" i="48"/>
  <c r="T67" i="55"/>
  <c r="T71" i="55" s="1"/>
  <c r="AV67" i="55"/>
  <c r="AV71" i="55" s="1"/>
  <c r="BD59" i="66"/>
  <c r="BC59" i="66" s="1"/>
  <c r="AN59" i="66"/>
  <c r="AA57" i="47"/>
  <c r="AC19" i="47"/>
  <c r="B78" i="60"/>
  <c r="BH78" i="60" s="1"/>
  <c r="B28" i="60"/>
  <c r="BH28" i="60" s="1"/>
  <c r="B12" i="60"/>
  <c r="BH12" i="60" s="1"/>
  <c r="AB19" i="48"/>
  <c r="AB18" i="47"/>
  <c r="CA18" i="66"/>
  <c r="B9" i="60"/>
  <c r="BH9" i="60" s="1"/>
  <c r="CA10" i="66"/>
  <c r="CA46" i="66"/>
  <c r="CA65" i="66"/>
  <c r="B53" i="60"/>
  <c r="BH53" i="60" s="1"/>
  <c r="U24" i="60"/>
  <c r="B46" i="60"/>
  <c r="BH46" i="60" s="1"/>
  <c r="CA54" i="66"/>
  <c r="CA22" i="66"/>
  <c r="CA50" i="66"/>
  <c r="B34" i="60"/>
  <c r="BH34" i="60" s="1"/>
  <c r="U54" i="60"/>
  <c r="AA23" i="48"/>
  <c r="S23" i="48"/>
  <c r="CB58" i="66"/>
  <c r="BH75" i="66"/>
  <c r="BG75" i="66" s="1"/>
  <c r="BH78" i="66"/>
  <c r="BG78" i="66" s="1"/>
  <c r="Y30" i="47"/>
  <c r="Y11" i="47" s="1"/>
  <c r="AZ75" i="66"/>
  <c r="AY75" i="66" s="1"/>
  <c r="AC49" i="47"/>
  <c r="AZ78" i="66"/>
  <c r="AY78" i="66" s="1"/>
  <c r="W30" i="47"/>
  <c r="W11" i="47" s="1"/>
  <c r="AV75" i="66"/>
  <c r="AU75" i="66" s="1"/>
  <c r="AV78" i="66"/>
  <c r="AU78" i="66" s="1"/>
  <c r="V30" i="47"/>
  <c r="V11" i="47" s="1"/>
  <c r="U30" i="47"/>
  <c r="U11" i="47" s="1"/>
  <c r="AB49" i="47"/>
  <c r="AN75" i="66"/>
  <c r="AM75" i="66" s="1"/>
  <c r="AN78" i="66"/>
  <c r="AM78" i="66" s="1"/>
  <c r="AJ75" i="66"/>
  <c r="AI75" i="66" s="1"/>
  <c r="AJ78" i="66"/>
  <c r="AI78" i="66" s="1"/>
  <c r="S30" i="47"/>
  <c r="S11" i="47" s="1"/>
  <c r="AF75" i="66"/>
  <c r="AE75" i="66" s="1"/>
  <c r="AF78" i="66"/>
  <c r="AE78" i="66" s="1"/>
  <c r="AB39" i="66"/>
  <c r="AB75" i="66"/>
  <c r="AA75" i="66" s="1"/>
  <c r="AA49" i="47"/>
  <c r="AB78" i="66"/>
  <c r="AA78" i="66" s="1"/>
  <c r="Q30" i="47"/>
  <c r="Q11" i="47" s="1"/>
  <c r="X75" i="66"/>
  <c r="W75" i="66" s="1"/>
  <c r="X78" i="66"/>
  <c r="W78" i="66" s="1"/>
  <c r="T39" i="66"/>
  <c r="T75" i="66"/>
  <c r="S75" i="66" s="1"/>
  <c r="P77" i="66"/>
  <c r="O77" i="66" s="1"/>
  <c r="N26" i="47"/>
  <c r="K45" i="47"/>
  <c r="Z45" i="47"/>
  <c r="BH59" i="66"/>
  <c r="BG59" i="66" s="1"/>
  <c r="B7" i="60"/>
  <c r="BH7" i="60" s="1"/>
  <c r="BQ29" i="66"/>
  <c r="B61" i="56"/>
  <c r="BU61" i="56" s="1"/>
  <c r="BQ39" i="66"/>
  <c r="B54" i="56"/>
  <c r="BU54" i="56" s="1"/>
  <c r="BD37" i="66"/>
  <c r="BC37" i="66" s="1"/>
  <c r="BH69" i="60"/>
  <c r="B57" i="60"/>
  <c r="BH57" i="60" s="1"/>
  <c r="B52" i="60"/>
  <c r="BH52" i="60" s="1"/>
  <c r="B32" i="60"/>
  <c r="BH32" i="60" s="1"/>
  <c r="B29" i="60"/>
  <c r="BH29" i="60" s="1"/>
  <c r="AG54" i="60"/>
  <c r="B13" i="60"/>
  <c r="BH13" i="60" s="1"/>
  <c r="B6" i="60"/>
  <c r="BH6" i="60" s="1"/>
  <c r="BQ69" i="66"/>
  <c r="BX69" i="66"/>
  <c r="J57" i="66"/>
  <c r="BQ57" i="66"/>
  <c r="BB61" i="66"/>
  <c r="J64" i="66"/>
  <c r="BB65" i="66"/>
  <c r="BQ64" i="66"/>
  <c r="BQ50" i="66"/>
  <c r="J50" i="66"/>
  <c r="BX50" i="66"/>
  <c r="J45" i="66"/>
  <c r="BX45" i="66"/>
  <c r="BQ41" i="66"/>
  <c r="J41" i="66"/>
  <c r="BX41" i="66"/>
  <c r="BQ36" i="66"/>
  <c r="J36" i="66"/>
  <c r="BX34" i="66"/>
  <c r="J34" i="66"/>
  <c r="BQ34" i="66"/>
  <c r="BX32" i="66"/>
  <c r="J32" i="66"/>
  <c r="BQ32" i="66"/>
  <c r="BX26" i="66"/>
  <c r="J26" i="66"/>
  <c r="BQ26" i="66"/>
  <c r="J22" i="66"/>
  <c r="BQ22" i="66"/>
  <c r="BX22" i="66"/>
  <c r="J18" i="66"/>
  <c r="BX18" i="66"/>
  <c r="BQ13" i="66"/>
  <c r="J13" i="66"/>
  <c r="J11" i="66"/>
  <c r="BX11" i="66"/>
  <c r="BQ11" i="66"/>
  <c r="BX10" i="66"/>
  <c r="BQ10" i="66"/>
  <c r="BQ9" i="66"/>
  <c r="DC9" i="66" s="1"/>
  <c r="J9" i="66"/>
  <c r="BB24" i="66"/>
  <c r="BD56" i="66"/>
  <c r="BD46" i="66"/>
  <c r="BC46" i="66" s="1"/>
  <c r="BD44" i="66"/>
  <c r="BC44" i="66" s="1"/>
  <c r="BB54" i="66"/>
  <c r="AJ50" i="66"/>
  <c r="AI50" i="66" s="1"/>
  <c r="AJ59" i="66"/>
  <c r="AB59" i="66"/>
  <c r="X9" i="66"/>
  <c r="X34" i="66"/>
  <c r="BK39" i="66"/>
  <c r="B59" i="60"/>
  <c r="BH59" i="60" s="1"/>
  <c r="J59" i="66"/>
  <c r="B79" i="56"/>
  <c r="BU79" i="56" s="1"/>
  <c r="F43" i="47"/>
  <c r="F51" i="47"/>
  <c r="F59" i="47"/>
  <c r="E28" i="47"/>
  <c r="J28" i="47" s="1"/>
  <c r="J67" i="47"/>
  <c r="D32" i="47"/>
  <c r="C33" i="47"/>
  <c r="F24" i="47"/>
  <c r="F67" i="47"/>
  <c r="C69" i="47"/>
  <c r="I32" i="48"/>
  <c r="J32" i="48" s="1"/>
  <c r="J24" i="48"/>
  <c r="J45" i="48"/>
  <c r="Q26" i="47"/>
  <c r="AA19" i="47"/>
  <c r="V54" i="66"/>
  <c r="AJ48" i="66"/>
  <c r="AV29" i="66"/>
  <c r="O27" i="47"/>
  <c r="AV51" i="66"/>
  <c r="AV38" i="66"/>
  <c r="H33" i="47"/>
  <c r="H10" i="47"/>
  <c r="H14" i="47" s="1"/>
  <c r="BX9" i="66"/>
  <c r="AZ59" i="66"/>
  <c r="X59" i="66"/>
  <c r="J39" i="66"/>
  <c r="BX39" i="66"/>
  <c r="CA39" i="66"/>
  <c r="B39" i="60"/>
  <c r="BH39" i="60" s="1"/>
  <c r="N30" i="47"/>
  <c r="Z41" i="47"/>
  <c r="K41" i="47"/>
  <c r="L41" i="47" s="1"/>
  <c r="AA41" i="47"/>
  <c r="R30" i="47"/>
  <c r="AB65" i="47"/>
  <c r="B63" i="60"/>
  <c r="BH63" i="60" s="1"/>
  <c r="AB73" i="66"/>
  <c r="AA73" i="66" s="1"/>
  <c r="B79" i="57"/>
  <c r="BU79" i="57" s="1"/>
  <c r="AB57" i="47"/>
  <c r="AC57" i="47"/>
  <c r="K65" i="47"/>
  <c r="L65" i="47" s="1"/>
  <c r="Z65" i="47"/>
  <c r="AA65" i="47"/>
  <c r="T73" i="66"/>
  <c r="S73" i="66" s="1"/>
  <c r="X73" i="66"/>
  <c r="W73" i="66" s="1"/>
  <c r="AJ73" i="66"/>
  <c r="AI73" i="66" s="1"/>
  <c r="BD73" i="66"/>
  <c r="BC73" i="66" s="1"/>
  <c r="C14" i="47"/>
  <c r="AR77" i="66"/>
  <c r="AQ77" i="66" s="1"/>
  <c r="AR73" i="66"/>
  <c r="AQ73" i="66" s="1"/>
  <c r="BC79" i="55"/>
  <c r="V79" i="56"/>
  <c r="AF73" i="66"/>
  <c r="AE73" i="66" s="1"/>
  <c r="AV73" i="66"/>
  <c r="AU73" i="66" s="1"/>
  <c r="P30" i="47"/>
  <c r="T30" i="47"/>
  <c r="AB41" i="47"/>
  <c r="AC41" i="47"/>
  <c r="X30" i="47"/>
  <c r="Z79" i="57"/>
  <c r="V79" i="58"/>
  <c r="AC65" i="47"/>
  <c r="T78" i="66"/>
  <c r="S78" i="66" s="1"/>
  <c r="AN73" i="66"/>
  <c r="AM73" i="66" s="1"/>
  <c r="AZ73" i="66"/>
  <c r="AY73" i="66" s="1"/>
  <c r="AR74" i="66"/>
  <c r="AQ74" i="66" s="1"/>
  <c r="AR75" i="66"/>
  <c r="AQ75" i="66" s="1"/>
  <c r="AR78" i="66"/>
  <c r="AQ78" i="66" s="1"/>
  <c r="Z49" i="47"/>
  <c r="BH73" i="66"/>
  <c r="BG73" i="66" s="1"/>
  <c r="K49" i="47"/>
  <c r="L49" i="47" s="1"/>
  <c r="H11" i="47"/>
  <c r="I11" i="47" s="1"/>
  <c r="J11" i="47" s="1"/>
  <c r="I29" i="47"/>
  <c r="L29" i="47" s="1"/>
  <c r="L22" i="47"/>
  <c r="AB21" i="47"/>
  <c r="I9" i="47"/>
  <c r="J9" i="47" s="1"/>
  <c r="I8" i="47"/>
  <c r="J8" i="47" s="1"/>
  <c r="J29" i="47"/>
  <c r="I32" i="47"/>
  <c r="I12" i="47"/>
  <c r="E12" i="47"/>
  <c r="F12" i="47" s="1"/>
  <c r="I7" i="47"/>
  <c r="G10" i="47"/>
  <c r="G14" i="47" s="1"/>
  <c r="F13" i="47"/>
  <c r="D14" i="47"/>
  <c r="AA21" i="47"/>
  <c r="AC21" i="47"/>
  <c r="AZ79" i="55"/>
  <c r="P73" i="66"/>
  <c r="O73" i="66" s="1"/>
  <c r="B79" i="59"/>
  <c r="BU79" i="59" s="1"/>
  <c r="Z79" i="59"/>
  <c r="B79" i="58"/>
  <c r="BU79" i="58" s="1"/>
  <c r="Z79" i="58"/>
  <c r="B73" i="60"/>
  <c r="BH73" i="60" s="1"/>
  <c r="J73" i="66"/>
  <c r="BM78" i="66"/>
  <c r="BK74" i="66"/>
  <c r="F79" i="60"/>
  <c r="I79" i="60"/>
  <c r="X79" i="60"/>
  <c r="AJ79" i="60"/>
  <c r="R79" i="66"/>
  <c r="Z79" i="66"/>
  <c r="AP79" i="66"/>
  <c r="BF79" i="66"/>
  <c r="BQ75" i="66"/>
  <c r="BQ78" i="66"/>
  <c r="N79" i="66"/>
  <c r="V79" i="66"/>
  <c r="AL79" i="66"/>
  <c r="AT79" i="66"/>
  <c r="BK75" i="66"/>
  <c r="BO75" i="66"/>
  <c r="BK78" i="66"/>
  <c r="BO78" i="66"/>
  <c r="I77" i="66"/>
  <c r="I163" i="66" s="1"/>
  <c r="BK73" i="66"/>
  <c r="BM73" i="66"/>
  <c r="BO73" i="66"/>
  <c r="BQ73" i="66"/>
  <c r="K21" i="47"/>
  <c r="K12" i="47"/>
  <c r="X26" i="47"/>
  <c r="X8" i="47" s="1"/>
  <c r="O61" i="48"/>
  <c r="S61" i="48"/>
  <c r="W61" i="48"/>
  <c r="R61" i="48"/>
  <c r="V61" i="48"/>
  <c r="X61" i="48"/>
  <c r="AC61" i="47"/>
  <c r="W26" i="47"/>
  <c r="Z61" i="47"/>
  <c r="O63" i="47"/>
  <c r="O67" i="47" s="1"/>
  <c r="V26" i="47"/>
  <c r="K62" i="47"/>
  <c r="L62" i="47" s="1"/>
  <c r="AC62" i="47"/>
  <c r="X27" i="47"/>
  <c r="AB61" i="47"/>
  <c r="AA61" i="47"/>
  <c r="K61" i="47"/>
  <c r="L61" i="47" s="1"/>
  <c r="S26" i="47"/>
  <c r="V65" i="59"/>
  <c r="Z54" i="59"/>
  <c r="Z61" i="59"/>
  <c r="AR71" i="58" l="1"/>
  <c r="AR83" i="58"/>
  <c r="AV71" i="58"/>
  <c r="AV83" i="58"/>
  <c r="AV85" i="58" s="1"/>
  <c r="AR71" i="57"/>
  <c r="AR83" i="57"/>
  <c r="AV71" i="57"/>
  <c r="AV83" i="57"/>
  <c r="AV85" i="57" s="1"/>
  <c r="U67" i="58"/>
  <c r="U71" i="58" s="1"/>
  <c r="U81" i="58"/>
  <c r="BT24" i="59"/>
  <c r="BG79" i="60"/>
  <c r="BT54" i="59"/>
  <c r="AV71" i="59"/>
  <c r="AX71" i="59" s="1"/>
  <c r="AV83" i="59"/>
  <c r="AV85" i="59" s="1"/>
  <c r="AR71" i="59"/>
  <c r="AT71" i="59" s="1"/>
  <c r="AR83" i="59"/>
  <c r="BT65" i="59"/>
  <c r="BG61" i="60"/>
  <c r="BG54" i="60"/>
  <c r="BT83" i="59"/>
  <c r="BG65" i="60"/>
  <c r="BT79" i="59"/>
  <c r="Q83" i="60"/>
  <c r="BT61" i="59"/>
  <c r="BT81" i="57"/>
  <c r="BT85" i="57" s="1"/>
  <c r="BT67" i="57"/>
  <c r="BT71" i="57" s="1"/>
  <c r="BT24" i="56"/>
  <c r="W83" i="56"/>
  <c r="BT83" i="56"/>
  <c r="AR71" i="56"/>
  <c r="AR83" i="56"/>
  <c r="AV71" i="56"/>
  <c r="AV83" i="56"/>
  <c r="AV85" i="56" s="1"/>
  <c r="Z57" i="47"/>
  <c r="AD57" i="47" s="1"/>
  <c r="AJ65" i="66"/>
  <c r="AI65" i="66" s="1"/>
  <c r="W40" i="47"/>
  <c r="T40" i="47"/>
  <c r="K57" i="47"/>
  <c r="L57" i="47" s="1"/>
  <c r="O26" i="47"/>
  <c r="Z26" i="47" s="1"/>
  <c r="Z53" i="47"/>
  <c r="AD53" i="47" s="1"/>
  <c r="H71" i="58"/>
  <c r="O55" i="47"/>
  <c r="O59" i="47" s="1"/>
  <c r="N8" i="47"/>
  <c r="N25" i="47"/>
  <c r="N7" i="47" s="1"/>
  <c r="AC52" i="47"/>
  <c r="AC55" i="47" s="1"/>
  <c r="AC59" i="47" s="1"/>
  <c r="V81" i="58"/>
  <c r="Z81" i="58"/>
  <c r="V81" i="59"/>
  <c r="Z24" i="59"/>
  <c r="Z81" i="59" s="1"/>
  <c r="AF65" i="66"/>
  <c r="AE65" i="66" s="1"/>
  <c r="BS54" i="56"/>
  <c r="BS24" i="56"/>
  <c r="BS61" i="56"/>
  <c r="BS65" i="56"/>
  <c r="BS79" i="56"/>
  <c r="Z81" i="56"/>
  <c r="BQ61" i="55"/>
  <c r="BU61" i="55" s="1"/>
  <c r="BU56" i="55"/>
  <c r="BQ24" i="55"/>
  <c r="BQ54" i="55"/>
  <c r="BU54" i="55" s="1"/>
  <c r="Z18" i="47"/>
  <c r="AD18" i="47" s="1"/>
  <c r="BQ79" i="55"/>
  <c r="BU79" i="55" s="1"/>
  <c r="BU74" i="55"/>
  <c r="Z36" i="47"/>
  <c r="Z39" i="47" s="1"/>
  <c r="S25" i="47"/>
  <c r="S7" i="47" s="1"/>
  <c r="W25" i="47"/>
  <c r="W28" i="47" s="1"/>
  <c r="W32" i="47" s="1"/>
  <c r="W33" i="47" s="1"/>
  <c r="CD43" i="66"/>
  <c r="CD53" i="66"/>
  <c r="K19" i="47"/>
  <c r="L19" i="47" s="1"/>
  <c r="N9" i="47"/>
  <c r="AC17" i="47"/>
  <c r="AC20" i="47" s="1"/>
  <c r="AC24" i="47" s="1"/>
  <c r="CD60" i="66"/>
  <c r="AA17" i="47"/>
  <c r="AA20" i="47" s="1"/>
  <c r="AA24" i="47" s="1"/>
  <c r="CD63" i="66"/>
  <c r="CB43" i="66"/>
  <c r="O19" i="48"/>
  <c r="Z17" i="47"/>
  <c r="D71" i="55"/>
  <c r="N11" i="47"/>
  <c r="AB17" i="47"/>
  <c r="AB20" i="47" s="1"/>
  <c r="AB24" i="47" s="1"/>
  <c r="N20" i="47"/>
  <c r="N24" i="47" s="1"/>
  <c r="CB21" i="66"/>
  <c r="CD48" i="66"/>
  <c r="CD49" i="66"/>
  <c r="K17" i="47"/>
  <c r="L17" i="47" s="1"/>
  <c r="CB22" i="66"/>
  <c r="AB17" i="48"/>
  <c r="AB20" i="48" s="1"/>
  <c r="AB24" i="48" s="1"/>
  <c r="CD69" i="66"/>
  <c r="CB31" i="66"/>
  <c r="T25" i="47"/>
  <c r="T7" i="47" s="1"/>
  <c r="T10" i="47" s="1"/>
  <c r="T14" i="47" s="1"/>
  <c r="AA36" i="47"/>
  <c r="AA39" i="47" s="1"/>
  <c r="AA40" i="47" s="1"/>
  <c r="BE16" i="66"/>
  <c r="AG16" i="66"/>
  <c r="P65" i="66"/>
  <c r="O65" i="66" s="1"/>
  <c r="V81" i="56"/>
  <c r="O64" i="66"/>
  <c r="AE63" i="66"/>
  <c r="AI63" i="66"/>
  <c r="BH65" i="66"/>
  <c r="BG65" i="66" s="1"/>
  <c r="Z81" i="57"/>
  <c r="Z44" i="47"/>
  <c r="Z47" i="47" s="1"/>
  <c r="Z51" i="47" s="1"/>
  <c r="AV65" i="66"/>
  <c r="AU65" i="66" s="1"/>
  <c r="AA27" i="47"/>
  <c r="AA9" i="47" s="1"/>
  <c r="AD46" i="47"/>
  <c r="I37" i="66"/>
  <c r="I126" i="66" s="1"/>
  <c r="I40" i="66"/>
  <c r="I110" i="66" s="1"/>
  <c r="DN35" i="66"/>
  <c r="DN44" i="66"/>
  <c r="DN32" i="66"/>
  <c r="DN57" i="66"/>
  <c r="I75" i="66"/>
  <c r="I161" i="66" s="1"/>
  <c r="I7" i="66"/>
  <c r="I88" i="66" s="1"/>
  <c r="DN6" i="66"/>
  <c r="I78" i="66"/>
  <c r="I164" i="66" s="1"/>
  <c r="I58" i="66"/>
  <c r="I144" i="66" s="1"/>
  <c r="AC34" i="66"/>
  <c r="U20" i="66"/>
  <c r="Y32" i="66"/>
  <c r="AC11" i="66"/>
  <c r="AS37" i="66"/>
  <c r="BI42" i="66"/>
  <c r="BI49" i="66"/>
  <c r="AC12" i="66"/>
  <c r="AC33" i="66"/>
  <c r="BA48" i="66"/>
  <c r="Y41" i="66"/>
  <c r="BE12" i="66"/>
  <c r="AG42" i="66"/>
  <c r="BE6" i="66"/>
  <c r="AS29" i="66"/>
  <c r="AG22" i="66"/>
  <c r="AC42" i="66"/>
  <c r="AW30" i="66"/>
  <c r="BA47" i="66"/>
  <c r="AC22" i="66"/>
  <c r="AG11" i="66"/>
  <c r="AG27" i="66"/>
  <c r="AW39" i="66"/>
  <c r="BI11" i="66"/>
  <c r="AS7" i="66"/>
  <c r="AK28" i="66"/>
  <c r="AS8" i="66"/>
  <c r="AK27" i="66"/>
  <c r="AS46" i="66"/>
  <c r="BE15" i="66"/>
  <c r="AS38" i="66"/>
  <c r="AW18" i="66"/>
  <c r="BE41" i="66"/>
  <c r="AG43" i="66"/>
  <c r="U39" i="48"/>
  <c r="BI15" i="66"/>
  <c r="BI47" i="66"/>
  <c r="AG12" i="66"/>
  <c r="Y38" i="66"/>
  <c r="AG41" i="66"/>
  <c r="U29" i="66"/>
  <c r="AC20" i="66"/>
  <c r="AK11" i="66"/>
  <c r="U46" i="66"/>
  <c r="AO50" i="66"/>
  <c r="BE21" i="66"/>
  <c r="BA19" i="66"/>
  <c r="BA45" i="66"/>
  <c r="BA30" i="66"/>
  <c r="Y10" i="66"/>
  <c r="U18" i="66"/>
  <c r="BE47" i="66"/>
  <c r="AS16" i="66"/>
  <c r="AW15" i="66"/>
  <c r="AD66" i="47"/>
  <c r="AG32" i="66"/>
  <c r="BI40" i="66"/>
  <c r="AS36" i="66"/>
  <c r="U45" i="66"/>
  <c r="Y7" i="66"/>
  <c r="AC48" i="66"/>
  <c r="BI9" i="66"/>
  <c r="BI20" i="66"/>
  <c r="AC32" i="66"/>
  <c r="AW37" i="66"/>
  <c r="AG23" i="66"/>
  <c r="AO22" i="66"/>
  <c r="U30" i="66"/>
  <c r="AC9" i="66"/>
  <c r="AG20" i="66"/>
  <c r="AS27" i="66"/>
  <c r="AK15" i="66"/>
  <c r="AK43" i="66"/>
  <c r="BA10" i="66"/>
  <c r="BA38" i="66"/>
  <c r="AK44" i="66"/>
  <c r="AK51" i="66"/>
  <c r="AG51" i="66"/>
  <c r="Y30" i="66"/>
  <c r="AC41" i="66"/>
  <c r="BI50" i="66"/>
  <c r="BI23" i="66"/>
  <c r="AW38" i="66"/>
  <c r="AO43" i="66"/>
  <c r="AO11" i="66"/>
  <c r="BI41" i="66"/>
  <c r="U37" i="66"/>
  <c r="BI39" i="66"/>
  <c r="Y12" i="66"/>
  <c r="U40" i="66"/>
  <c r="BE48" i="66"/>
  <c r="AL81" i="66"/>
  <c r="Z81" i="66"/>
  <c r="BF81" i="66"/>
  <c r="AT81" i="66"/>
  <c r="R81" i="66"/>
  <c r="V81" i="66"/>
  <c r="N81" i="66"/>
  <c r="AP81" i="66"/>
  <c r="BA16" i="66"/>
  <c r="Q16" i="66"/>
  <c r="Q15" i="66"/>
  <c r="AO15" i="66"/>
  <c r="BI46" i="66"/>
  <c r="AW19" i="66"/>
  <c r="BA50" i="66"/>
  <c r="BI30" i="66"/>
  <c r="AK48" i="66"/>
  <c r="Y37" i="66"/>
  <c r="Y42" i="66"/>
  <c r="BA6" i="66"/>
  <c r="U51" i="66"/>
  <c r="U34" i="66"/>
  <c r="AW9" i="66"/>
  <c r="U36" i="66"/>
  <c r="Y36" i="66"/>
  <c r="BA14" i="66"/>
  <c r="AC29" i="66"/>
  <c r="AW50" i="66"/>
  <c r="AO10" i="66"/>
  <c r="AS32" i="66"/>
  <c r="Y11" i="66"/>
  <c r="Y51" i="66"/>
  <c r="Y43" i="66"/>
  <c r="AC36" i="66"/>
  <c r="BI53" i="66"/>
  <c r="AC13" i="66"/>
  <c r="Y45" i="66"/>
  <c r="U27" i="66"/>
  <c r="AG28" i="66"/>
  <c r="BA36" i="66"/>
  <c r="Y27" i="66"/>
  <c r="BA44" i="66"/>
  <c r="Q38" i="66"/>
  <c r="AK31" i="66"/>
  <c r="AO9" i="66"/>
  <c r="AW20" i="66"/>
  <c r="AG19" i="66"/>
  <c r="BI38" i="66"/>
  <c r="U50" i="66"/>
  <c r="AS39" i="66"/>
  <c r="AC18" i="66"/>
  <c r="AS22" i="66"/>
  <c r="AW27" i="66"/>
  <c r="AC44" i="66"/>
  <c r="AK39" i="66"/>
  <c r="AO18" i="66"/>
  <c r="BE22" i="66"/>
  <c r="Q12" i="66"/>
  <c r="Q33" i="66"/>
  <c r="BE43" i="66"/>
  <c r="BA42" i="66"/>
  <c r="U44" i="66"/>
  <c r="AK30" i="66"/>
  <c r="AW32" i="66"/>
  <c r="AO49" i="66"/>
  <c r="BE27" i="66"/>
  <c r="AW40" i="66"/>
  <c r="Q43" i="66"/>
  <c r="BA51" i="66"/>
  <c r="AW43" i="66"/>
  <c r="AS48" i="66"/>
  <c r="BI36" i="66"/>
  <c r="AK47" i="66"/>
  <c r="Y28" i="66"/>
  <c r="U12" i="66"/>
  <c r="AG44" i="66"/>
  <c r="BE52" i="66"/>
  <c r="BI26" i="66"/>
  <c r="BE37" i="66"/>
  <c r="AC52" i="66"/>
  <c r="Q22" i="66"/>
  <c r="AS31" i="66"/>
  <c r="BE42" i="66"/>
  <c r="BE51" i="66"/>
  <c r="AW35" i="66"/>
  <c r="BE11" i="66"/>
  <c r="AW41" i="66"/>
  <c r="AO12" i="66"/>
  <c r="AK40" i="66"/>
  <c r="AK20" i="66"/>
  <c r="AG8" i="66"/>
  <c r="BA35" i="66"/>
  <c r="Y52" i="66"/>
  <c r="AC8" i="66"/>
  <c r="Q18" i="66"/>
  <c r="Q50" i="66"/>
  <c r="AO38" i="66"/>
  <c r="AS49" i="66"/>
  <c r="BI19" i="66"/>
  <c r="BA33" i="66"/>
  <c r="AO41" i="66"/>
  <c r="BA22" i="66"/>
  <c r="BE44" i="66"/>
  <c r="AW51" i="66"/>
  <c r="AW11" i="66"/>
  <c r="Q20" i="66"/>
  <c r="AC7" i="66"/>
  <c r="U10" i="66"/>
  <c r="AS41" i="66"/>
  <c r="Q31" i="66"/>
  <c r="AO7" i="66"/>
  <c r="Y8" i="66"/>
  <c r="Q42" i="66"/>
  <c r="AG53" i="66"/>
  <c r="BE28" i="66"/>
  <c r="AK8" i="66"/>
  <c r="AS6" i="66"/>
  <c r="AC38" i="66"/>
  <c r="BI44" i="66"/>
  <c r="AS50" i="66"/>
  <c r="AC14" i="66"/>
  <c r="Q32" i="66"/>
  <c r="Q47" i="66"/>
  <c r="AK52" i="66"/>
  <c r="AW33" i="66"/>
  <c r="AO53" i="66"/>
  <c r="BI32" i="66"/>
  <c r="AW31" i="66"/>
  <c r="AO35" i="66"/>
  <c r="AW28" i="66"/>
  <c r="Y44" i="66"/>
  <c r="AO40" i="66"/>
  <c r="AS42" i="66"/>
  <c r="AC46" i="66"/>
  <c r="AW21" i="66"/>
  <c r="BA27" i="66"/>
  <c r="AG37" i="66"/>
  <c r="BI48" i="66"/>
  <c r="AO31" i="66"/>
  <c r="BE20" i="66"/>
  <c r="Y33" i="66"/>
  <c r="AS19" i="66"/>
  <c r="AG29" i="66"/>
  <c r="AG49" i="66"/>
  <c r="AO13" i="66"/>
  <c r="BE34" i="66"/>
  <c r="AO34" i="66"/>
  <c r="AC51" i="66"/>
  <c r="Q11" i="66"/>
  <c r="U9" i="66"/>
  <c r="AO23" i="66"/>
  <c r="AK35" i="66"/>
  <c r="AG48" i="66"/>
  <c r="AO30" i="66"/>
  <c r="AG21" i="66"/>
  <c r="AK14" i="66"/>
  <c r="AW34" i="66"/>
  <c r="AC30" i="66"/>
  <c r="BA31" i="66"/>
  <c r="AK49" i="66"/>
  <c r="Q8" i="66"/>
  <c r="AW45" i="66"/>
  <c r="BA32" i="66"/>
  <c r="BA41" i="66"/>
  <c r="AC49" i="66"/>
  <c r="U23" i="66"/>
  <c r="BE33" i="66"/>
  <c r="BI12" i="66"/>
  <c r="Q40" i="66"/>
  <c r="Y46" i="66"/>
  <c r="AG40" i="66"/>
  <c r="AW23" i="66"/>
  <c r="AC35" i="66"/>
  <c r="AW42" i="66"/>
  <c r="AG52" i="66"/>
  <c r="BI13" i="66"/>
  <c r="Y18" i="66"/>
  <c r="Y34" i="66"/>
  <c r="BA29" i="66"/>
  <c r="BI37" i="66"/>
  <c r="AG46" i="66"/>
  <c r="U39" i="66"/>
  <c r="AG18" i="66"/>
  <c r="U26" i="66"/>
  <c r="AO48" i="66"/>
  <c r="Y39" i="66"/>
  <c r="BE9" i="66"/>
  <c r="BA13" i="66"/>
  <c r="Y22" i="66"/>
  <c r="U19" i="66"/>
  <c r="Q34" i="66"/>
  <c r="AK9" i="66"/>
  <c r="BA52" i="66"/>
  <c r="Q39" i="66"/>
  <c r="AC10" i="66"/>
  <c r="AO14" i="66"/>
  <c r="AK22" i="66"/>
  <c r="U21" i="66"/>
  <c r="Q52" i="66"/>
  <c r="BE30" i="66"/>
  <c r="AG36" i="66"/>
  <c r="AS18" i="66"/>
  <c r="BE14" i="66"/>
  <c r="U42" i="66"/>
  <c r="AG14" i="66"/>
  <c r="AW8" i="66"/>
  <c r="AS51" i="66"/>
  <c r="AC37" i="66"/>
  <c r="Y26" i="66"/>
  <c r="BE18" i="66"/>
  <c r="AO8" i="66"/>
  <c r="AW48" i="66"/>
  <c r="AK34" i="66"/>
  <c r="BA21" i="66"/>
  <c r="Q30" i="66"/>
  <c r="BA7" i="66"/>
  <c r="U41" i="66"/>
  <c r="AS21" i="66"/>
  <c r="Q36" i="66"/>
  <c r="AO6" i="66"/>
  <c r="Y23" i="66"/>
  <c r="U47" i="66"/>
  <c r="AG50" i="66"/>
  <c r="BA37" i="66"/>
  <c r="U38" i="66"/>
  <c r="AC27" i="66"/>
  <c r="AW10" i="66"/>
  <c r="BA9" i="66"/>
  <c r="U32" i="66"/>
  <c r="AG34" i="66"/>
  <c r="AC40" i="66"/>
  <c r="AS10" i="66"/>
  <c r="AC23" i="66"/>
  <c r="BE29" i="66"/>
  <c r="AS26" i="66"/>
  <c r="AK26" i="66"/>
  <c r="AG31" i="66"/>
  <c r="Q41" i="66"/>
  <c r="Y53" i="66"/>
  <c r="AW6" i="66"/>
  <c r="AS15" i="66"/>
  <c r="U16" i="66"/>
  <c r="AC15" i="66"/>
  <c r="BE17" i="66"/>
  <c r="Q17" i="66"/>
  <c r="AS17" i="66"/>
  <c r="AO17" i="66"/>
  <c r="AW29" i="66"/>
  <c r="AS43" i="66"/>
  <c r="Y50" i="66"/>
  <c r="AW14" i="66"/>
  <c r="Q9" i="66"/>
  <c r="AS12" i="66"/>
  <c r="BA46" i="66"/>
  <c r="U52" i="66"/>
  <c r="AW49" i="66"/>
  <c r="BI52" i="66"/>
  <c r="AS33" i="66"/>
  <c r="AW53" i="66"/>
  <c r="BI18" i="66"/>
  <c r="BI21" i="66"/>
  <c r="Y40" i="66"/>
  <c r="AK42" i="66"/>
  <c r="AK46" i="66"/>
  <c r="BE45" i="66"/>
  <c r="BE19" i="66"/>
  <c r="BA34" i="66"/>
  <c r="BE46" i="66"/>
  <c r="AO29" i="66"/>
  <c r="AK18" i="66"/>
  <c r="BI34" i="66"/>
  <c r="U14" i="66"/>
  <c r="U28" i="66"/>
  <c r="BA40" i="66"/>
  <c r="AG10" i="66"/>
  <c r="AS23" i="66"/>
  <c r="AG30" i="66"/>
  <c r="AC47" i="66"/>
  <c r="BA39" i="66"/>
  <c r="Q14" i="66"/>
  <c r="AO21" i="66"/>
  <c r="BI7" i="66"/>
  <c r="BA18" i="66"/>
  <c r="AO33" i="66"/>
  <c r="AC45" i="66"/>
  <c r="BA53" i="66"/>
  <c r="Q27" i="66"/>
  <c r="BE13" i="66"/>
  <c r="BI45" i="66"/>
  <c r="Q29" i="66"/>
  <c r="BA28" i="66"/>
  <c r="AO44" i="66"/>
  <c r="AC39" i="66"/>
  <c r="Q13" i="66"/>
  <c r="BA12" i="66"/>
  <c r="AC31" i="66"/>
  <c r="AG38" i="66"/>
  <c r="AO47" i="66"/>
  <c r="AK53" i="66"/>
  <c r="AW12" i="66"/>
  <c r="BE31" i="66"/>
  <c r="BE8" i="66"/>
  <c r="AS28" i="66"/>
  <c r="Y47" i="66"/>
  <c r="Y19" i="66"/>
  <c r="BE32" i="66"/>
  <c r="U13" i="66"/>
  <c r="AO32" i="66"/>
  <c r="BE40" i="66"/>
  <c r="BE49" i="66"/>
  <c r="BA11" i="66"/>
  <c r="AG7" i="66"/>
  <c r="Q28" i="66"/>
  <c r="BE36" i="66"/>
  <c r="AC28" i="66"/>
  <c r="BI35" i="66"/>
  <c r="BA43" i="66"/>
  <c r="AC53" i="66"/>
  <c r="AO39" i="66"/>
  <c r="AK13" i="66"/>
  <c r="U11" i="66"/>
  <c r="AG47" i="66"/>
  <c r="AW46" i="66"/>
  <c r="AS53" i="66"/>
  <c r="BA8" i="66"/>
  <c r="AG13" i="66"/>
  <c r="AS20" i="66"/>
  <c r="Q6" i="66"/>
  <c r="AK21" i="66"/>
  <c r="BI27" i="66"/>
  <c r="BE39" i="66"/>
  <c r="AS9" i="66"/>
  <c r="AS13" i="66"/>
  <c r="BA20" i="66"/>
  <c r="Y13" i="66"/>
  <c r="Y6" i="66"/>
  <c r="Q49" i="66"/>
  <c r="AS40" i="66"/>
  <c r="AK32" i="66"/>
  <c r="AW7" i="66"/>
  <c r="AS45" i="66"/>
  <c r="Q48" i="66"/>
  <c r="AG9" i="66"/>
  <c r="AS34" i="66"/>
  <c r="AS44" i="66"/>
  <c r="BI8" i="66"/>
  <c r="AO27" i="66"/>
  <c r="Y49" i="66"/>
  <c r="BI6" i="66"/>
  <c r="BI14" i="66"/>
  <c r="Y21" i="66"/>
  <c r="AK37" i="66"/>
  <c r="AS52" i="66"/>
  <c r="Y14" i="66"/>
  <c r="BI31" i="66"/>
  <c r="Q23" i="66"/>
  <c r="Y9" i="66"/>
  <c r="AG6" i="66"/>
  <c r="AO42" i="66"/>
  <c r="AK7" i="66"/>
  <c r="U33" i="66"/>
  <c r="U53" i="66"/>
  <c r="U8" i="66"/>
  <c r="AC21" i="66"/>
  <c r="AW52" i="66"/>
  <c r="AK41" i="66"/>
  <c r="Y48" i="66"/>
  <c r="AK6" i="66"/>
  <c r="Q7" i="66"/>
  <c r="AK19" i="66"/>
  <c r="Y29" i="66"/>
  <c r="Q53" i="66"/>
  <c r="BI10" i="66"/>
  <c r="BA26" i="66"/>
  <c r="AG26" i="66"/>
  <c r="AK38" i="66"/>
  <c r="U48" i="66"/>
  <c r="BA23" i="66"/>
  <c r="BE53" i="66"/>
  <c r="BI43" i="66"/>
  <c r="AO19" i="66"/>
  <c r="AK36" i="66"/>
  <c r="Q19" i="66"/>
  <c r="BE23" i="66"/>
  <c r="AC6" i="66"/>
  <c r="BI51" i="66"/>
  <c r="Q26" i="66"/>
  <c r="AS47" i="66"/>
  <c r="U49" i="66"/>
  <c r="U43" i="66"/>
  <c r="Q51" i="66"/>
  <c r="U35" i="66"/>
  <c r="U7" i="66"/>
  <c r="AO37" i="66"/>
  <c r="AO28" i="66"/>
  <c r="AC50" i="66"/>
  <c r="AO20" i="66"/>
  <c r="AO45" i="66"/>
  <c r="AC43" i="66"/>
  <c r="BE38" i="66"/>
  <c r="U22" i="66"/>
  <c r="AK33" i="66"/>
  <c r="BE50" i="66"/>
  <c r="Q46" i="66"/>
  <c r="AG33" i="66"/>
  <c r="AO26" i="66"/>
  <c r="BE26" i="66"/>
  <c r="BE35" i="66"/>
  <c r="AG45" i="66"/>
  <c r="BI22" i="66"/>
  <c r="AO46" i="66"/>
  <c r="Q10" i="66"/>
  <c r="Y17" i="66"/>
  <c r="AW16" i="66"/>
  <c r="BI17" i="66"/>
  <c r="U15" i="66"/>
  <c r="Y15" i="66"/>
  <c r="AK16" i="66"/>
  <c r="BI16" i="66"/>
  <c r="U17" i="66"/>
  <c r="BA17" i="66"/>
  <c r="BA49" i="66"/>
  <c r="AG35" i="66"/>
  <c r="AO36" i="66"/>
  <c r="AK50" i="66"/>
  <c r="AW47" i="66"/>
  <c r="Q45" i="66"/>
  <c r="Q21" i="66"/>
  <c r="Q37" i="66"/>
  <c r="AO52" i="66"/>
  <c r="BI28" i="66"/>
  <c r="AW36" i="66"/>
  <c r="Q35" i="66"/>
  <c r="AS30" i="66"/>
  <c r="AO51" i="66"/>
  <c r="AW22" i="66"/>
  <c r="U6" i="66"/>
  <c r="AW44" i="66"/>
  <c r="BE10" i="66"/>
  <c r="AK29" i="66"/>
  <c r="AS35" i="66"/>
  <c r="AW13" i="66"/>
  <c r="U31" i="66"/>
  <c r="AG39" i="66"/>
  <c r="AK12" i="66"/>
  <c r="Y20" i="66"/>
  <c r="BE7" i="66"/>
  <c r="Y31" i="66"/>
  <c r="AK45" i="66"/>
  <c r="AS14" i="66"/>
  <c r="AW26" i="66"/>
  <c r="AC26" i="66"/>
  <c r="Y35" i="66"/>
  <c r="Q44" i="66"/>
  <c r="BI29" i="66"/>
  <c r="BI33" i="66"/>
  <c r="N39" i="48"/>
  <c r="N29" i="48" s="1"/>
  <c r="AC19" i="66"/>
  <c r="AG17" i="66"/>
  <c r="BA15" i="66"/>
  <c r="AW17" i="66"/>
  <c r="AK17" i="66"/>
  <c r="AO16" i="66"/>
  <c r="AC17" i="66"/>
  <c r="AG15" i="66"/>
  <c r="AC16" i="66"/>
  <c r="Y16" i="66"/>
  <c r="AS11" i="66"/>
  <c r="Q22" i="47"/>
  <c r="Q12" i="47" s="1"/>
  <c r="V19" i="48"/>
  <c r="AC44" i="47"/>
  <c r="AC47" i="47" s="1"/>
  <c r="AC51" i="47" s="1"/>
  <c r="F81" i="60"/>
  <c r="I81" i="60"/>
  <c r="AJ81" i="60"/>
  <c r="X81" i="60"/>
  <c r="Z52" i="47"/>
  <c r="Y22" i="47"/>
  <c r="Y12" i="47" s="1"/>
  <c r="W19" i="48"/>
  <c r="CB57" i="66"/>
  <c r="X19" i="48"/>
  <c r="S19" i="48"/>
  <c r="T19" i="48"/>
  <c r="U19" i="48"/>
  <c r="CB44" i="66"/>
  <c r="CB27" i="66"/>
  <c r="CB46" i="66"/>
  <c r="CB47" i="66"/>
  <c r="CB41" i="66"/>
  <c r="CB29" i="66"/>
  <c r="CB7" i="66"/>
  <c r="CB20" i="66"/>
  <c r="T63" i="47"/>
  <c r="T67" i="47" s="1"/>
  <c r="U25" i="47"/>
  <c r="U28" i="47" s="1"/>
  <c r="U32" i="47" s="1"/>
  <c r="U33" i="47" s="1"/>
  <c r="AB36" i="47"/>
  <c r="AB39" i="47" s="1"/>
  <c r="AB40" i="47" s="1"/>
  <c r="AD62" i="47"/>
  <c r="T61" i="66"/>
  <c r="S61" i="66" s="1"/>
  <c r="Y55" i="47"/>
  <c r="Y59" i="47" s="1"/>
  <c r="AD58" i="47"/>
  <c r="S65" i="66"/>
  <c r="AA44" i="47"/>
  <c r="AA47" i="47" s="1"/>
  <c r="AA51" i="47" s="1"/>
  <c r="S63" i="66"/>
  <c r="T65" i="60"/>
  <c r="BO65" i="66"/>
  <c r="AB65" i="66"/>
  <c r="AA65" i="66" s="1"/>
  <c r="CD56" i="66"/>
  <c r="U69" i="66"/>
  <c r="T22" i="47"/>
  <c r="T12" i="47" s="1"/>
  <c r="Q22" i="48"/>
  <c r="Q12" i="48" s="1"/>
  <c r="CB60" i="66"/>
  <c r="AB40" i="48"/>
  <c r="V39" i="48"/>
  <c r="AC40" i="48"/>
  <c r="W61" i="56"/>
  <c r="R37" i="48" s="1"/>
  <c r="V37" i="48"/>
  <c r="Q39" i="48"/>
  <c r="AG60" i="66"/>
  <c r="U40" i="47"/>
  <c r="S39" i="48"/>
  <c r="W37" i="48"/>
  <c r="X39" i="48"/>
  <c r="N37" i="48"/>
  <c r="O37" i="48"/>
  <c r="S37" i="48"/>
  <c r="AA40" i="48"/>
  <c r="CD58" i="66"/>
  <c r="Y39" i="48"/>
  <c r="AS64" i="66"/>
  <c r="Z40" i="48"/>
  <c r="W65" i="57"/>
  <c r="T39" i="48"/>
  <c r="AB52" i="47"/>
  <c r="AB55" i="47" s="1"/>
  <c r="AB59" i="47" s="1"/>
  <c r="V25" i="47"/>
  <c r="V7" i="47" s="1"/>
  <c r="CD42" i="66"/>
  <c r="CD50" i="66"/>
  <c r="CD44" i="66"/>
  <c r="S22" i="47"/>
  <c r="S12" i="47" s="1"/>
  <c r="CB6" i="66"/>
  <c r="CD14" i="66"/>
  <c r="CD20" i="66"/>
  <c r="CB13" i="66"/>
  <c r="CB69" i="66"/>
  <c r="U60" i="66"/>
  <c r="AK69" i="66"/>
  <c r="O25" i="47"/>
  <c r="O7" i="47" s="1"/>
  <c r="L64" i="66"/>
  <c r="K64" i="66" s="1"/>
  <c r="DO64" i="66" s="1"/>
  <c r="O47" i="47"/>
  <c r="O51" i="47" s="1"/>
  <c r="AW64" i="66"/>
  <c r="AR65" i="66"/>
  <c r="AQ65" i="66" s="1"/>
  <c r="AD50" i="47"/>
  <c r="Q65" i="60"/>
  <c r="Z54" i="48"/>
  <c r="AD54" i="48" s="1"/>
  <c r="K54" i="48"/>
  <c r="L54" i="48" s="1"/>
  <c r="U59" i="66"/>
  <c r="AD54" i="47"/>
  <c r="AK64" i="66"/>
  <c r="AC31" i="47"/>
  <c r="AC13" i="47" s="1"/>
  <c r="AQ63" i="66"/>
  <c r="Y59" i="66"/>
  <c r="BE60" i="66"/>
  <c r="P51" i="48"/>
  <c r="AV61" i="66"/>
  <c r="AU61" i="66" s="1"/>
  <c r="P25" i="47"/>
  <c r="P7" i="47" s="1"/>
  <c r="P10" i="47" s="1"/>
  <c r="P14" i="47" s="1"/>
  <c r="L69" i="66"/>
  <c r="K69" i="66" s="1"/>
  <c r="DO69" i="66" s="1"/>
  <c r="BE59" i="66"/>
  <c r="AK60" i="66"/>
  <c r="AG57" i="66"/>
  <c r="AS58" i="66"/>
  <c r="Q18" i="48"/>
  <c r="X37" i="48"/>
  <c r="CB36" i="66"/>
  <c r="N65" i="60"/>
  <c r="AD23" i="47"/>
  <c r="CD57" i="66"/>
  <c r="AG69" i="66"/>
  <c r="Y23" i="48"/>
  <c r="AO64" i="66"/>
  <c r="P39" i="48"/>
  <c r="Y60" i="66"/>
  <c r="AK59" i="66"/>
  <c r="AW69" i="66"/>
  <c r="AG78" i="66"/>
  <c r="Q77" i="66"/>
  <c r="AK78" i="66"/>
  <c r="U77" i="66"/>
  <c r="CB28" i="66"/>
  <c r="N47" i="48"/>
  <c r="P18" i="48"/>
  <c r="N18" i="48"/>
  <c r="S63" i="47"/>
  <c r="S67" i="47" s="1"/>
  <c r="K44" i="47"/>
  <c r="L44" i="47" s="1"/>
  <c r="W63" i="47"/>
  <c r="W67" i="47" s="1"/>
  <c r="AB60" i="47"/>
  <c r="AB63" i="47" s="1"/>
  <c r="AB67" i="47" s="1"/>
  <c r="V63" i="47"/>
  <c r="V67" i="47" s="1"/>
  <c r="CD64" i="66"/>
  <c r="CB64" i="66"/>
  <c r="P22" i="47"/>
  <c r="P12" i="47" s="1"/>
  <c r="AG75" i="66"/>
  <c r="CB49" i="66"/>
  <c r="CB37" i="66"/>
  <c r="Y18" i="48"/>
  <c r="S30" i="48"/>
  <c r="S13" i="48" s="1"/>
  <c r="X30" i="48"/>
  <c r="X13" i="48" s="1"/>
  <c r="Y57" i="66"/>
  <c r="BE58" i="66"/>
  <c r="CB52" i="66"/>
  <c r="R18" i="48"/>
  <c r="CB38" i="66"/>
  <c r="Y19" i="48"/>
  <c r="CB23" i="66"/>
  <c r="P37" i="48"/>
  <c r="Q37" i="48"/>
  <c r="U58" i="66"/>
  <c r="AS59" i="66"/>
  <c r="AS57" i="66"/>
  <c r="BA57" i="66"/>
  <c r="Q58" i="66"/>
  <c r="X44" i="48"/>
  <c r="S51" i="48"/>
  <c r="AG58" i="66"/>
  <c r="CB48" i="66"/>
  <c r="W18" i="48"/>
  <c r="AC59" i="66"/>
  <c r="CB63" i="66"/>
  <c r="CB40" i="66"/>
  <c r="CB45" i="66"/>
  <c r="X22" i="48"/>
  <c r="X12" i="48" s="1"/>
  <c r="Y22" i="48"/>
  <c r="Y12" i="48" s="1"/>
  <c r="U22" i="48"/>
  <c r="U12" i="48" s="1"/>
  <c r="AK75" i="66"/>
  <c r="U74" i="66"/>
  <c r="AD65" i="47"/>
  <c r="W79" i="59"/>
  <c r="B67" i="59"/>
  <c r="BA74" i="66"/>
  <c r="X50" i="48"/>
  <c r="V50" i="48"/>
  <c r="Z67" i="58"/>
  <c r="S50" i="48"/>
  <c r="T50" i="48"/>
  <c r="B67" i="58"/>
  <c r="B71" i="58" s="1"/>
  <c r="B81" i="58" s="1"/>
  <c r="Y25" i="47"/>
  <c r="Y28" i="47" s="1"/>
  <c r="Y32" i="47" s="1"/>
  <c r="Y33" i="47" s="1"/>
  <c r="AA52" i="47"/>
  <c r="AA55" i="47" s="1"/>
  <c r="AA59" i="47" s="1"/>
  <c r="W24" i="58"/>
  <c r="K52" i="47"/>
  <c r="L52" i="47" s="1"/>
  <c r="U43" i="48"/>
  <c r="AB44" i="47"/>
  <c r="AB47" i="47" s="1"/>
  <c r="AB51" i="47" s="1"/>
  <c r="V47" i="47"/>
  <c r="V51" i="47" s="1"/>
  <c r="B67" i="57"/>
  <c r="BU67" i="57" s="1"/>
  <c r="CD47" i="66"/>
  <c r="BO74" i="66"/>
  <c r="I44" i="66"/>
  <c r="I130" i="66" s="1"/>
  <c r="BS31" i="66"/>
  <c r="BV31" i="66" s="1"/>
  <c r="B67" i="56"/>
  <c r="BU67" i="56" s="1"/>
  <c r="CD27" i="66"/>
  <c r="CB26" i="66"/>
  <c r="CD34" i="66"/>
  <c r="X18" i="48"/>
  <c r="CD28" i="66"/>
  <c r="CD37" i="66"/>
  <c r="CD32" i="66"/>
  <c r="CD40" i="66"/>
  <c r="CD33" i="66"/>
  <c r="CD30" i="66"/>
  <c r="CD26" i="66"/>
  <c r="CD35" i="66"/>
  <c r="BI71" i="55"/>
  <c r="CD45" i="66"/>
  <c r="BC71" i="55"/>
  <c r="CD31" i="66"/>
  <c r="CD29" i="66"/>
  <c r="CD41" i="66"/>
  <c r="CD38" i="66"/>
  <c r="CD36" i="66"/>
  <c r="K60" i="47"/>
  <c r="L60" i="47" s="1"/>
  <c r="R25" i="47"/>
  <c r="R63" i="47"/>
  <c r="R67" i="47" s="1"/>
  <c r="AA60" i="47"/>
  <c r="AC60" i="47"/>
  <c r="AC63" i="47" s="1"/>
  <c r="AC67" i="47" s="1"/>
  <c r="CB11" i="66"/>
  <c r="CD6" i="66"/>
  <c r="CD8" i="66"/>
  <c r="CD13" i="66"/>
  <c r="CD9" i="66"/>
  <c r="CB14" i="66"/>
  <c r="CD19" i="66"/>
  <c r="Z60" i="47"/>
  <c r="Z63" i="47" s="1"/>
  <c r="Z67" i="47" s="1"/>
  <c r="CD7" i="66"/>
  <c r="CD10" i="66"/>
  <c r="AZ67" i="55"/>
  <c r="AZ71" i="55" s="1"/>
  <c r="CD11" i="66"/>
  <c r="Z67" i="59"/>
  <c r="N22" i="48"/>
  <c r="BH54" i="66"/>
  <c r="BG54" i="66" s="1"/>
  <c r="Y69" i="66"/>
  <c r="Y61" i="48"/>
  <c r="AC61" i="48" s="1"/>
  <c r="BI69" i="66"/>
  <c r="H69" i="66"/>
  <c r="I69" i="66" s="1"/>
  <c r="DN69" i="66"/>
  <c r="I29" i="66"/>
  <c r="I118" i="66" s="1"/>
  <c r="DN29" i="66"/>
  <c r="AC58" i="66"/>
  <c r="AK57" i="66"/>
  <c r="AK58" i="66"/>
  <c r="AO60" i="66"/>
  <c r="L48" i="66"/>
  <c r="K48" i="66" s="1"/>
  <c r="DO48" i="66" s="1"/>
  <c r="AM63" i="66"/>
  <c r="AN65" i="66"/>
  <c r="AM65" i="66" s="1"/>
  <c r="AW57" i="66"/>
  <c r="W51" i="48"/>
  <c r="P50" i="48"/>
  <c r="AC69" i="66"/>
  <c r="Y50" i="48"/>
  <c r="T51" i="48"/>
  <c r="AO58" i="66"/>
  <c r="O65" i="58"/>
  <c r="O81" i="58" s="1"/>
  <c r="O85" i="58" s="1"/>
  <c r="W54" i="58"/>
  <c r="R50" i="48" s="1"/>
  <c r="V51" i="48"/>
  <c r="L6" i="66"/>
  <c r="K6" i="66" s="1"/>
  <c r="DO6" i="66" s="1"/>
  <c r="AA6" i="66"/>
  <c r="W79" i="58"/>
  <c r="AN61" i="66"/>
  <c r="AM61" i="66" s="1"/>
  <c r="AM59" i="66"/>
  <c r="Q50" i="48"/>
  <c r="U50" i="48"/>
  <c r="V67" i="58"/>
  <c r="Q51" i="48"/>
  <c r="X51" i="48"/>
  <c r="Y51" i="48"/>
  <c r="W61" i="58"/>
  <c r="R51" i="48" s="1"/>
  <c r="BE69" i="66"/>
  <c r="AW59" i="66"/>
  <c r="BE64" i="66"/>
  <c r="AO73" i="66"/>
  <c r="AG77" i="66"/>
  <c r="AK77" i="66"/>
  <c r="BI59" i="66"/>
  <c r="AF61" i="66"/>
  <c r="AE61" i="66" s="1"/>
  <c r="BS53" i="66"/>
  <c r="BV53" i="66" s="1"/>
  <c r="W65" i="58"/>
  <c r="K65" i="58"/>
  <c r="K81" i="58" s="1"/>
  <c r="K85" i="58" s="1"/>
  <c r="U51" i="48"/>
  <c r="O51" i="48"/>
  <c r="Q47" i="48"/>
  <c r="AA47" i="48" s="1"/>
  <c r="I38" i="66"/>
  <c r="I127" i="66" s="1"/>
  <c r="DN38" i="66"/>
  <c r="AC64" i="66"/>
  <c r="BA69" i="66"/>
  <c r="AD49" i="47"/>
  <c r="AD45" i="47"/>
  <c r="Q43" i="48"/>
  <c r="Y44" i="48"/>
  <c r="BI64" i="66"/>
  <c r="I42" i="66"/>
  <c r="I128" i="66" s="1"/>
  <c r="DN42" i="66"/>
  <c r="DN63" i="66"/>
  <c r="I63" i="66"/>
  <c r="I149" i="66" s="1"/>
  <c r="Z67" i="57"/>
  <c r="U64" i="66"/>
  <c r="AS69" i="66"/>
  <c r="AW58" i="66"/>
  <c r="AZ24" i="66"/>
  <c r="L21" i="66"/>
  <c r="K21" i="66" s="1"/>
  <c r="DO21" i="66" s="1"/>
  <c r="DN40" i="66"/>
  <c r="BS26" i="66"/>
  <c r="BV26" i="66" s="1"/>
  <c r="V43" i="48"/>
  <c r="DN51" i="66"/>
  <c r="I51" i="66"/>
  <c r="I137" i="66" s="1"/>
  <c r="AA31" i="47"/>
  <c r="AA13" i="47" s="1"/>
  <c r="BA59" i="66"/>
  <c r="BA73" i="66"/>
  <c r="BK61" i="66"/>
  <c r="BM61" i="66"/>
  <c r="BS47" i="66"/>
  <c r="BV47" i="66" s="1"/>
  <c r="BS14" i="66"/>
  <c r="BV14" i="66" s="1"/>
  <c r="Y58" i="66"/>
  <c r="BE75" i="66"/>
  <c r="Y75" i="66"/>
  <c r="BI75" i="66"/>
  <c r="AC75" i="66"/>
  <c r="W79" i="57"/>
  <c r="BS13" i="66"/>
  <c r="BV13" i="66" s="1"/>
  <c r="BS41" i="66"/>
  <c r="BV41" i="66" s="1"/>
  <c r="P44" i="48"/>
  <c r="W61" i="57"/>
  <c r="R44" i="48" s="1"/>
  <c r="T43" i="48"/>
  <c r="BS12" i="66"/>
  <c r="BV12" i="66" s="1"/>
  <c r="BS46" i="66"/>
  <c r="BV46" i="66" s="1"/>
  <c r="U81" i="57"/>
  <c r="V67" i="57"/>
  <c r="DN28" i="66"/>
  <c r="I28" i="66"/>
  <c r="I117" i="66" s="1"/>
  <c r="K36" i="47"/>
  <c r="L36" i="47" s="1"/>
  <c r="BS21" i="66"/>
  <c r="BV21" i="66" s="1"/>
  <c r="AB31" i="47"/>
  <c r="AB13" i="47" s="1"/>
  <c r="U13" i="47"/>
  <c r="W22" i="66"/>
  <c r="L22" i="66"/>
  <c r="K22" i="66" s="1"/>
  <c r="DO22" i="66" s="1"/>
  <c r="AR24" i="66"/>
  <c r="BS37" i="66"/>
  <c r="DD37" i="66" s="1"/>
  <c r="I21" i="66"/>
  <c r="I104" i="66" s="1"/>
  <c r="DN21" i="66"/>
  <c r="AO59" i="66"/>
  <c r="AV24" i="66"/>
  <c r="AQ33" i="66"/>
  <c r="L33" i="66"/>
  <c r="K33" i="66" s="1"/>
  <c r="DO33" i="66" s="1"/>
  <c r="AE41" i="66"/>
  <c r="L41" i="66"/>
  <c r="K41" i="66" s="1"/>
  <c r="DO41" i="66" s="1"/>
  <c r="BI58" i="66"/>
  <c r="U37" i="48"/>
  <c r="BS23" i="66"/>
  <c r="BV23" i="66" s="1"/>
  <c r="BS7" i="66"/>
  <c r="BS51" i="66"/>
  <c r="BV51" i="66" s="1"/>
  <c r="AD67" i="66"/>
  <c r="AD71" i="66" s="1"/>
  <c r="L58" i="66"/>
  <c r="K58" i="66" s="1"/>
  <c r="DO58" i="66" s="1"/>
  <c r="BS44" i="66"/>
  <c r="BV44" i="66" s="1"/>
  <c r="BS52" i="66"/>
  <c r="BV52" i="66" s="1"/>
  <c r="BS45" i="66"/>
  <c r="BV45" i="66" s="1"/>
  <c r="BM54" i="66"/>
  <c r="X24" i="66"/>
  <c r="CD51" i="66"/>
  <c r="L31" i="66"/>
  <c r="K31" i="66" s="1"/>
  <c r="DO31" i="66" s="1"/>
  <c r="T37" i="48"/>
  <c r="AS60" i="66"/>
  <c r="P24" i="66"/>
  <c r="BK65" i="66"/>
  <c r="BS57" i="66"/>
  <c r="BV57" i="66" s="1"/>
  <c r="CD46" i="66"/>
  <c r="BC31" i="66"/>
  <c r="BK24" i="66"/>
  <c r="BS42" i="66"/>
  <c r="BV42" i="66" s="1"/>
  <c r="W24" i="56"/>
  <c r="L43" i="66"/>
  <c r="K43" i="66" s="1"/>
  <c r="DO43" i="66" s="1"/>
  <c r="AE11" i="66"/>
  <c r="L11" i="66"/>
  <c r="K11" i="66" s="1"/>
  <c r="DO11" i="66" s="1"/>
  <c r="AA28" i="66"/>
  <c r="L28" i="66"/>
  <c r="K28" i="66" s="1"/>
  <c r="DO28" i="66" s="1"/>
  <c r="W39" i="48"/>
  <c r="BA64" i="66"/>
  <c r="T36" i="48"/>
  <c r="N36" i="48"/>
  <c r="I35" i="66"/>
  <c r="I124" i="66" s="1"/>
  <c r="V36" i="48"/>
  <c r="AD37" i="47"/>
  <c r="S13" i="47"/>
  <c r="L60" i="66"/>
  <c r="K60" i="66" s="1"/>
  <c r="DO60" i="66" s="1"/>
  <c r="L49" i="66"/>
  <c r="K49" i="66" s="1"/>
  <c r="DO49" i="66" s="1"/>
  <c r="L13" i="66"/>
  <c r="K13" i="66" s="1"/>
  <c r="DO13" i="66" s="1"/>
  <c r="S7" i="66"/>
  <c r="L7" i="66"/>
  <c r="K7" i="66" s="1"/>
  <c r="DO7" i="66" s="1"/>
  <c r="AA12" i="66"/>
  <c r="L12" i="66"/>
  <c r="K12" i="66" s="1"/>
  <c r="DO12" i="66" s="1"/>
  <c r="AB24" i="66"/>
  <c r="W63" i="66"/>
  <c r="X65" i="66"/>
  <c r="W65" i="66" s="1"/>
  <c r="L63" i="66"/>
  <c r="K63" i="66" s="1"/>
  <c r="DO63" i="66" s="1"/>
  <c r="S47" i="66"/>
  <c r="L47" i="66"/>
  <c r="K47" i="66" s="1"/>
  <c r="DO47" i="66" s="1"/>
  <c r="DB48" i="66"/>
  <c r="BS48" i="66"/>
  <c r="BV48" i="66" s="1"/>
  <c r="Y30" i="48"/>
  <c r="S36" i="48"/>
  <c r="L19" i="66"/>
  <c r="K19" i="66" s="1"/>
  <c r="DO19" i="66" s="1"/>
  <c r="AE19" i="66"/>
  <c r="DN48" i="66"/>
  <c r="I48" i="66"/>
  <c r="I134" i="66" s="1"/>
  <c r="AY64" i="66"/>
  <c r="AZ65" i="66"/>
  <c r="AY65" i="66" s="1"/>
  <c r="AJ24" i="66"/>
  <c r="K40" i="48"/>
  <c r="L40" i="48" s="1"/>
  <c r="I32" i="66"/>
  <c r="I121" i="66" s="1"/>
  <c r="C67" i="60"/>
  <c r="AH67" i="66"/>
  <c r="AH71" i="66" s="1"/>
  <c r="DN20" i="66"/>
  <c r="I20" i="66"/>
  <c r="I103" i="66" s="1"/>
  <c r="I43" i="66"/>
  <c r="I129" i="66" s="1"/>
  <c r="DN43" i="66"/>
  <c r="I6" i="66"/>
  <c r="I87" i="66" s="1"/>
  <c r="L40" i="66"/>
  <c r="K40" i="66" s="1"/>
  <c r="DO40" i="66" s="1"/>
  <c r="Y37" i="48"/>
  <c r="AU8" i="66"/>
  <c r="L8" i="66"/>
  <c r="K8" i="66" s="1"/>
  <c r="DO8" i="66" s="1"/>
  <c r="BC63" i="66"/>
  <c r="BD65" i="66"/>
  <c r="BC65" i="66" s="1"/>
  <c r="AP67" i="66"/>
  <c r="AP71" i="66" s="1"/>
  <c r="BS28" i="66"/>
  <c r="BV28" i="66" s="1"/>
  <c r="BO24" i="66"/>
  <c r="BD24" i="66"/>
  <c r="BC9" i="66"/>
  <c r="S10" i="66"/>
  <c r="L10" i="66"/>
  <c r="K10" i="66" s="1"/>
  <c r="DO10" i="66" s="1"/>
  <c r="CZ33" i="66"/>
  <c r="BS33" i="66"/>
  <c r="BV33" i="66" s="1"/>
  <c r="AC36" i="47"/>
  <c r="AC39" i="47" s="1"/>
  <c r="X25" i="47"/>
  <c r="I53" i="66"/>
  <c r="I139" i="66" s="1"/>
  <c r="DN53" i="66"/>
  <c r="R30" i="48"/>
  <c r="R13" i="48" s="1"/>
  <c r="L18" i="66"/>
  <c r="K18" i="66" s="1"/>
  <c r="DO18" i="66" s="1"/>
  <c r="O67" i="60"/>
  <c r="CD12" i="66"/>
  <c r="CD52" i="66"/>
  <c r="AX67" i="66"/>
  <c r="AX71" i="66" s="1"/>
  <c r="BS20" i="66"/>
  <c r="BV20" i="66" s="1"/>
  <c r="BS30" i="66"/>
  <c r="BV30" i="66" s="1"/>
  <c r="BF67" i="66"/>
  <c r="BF71" i="66" s="1"/>
  <c r="V67" i="66"/>
  <c r="V71" i="66" s="1"/>
  <c r="L27" i="66"/>
  <c r="K27" i="66" s="1"/>
  <c r="DO27" i="66" s="1"/>
  <c r="P54" i="66"/>
  <c r="O54" i="66" s="1"/>
  <c r="AQ58" i="66"/>
  <c r="AR61" i="66"/>
  <c r="AQ61" i="66" s="1"/>
  <c r="N61" i="60"/>
  <c r="X61" i="66"/>
  <c r="W61" i="66" s="1"/>
  <c r="BQ54" i="66"/>
  <c r="BS10" i="66"/>
  <c r="BV10" i="66" s="1"/>
  <c r="BS34" i="66"/>
  <c r="BV34" i="66" s="1"/>
  <c r="BQ61" i="66"/>
  <c r="BS69" i="66"/>
  <c r="BV69" i="66" s="1"/>
  <c r="L67" i="60"/>
  <c r="R67" i="60"/>
  <c r="BS18" i="66"/>
  <c r="BV18" i="66" s="1"/>
  <c r="BS43" i="66"/>
  <c r="BV43" i="66" s="1"/>
  <c r="BS60" i="66"/>
  <c r="BV60" i="66" s="1"/>
  <c r="AT67" i="66"/>
  <c r="AT71" i="66" s="1"/>
  <c r="Y36" i="48"/>
  <c r="L37" i="66"/>
  <c r="K37" i="66" s="1"/>
  <c r="DO37" i="66" s="1"/>
  <c r="L53" i="66"/>
  <c r="K53" i="66" s="1"/>
  <c r="DO53" i="66" s="1"/>
  <c r="Q25" i="47"/>
  <c r="Q7" i="47" s="1"/>
  <c r="Q39" i="47"/>
  <c r="Q43" i="47" s="1"/>
  <c r="L52" i="66"/>
  <c r="K52" i="66" s="1"/>
  <c r="DO52" i="66" s="1"/>
  <c r="O52" i="66"/>
  <c r="Q61" i="60"/>
  <c r="T24" i="66"/>
  <c r="T54" i="60"/>
  <c r="AA30" i="47"/>
  <c r="AA11" i="47" s="1"/>
  <c r="L32" i="66"/>
  <c r="K32" i="66" s="1"/>
  <c r="DO32" i="66" s="1"/>
  <c r="BS39" i="66"/>
  <c r="BV39" i="66" s="1"/>
  <c r="U36" i="48"/>
  <c r="BS22" i="66"/>
  <c r="BV22" i="66" s="1"/>
  <c r="BS50" i="66"/>
  <c r="BV50" i="66" s="1"/>
  <c r="L42" i="66"/>
  <c r="K42" i="66" s="1"/>
  <c r="DO42" i="66" s="1"/>
  <c r="N24" i="60"/>
  <c r="O36" i="48"/>
  <c r="CD21" i="66"/>
  <c r="AE43" i="66"/>
  <c r="AF24" i="66"/>
  <c r="AN24" i="66"/>
  <c r="L23" i="66"/>
  <c r="K23" i="66" s="1"/>
  <c r="DO23" i="66" s="1"/>
  <c r="I14" i="66"/>
  <c r="I96" i="66" s="1"/>
  <c r="DN14" i="66"/>
  <c r="O29" i="66"/>
  <c r="BH24" i="66"/>
  <c r="BX54" i="66"/>
  <c r="CD54" i="66" s="1"/>
  <c r="X54" i="66"/>
  <c r="Q36" i="48"/>
  <c r="AF54" i="66"/>
  <c r="AE54" i="66" s="1"/>
  <c r="BS11" i="66"/>
  <c r="BV11" i="66" s="1"/>
  <c r="W36" i="48"/>
  <c r="AR54" i="66"/>
  <c r="AQ54" i="66" s="1"/>
  <c r="I67" i="60"/>
  <c r="W54" i="56"/>
  <c r="BO61" i="66"/>
  <c r="AE27" i="66"/>
  <c r="L26" i="66"/>
  <c r="K26" i="66" s="1"/>
  <c r="DO26" i="66" s="1"/>
  <c r="AZ54" i="66"/>
  <c r="AY54" i="66" s="1"/>
  <c r="U81" i="56"/>
  <c r="V67" i="56"/>
  <c r="L36" i="66"/>
  <c r="K36" i="66" s="1"/>
  <c r="DO36" i="66" s="1"/>
  <c r="AD42" i="47"/>
  <c r="L35" i="66"/>
  <c r="K35" i="66" s="1"/>
  <c r="DO35" i="66" s="1"/>
  <c r="L30" i="66"/>
  <c r="K30" i="66" s="1"/>
  <c r="DO30" i="66" s="1"/>
  <c r="AB27" i="47"/>
  <c r="AB9" i="47" s="1"/>
  <c r="I52" i="66"/>
  <c r="I138" i="66" s="1"/>
  <c r="DN52" i="66"/>
  <c r="AN54" i="66"/>
  <c r="AM54" i="66" s="1"/>
  <c r="Q54" i="60"/>
  <c r="AC30" i="47"/>
  <c r="AC11" i="47" s="1"/>
  <c r="L45" i="66"/>
  <c r="K45" i="66" s="1"/>
  <c r="DO45" i="66" s="1"/>
  <c r="AY6" i="60"/>
  <c r="N54" i="60"/>
  <c r="BS63" i="66"/>
  <c r="BV63" i="66" s="1"/>
  <c r="BS49" i="66"/>
  <c r="BV49" i="66" s="1"/>
  <c r="Z67" i="56"/>
  <c r="AD38" i="47"/>
  <c r="K31" i="47"/>
  <c r="L31" i="47" s="1"/>
  <c r="Z31" i="47"/>
  <c r="Z13" i="47" s="1"/>
  <c r="L14" i="66"/>
  <c r="K14" i="66" s="1"/>
  <c r="DO14" i="66" s="1"/>
  <c r="L20" i="66"/>
  <c r="K20" i="66" s="1"/>
  <c r="DO20" i="66" s="1"/>
  <c r="I27" i="66"/>
  <c r="I116" i="66" s="1"/>
  <c r="DN27" i="66"/>
  <c r="I33" i="66"/>
  <c r="I122" i="66" s="1"/>
  <c r="DN33" i="66"/>
  <c r="BS58" i="66"/>
  <c r="BV58" i="66" s="1"/>
  <c r="Z67" i="66"/>
  <c r="Z71" i="66" s="1"/>
  <c r="BO54" i="66"/>
  <c r="I57" i="66"/>
  <c r="I143" i="66" s="1"/>
  <c r="L46" i="66"/>
  <c r="K46" i="66" s="1"/>
  <c r="DO46" i="66" s="1"/>
  <c r="I12" i="66"/>
  <c r="I94" i="66" s="1"/>
  <c r="DN12" i="66"/>
  <c r="I60" i="66"/>
  <c r="I146" i="66" s="1"/>
  <c r="DN60" i="66"/>
  <c r="AL67" i="66"/>
  <c r="DN37" i="66"/>
  <c r="DN58" i="66"/>
  <c r="L50" i="66"/>
  <c r="K50" i="66" s="1"/>
  <c r="DO50" i="66" s="1"/>
  <c r="R67" i="66"/>
  <c r="R71" i="66" s="1"/>
  <c r="BM65" i="66"/>
  <c r="DN7" i="66"/>
  <c r="BS29" i="66"/>
  <c r="BV29" i="66" s="1"/>
  <c r="I19" i="66"/>
  <c r="I102" i="66" s="1"/>
  <c r="DN19" i="66"/>
  <c r="I30" i="66"/>
  <c r="I119" i="66" s="1"/>
  <c r="DN30" i="66"/>
  <c r="I31" i="66"/>
  <c r="I120" i="66" s="1"/>
  <c r="DN31" i="66"/>
  <c r="DN56" i="66"/>
  <c r="BS40" i="66"/>
  <c r="BV40" i="66" s="1"/>
  <c r="BS8" i="66"/>
  <c r="I23" i="66"/>
  <c r="DN23" i="66"/>
  <c r="BX24" i="66"/>
  <c r="CD22" i="66"/>
  <c r="BS38" i="66"/>
  <c r="I47" i="66"/>
  <c r="I133" i="66" s="1"/>
  <c r="DN47" i="66"/>
  <c r="CZ27" i="66"/>
  <c r="BS27" i="66"/>
  <c r="I46" i="66"/>
  <c r="I132" i="66" s="1"/>
  <c r="DN46" i="66"/>
  <c r="BM24" i="66"/>
  <c r="BK54" i="66"/>
  <c r="L44" i="66"/>
  <c r="K44" i="66" s="1"/>
  <c r="DO44" i="66" s="1"/>
  <c r="BS64" i="66"/>
  <c r="BV64" i="66" s="1"/>
  <c r="BS6" i="66"/>
  <c r="DN10" i="66"/>
  <c r="I10" i="66"/>
  <c r="I92" i="66" s="1"/>
  <c r="BS19" i="66"/>
  <c r="BV19" i="66" s="1"/>
  <c r="BS35" i="66"/>
  <c r="BV35" i="66" s="1"/>
  <c r="I49" i="66"/>
  <c r="I135" i="66" s="1"/>
  <c r="DN49" i="66"/>
  <c r="BS56" i="66"/>
  <c r="BV56" i="66" s="1"/>
  <c r="DN8" i="66"/>
  <c r="I8" i="66"/>
  <c r="I89" i="66" s="1"/>
  <c r="N67" i="66"/>
  <c r="N71" i="66" s="1"/>
  <c r="Q78" i="66"/>
  <c r="Q75" i="66"/>
  <c r="AG74" i="66"/>
  <c r="BA78" i="66"/>
  <c r="U78" i="66"/>
  <c r="BA75" i="66"/>
  <c r="U75" i="66"/>
  <c r="CD18" i="66"/>
  <c r="CB30" i="66"/>
  <c r="Y64" i="66"/>
  <c r="P61" i="48"/>
  <c r="P30" i="48" s="1"/>
  <c r="P13" i="48" s="1"/>
  <c r="Q61" i="48"/>
  <c r="AC57" i="66"/>
  <c r="AG64" i="66"/>
  <c r="AG59" i="66"/>
  <c r="AO69" i="66"/>
  <c r="AO57" i="66"/>
  <c r="AW60" i="66"/>
  <c r="BE57" i="66"/>
  <c r="BI57" i="66"/>
  <c r="Q60" i="66"/>
  <c r="AC73" i="66"/>
  <c r="BE77" i="66"/>
  <c r="Y77" i="66"/>
  <c r="Y74" i="66"/>
  <c r="BI77" i="66"/>
  <c r="AC77" i="66"/>
  <c r="AC74" i="66"/>
  <c r="O43" i="48"/>
  <c r="P43" i="48"/>
  <c r="CB12" i="66"/>
  <c r="B61" i="60"/>
  <c r="BH61" i="60" s="1"/>
  <c r="CB42" i="66"/>
  <c r="CB8" i="66"/>
  <c r="L23" i="47"/>
  <c r="V44" i="48"/>
  <c r="W44" i="48"/>
  <c r="CB18" i="66"/>
  <c r="CB19" i="66"/>
  <c r="CB35" i="66"/>
  <c r="S18" i="48"/>
  <c r="U57" i="66"/>
  <c r="AC60" i="66"/>
  <c r="V30" i="48"/>
  <c r="V13" i="48" s="1"/>
  <c r="BI78" i="66"/>
  <c r="AC78" i="66"/>
  <c r="F67" i="60"/>
  <c r="CB33" i="66"/>
  <c r="CB34" i="66"/>
  <c r="U18" i="48"/>
  <c r="CB51" i="66"/>
  <c r="S44" i="48"/>
  <c r="W54" i="57"/>
  <c r="R43" i="48" s="1"/>
  <c r="X67" i="60"/>
  <c r="AJ67" i="60"/>
  <c r="X43" i="48"/>
  <c r="O44" i="48"/>
  <c r="O47" i="48"/>
  <c r="O30" i="48" s="1"/>
  <c r="O13" i="48" s="1"/>
  <c r="W24" i="57"/>
  <c r="CB9" i="66"/>
  <c r="AB47" i="48"/>
  <c r="W43" i="48"/>
  <c r="W47" i="48"/>
  <c r="AC47" i="48" s="1"/>
  <c r="T44" i="48"/>
  <c r="U44" i="48"/>
  <c r="B65" i="60"/>
  <c r="BH65" i="60" s="1"/>
  <c r="AA67" i="60"/>
  <c r="AD67" i="60"/>
  <c r="F67" i="66"/>
  <c r="G67" i="66" s="1"/>
  <c r="F12" i="48"/>
  <c r="J12" i="48"/>
  <c r="BA60" i="66"/>
  <c r="BA77" i="66"/>
  <c r="BE74" i="66"/>
  <c r="B24" i="60"/>
  <c r="AB30" i="47"/>
  <c r="AB11" i="47" s="1"/>
  <c r="Y78" i="66"/>
  <c r="Q73" i="66"/>
  <c r="Q74" i="66"/>
  <c r="B54" i="60"/>
  <c r="BH54" i="60" s="1"/>
  <c r="AG67" i="60"/>
  <c r="BG71" i="55"/>
  <c r="CA24" i="66"/>
  <c r="CA81" i="66" s="1"/>
  <c r="CB32" i="66"/>
  <c r="U67" i="60"/>
  <c r="AC23" i="48"/>
  <c r="AD23" i="48" s="1"/>
  <c r="T23" i="48"/>
  <c r="BI74" i="66"/>
  <c r="AW77" i="66"/>
  <c r="AW74" i="66"/>
  <c r="AV54" i="66"/>
  <c r="AW78" i="66"/>
  <c r="AW75" i="66"/>
  <c r="L78" i="66"/>
  <c r="K78" i="66" s="1"/>
  <c r="L77" i="66"/>
  <c r="K77" i="66" s="1"/>
  <c r="L75" i="66"/>
  <c r="K75" i="66" s="1"/>
  <c r="AK74" i="66"/>
  <c r="AA39" i="66"/>
  <c r="AB54" i="66"/>
  <c r="AA54" i="66" s="1"/>
  <c r="S39" i="66"/>
  <c r="T54" i="66"/>
  <c r="S54" i="66" s="1"/>
  <c r="L39" i="66"/>
  <c r="K39" i="66" s="1"/>
  <c r="L45" i="47"/>
  <c r="AM24" i="60"/>
  <c r="BH61" i="66"/>
  <c r="DN9" i="66"/>
  <c r="DN13" i="66"/>
  <c r="I13" i="66"/>
  <c r="I95" i="66" s="1"/>
  <c r="DN41" i="66"/>
  <c r="I41" i="66"/>
  <c r="I111" i="66" s="1"/>
  <c r="BX65" i="66"/>
  <c r="BQ65" i="66"/>
  <c r="J65" i="66"/>
  <c r="DN26" i="66"/>
  <c r="I26" i="66"/>
  <c r="I115" i="66" s="1"/>
  <c r="I36" i="66"/>
  <c r="I125" i="66" s="1"/>
  <c r="DN36" i="66"/>
  <c r="DN50" i="66"/>
  <c r="I50" i="66"/>
  <c r="I136" i="66" s="1"/>
  <c r="DN64" i="66"/>
  <c r="BS9" i="66"/>
  <c r="BC56" i="66"/>
  <c r="BD61" i="66"/>
  <c r="BC61" i="66" s="1"/>
  <c r="DC36" i="66"/>
  <c r="BS36" i="66"/>
  <c r="J61" i="66"/>
  <c r="BX61" i="66"/>
  <c r="CD61" i="66" s="1"/>
  <c r="BD54" i="66"/>
  <c r="BB67" i="66"/>
  <c r="I11" i="66"/>
  <c r="I93" i="66" s="1"/>
  <c r="DN11" i="66"/>
  <c r="DN18" i="66"/>
  <c r="I18" i="66"/>
  <c r="I101" i="66" s="1"/>
  <c r="I99" i="66" s="1"/>
  <c r="I22" i="66"/>
  <c r="DN22" i="66"/>
  <c r="DC32" i="66"/>
  <c r="BS32" i="66"/>
  <c r="DN34" i="66"/>
  <c r="I34" i="66"/>
  <c r="I123" i="66" s="1"/>
  <c r="DN45" i="66"/>
  <c r="I45" i="66"/>
  <c r="I131" i="66" s="1"/>
  <c r="J24" i="66"/>
  <c r="BQ24" i="66"/>
  <c r="AD41" i="47"/>
  <c r="K30" i="47"/>
  <c r="L30" i="47" s="1"/>
  <c r="AI59" i="66"/>
  <c r="AJ61" i="66"/>
  <c r="AI61" i="66" s="1"/>
  <c r="L73" i="66"/>
  <c r="K73" i="66" s="1"/>
  <c r="AA59" i="66"/>
  <c r="AB61" i="66"/>
  <c r="AA61" i="66" s="1"/>
  <c r="W34" i="66"/>
  <c r="L34" i="66"/>
  <c r="K34" i="66" s="1"/>
  <c r="DO34" i="66" s="1"/>
  <c r="W9" i="66"/>
  <c r="L9" i="66"/>
  <c r="F28" i="47"/>
  <c r="E32" i="47"/>
  <c r="E33" i="47" s="1"/>
  <c r="D33" i="47"/>
  <c r="D69" i="47"/>
  <c r="U61" i="48"/>
  <c r="U30" i="48" s="1"/>
  <c r="U13" i="48" s="1"/>
  <c r="BI73" i="66"/>
  <c r="AS73" i="66"/>
  <c r="BE78" i="66"/>
  <c r="AO77" i="66"/>
  <c r="AO74" i="66"/>
  <c r="AS78" i="66"/>
  <c r="AS75" i="66"/>
  <c r="X11" i="47"/>
  <c r="R11" i="47"/>
  <c r="CD39" i="66"/>
  <c r="AU38" i="66"/>
  <c r="L38" i="66"/>
  <c r="K38" i="66" s="1"/>
  <c r="DO38" i="66" s="1"/>
  <c r="AI48" i="66"/>
  <c r="AJ54" i="66"/>
  <c r="AI54" i="66" s="1"/>
  <c r="T61" i="60"/>
  <c r="Q24" i="60"/>
  <c r="V67" i="59"/>
  <c r="BI60" i="66"/>
  <c r="L21" i="47"/>
  <c r="BE73" i="66"/>
  <c r="Y73" i="66"/>
  <c r="T11" i="47"/>
  <c r="J54" i="66"/>
  <c r="P19" i="48"/>
  <c r="AU51" i="66"/>
  <c r="L51" i="66"/>
  <c r="K51" i="66" s="1"/>
  <c r="DO51" i="66" s="1"/>
  <c r="O9" i="47"/>
  <c r="Z27" i="47"/>
  <c r="Z9" i="47" s="1"/>
  <c r="AD19" i="47"/>
  <c r="Q8" i="47"/>
  <c r="BA58" i="66"/>
  <c r="AK73" i="66"/>
  <c r="U73" i="66"/>
  <c r="AO78" i="66"/>
  <c r="AO75" i="66"/>
  <c r="AS77" i="66"/>
  <c r="AS74" i="66"/>
  <c r="P11" i="47"/>
  <c r="CB39" i="66"/>
  <c r="F28" i="48"/>
  <c r="F7" i="48"/>
  <c r="CB50" i="66"/>
  <c r="AW73" i="66"/>
  <c r="W79" i="56"/>
  <c r="AG73" i="66"/>
  <c r="Z30" i="47"/>
  <c r="W59" i="66"/>
  <c r="L59" i="66"/>
  <c r="AY59" i="66"/>
  <c r="AZ61" i="66"/>
  <c r="F14" i="48"/>
  <c r="F10" i="48"/>
  <c r="V18" i="48"/>
  <c r="AU29" i="66"/>
  <c r="L29" i="66"/>
  <c r="K29" i="66" s="1"/>
  <c r="DO29" i="66" s="1"/>
  <c r="I33" i="47"/>
  <c r="L12" i="47"/>
  <c r="E14" i="47"/>
  <c r="F14" i="47" s="1"/>
  <c r="J12" i="47"/>
  <c r="I10" i="47"/>
  <c r="J7" i="47"/>
  <c r="AD21" i="47"/>
  <c r="T61" i="48"/>
  <c r="T30" i="48" s="1"/>
  <c r="BS78" i="66"/>
  <c r="BK79" i="66"/>
  <c r="BO79" i="66"/>
  <c r="BS75" i="66"/>
  <c r="AX79" i="66"/>
  <c r="AX81" i="66" s="1"/>
  <c r="O79" i="60"/>
  <c r="O81" i="60" s="1"/>
  <c r="AH79" i="66"/>
  <c r="AH81" i="66" s="1"/>
  <c r="AA79" i="60"/>
  <c r="AA81" i="60" s="1"/>
  <c r="U79" i="60"/>
  <c r="U81" i="60" s="1"/>
  <c r="C79" i="60"/>
  <c r="L79" i="60"/>
  <c r="L81" i="60" s="1"/>
  <c r="F79" i="66"/>
  <c r="I73" i="66"/>
  <c r="I159" i="66" s="1"/>
  <c r="BS73" i="66"/>
  <c r="N61" i="48"/>
  <c r="Q69" i="66"/>
  <c r="Q64" i="66"/>
  <c r="Q59" i="66"/>
  <c r="V8" i="47"/>
  <c r="AB26" i="47"/>
  <c r="AB8" i="47" s="1"/>
  <c r="W8" i="47"/>
  <c r="AC26" i="47"/>
  <c r="AC8" i="47" s="1"/>
  <c r="Q63" i="66"/>
  <c r="S8" i="47"/>
  <c r="AA26" i="47"/>
  <c r="AD61" i="47"/>
  <c r="X9" i="47"/>
  <c r="AC27" i="47"/>
  <c r="K27" i="47"/>
  <c r="BI63" i="66"/>
  <c r="Y57" i="48"/>
  <c r="BI56" i="66"/>
  <c r="Y58" i="48"/>
  <c r="BE63" i="66"/>
  <c r="X57" i="48"/>
  <c r="X58" i="48"/>
  <c r="BE56" i="66"/>
  <c r="BA56" i="66"/>
  <c r="W58" i="48"/>
  <c r="BA63" i="66"/>
  <c r="W57" i="48"/>
  <c r="AW63" i="66"/>
  <c r="V57" i="48"/>
  <c r="V58" i="48"/>
  <c r="AW56" i="66"/>
  <c r="AS56" i="66"/>
  <c r="U58" i="48"/>
  <c r="AS63" i="66"/>
  <c r="U57" i="48"/>
  <c r="AO63" i="66"/>
  <c r="T57" i="48"/>
  <c r="AO56" i="66"/>
  <c r="T58" i="48"/>
  <c r="AK63" i="66"/>
  <c r="S57" i="48"/>
  <c r="AK56" i="66"/>
  <c r="S58" i="48"/>
  <c r="AG63" i="66"/>
  <c r="W65" i="59"/>
  <c r="W54" i="59"/>
  <c r="R57" i="48" s="1"/>
  <c r="W61" i="59"/>
  <c r="R58" i="48" s="1"/>
  <c r="AG56" i="66"/>
  <c r="W24" i="59"/>
  <c r="Q58" i="48"/>
  <c r="AC56" i="66"/>
  <c r="AC63" i="66"/>
  <c r="Q57" i="48"/>
  <c r="P58" i="48"/>
  <c r="Y56" i="66"/>
  <c r="Y63" i="66"/>
  <c r="P57" i="48"/>
  <c r="U56" i="66"/>
  <c r="O58" i="48"/>
  <c r="U63" i="66"/>
  <c r="O57" i="48"/>
  <c r="AR85" i="56" l="1"/>
  <c r="BI85" i="56" s="1"/>
  <c r="BL85" i="56" s="1"/>
  <c r="BO85" i="56" s="1"/>
  <c r="BI83" i="56"/>
  <c r="BL83" i="56" s="1"/>
  <c r="BO83" i="56" s="1"/>
  <c r="AR85" i="59"/>
  <c r="BI85" i="59" s="1"/>
  <c r="BL85" i="59" s="1"/>
  <c r="BO85" i="59" s="1"/>
  <c r="BI83" i="59"/>
  <c r="BL83" i="59" s="1"/>
  <c r="BO83" i="59" s="1"/>
  <c r="AR85" i="58"/>
  <c r="BI85" i="58" s="1"/>
  <c r="BL85" i="58" s="1"/>
  <c r="BO85" i="58" s="1"/>
  <c r="BI83" i="58"/>
  <c r="BL83" i="58" s="1"/>
  <c r="BO83" i="58" s="1"/>
  <c r="AR85" i="57"/>
  <c r="BI85" i="57" s="1"/>
  <c r="BL85" i="57" s="1"/>
  <c r="BO85" i="57" s="1"/>
  <c r="BI83" i="57"/>
  <c r="BL83" i="57" s="1"/>
  <c r="BO83" i="57" s="1"/>
  <c r="W81" i="57"/>
  <c r="W85" i="57" s="1"/>
  <c r="BT81" i="59"/>
  <c r="BT85" i="59" s="1"/>
  <c r="W81" i="59"/>
  <c r="W85" i="59" s="1"/>
  <c r="BT67" i="59"/>
  <c r="BT71" i="59" s="1"/>
  <c r="B71" i="59"/>
  <c r="BU67" i="59"/>
  <c r="BT54" i="56"/>
  <c r="R36" i="48"/>
  <c r="R26" i="48" s="1"/>
  <c r="R8" i="48" s="1"/>
  <c r="W81" i="56"/>
  <c r="W85" i="56" s="1"/>
  <c r="W81" i="58"/>
  <c r="W85" i="58" s="1"/>
  <c r="O8" i="47"/>
  <c r="O10" i="47" s="1"/>
  <c r="O14" i="47" s="1"/>
  <c r="K26" i="47"/>
  <c r="K8" i="47" s="1"/>
  <c r="L8" i="47" s="1"/>
  <c r="Z55" i="47"/>
  <c r="Z59" i="47" s="1"/>
  <c r="N28" i="47"/>
  <c r="N32" i="47" s="1"/>
  <c r="N69" i="47" s="1"/>
  <c r="BS81" i="56"/>
  <c r="BS71" i="56"/>
  <c r="S28" i="47"/>
  <c r="S32" i="47" s="1"/>
  <c r="S33" i="47" s="1"/>
  <c r="Z8" i="47"/>
  <c r="Z20" i="47"/>
  <c r="Z24" i="47" s="1"/>
  <c r="BQ81" i="55"/>
  <c r="BU81" i="55" s="1"/>
  <c r="BQ67" i="55"/>
  <c r="BQ83" i="55" s="1"/>
  <c r="BU24" i="55"/>
  <c r="BD24" i="60"/>
  <c r="W7" i="47"/>
  <c r="W10" i="47" s="1"/>
  <c r="W14" i="47" s="1"/>
  <c r="T28" i="47"/>
  <c r="T32" i="47" s="1"/>
  <c r="T33" i="47" s="1"/>
  <c r="N10" i="47"/>
  <c r="N14" i="47" s="1"/>
  <c r="V22" i="48"/>
  <c r="V12" i="48" s="1"/>
  <c r="AC19" i="48"/>
  <c r="AD17" i="47"/>
  <c r="X17" i="48"/>
  <c r="X20" i="48" s="1"/>
  <c r="X24" i="48" s="1"/>
  <c r="K20" i="47"/>
  <c r="L20" i="47" s="1"/>
  <c r="Z19" i="48"/>
  <c r="S17" i="48"/>
  <c r="S20" i="48" s="1"/>
  <c r="S24" i="48" s="1"/>
  <c r="B71" i="56"/>
  <c r="B71" i="57"/>
  <c r="BN16" i="66"/>
  <c r="DN61" i="66"/>
  <c r="I91" i="66"/>
  <c r="N12" i="48"/>
  <c r="Q40" i="47"/>
  <c r="AB39" i="48"/>
  <c r="BR15" i="66"/>
  <c r="BR16" i="66"/>
  <c r="BO81" i="66"/>
  <c r="AU24" i="66"/>
  <c r="DN24" i="66"/>
  <c r="BX81" i="66"/>
  <c r="AE24" i="66"/>
  <c r="S24" i="66"/>
  <c r="AI24" i="66"/>
  <c r="BK81" i="66"/>
  <c r="W24" i="66"/>
  <c r="BP15" i="66"/>
  <c r="BG24" i="66"/>
  <c r="O24" i="66"/>
  <c r="AY24" i="66"/>
  <c r="BC24" i="66"/>
  <c r="AA24" i="66"/>
  <c r="AQ24" i="66"/>
  <c r="V35" i="48"/>
  <c r="V38" i="48" s="1"/>
  <c r="V41" i="48" s="1"/>
  <c r="O35" i="48"/>
  <c r="O38" i="48" s="1"/>
  <c r="O41" i="48" s="1"/>
  <c r="Q35" i="48"/>
  <c r="Q38" i="48" s="1"/>
  <c r="Q41" i="48" s="1"/>
  <c r="P35" i="48"/>
  <c r="O49" i="48"/>
  <c r="Y27" i="48"/>
  <c r="Y9" i="48" s="1"/>
  <c r="W42" i="48"/>
  <c r="W45" i="48" s="1"/>
  <c r="W48" i="48" s="1"/>
  <c r="Y35" i="48"/>
  <c r="Y38" i="48" s="1"/>
  <c r="Y41" i="48" s="1"/>
  <c r="V49" i="48"/>
  <c r="V52" i="48" s="1"/>
  <c r="V55" i="48" s="1"/>
  <c r="T35" i="48"/>
  <c r="T38" i="48" s="1"/>
  <c r="T41" i="48" s="1"/>
  <c r="BN17" i="66"/>
  <c r="BR17" i="66"/>
  <c r="BP17" i="66"/>
  <c r="BL17" i="66"/>
  <c r="M17" i="66"/>
  <c r="BN15" i="66"/>
  <c r="M15" i="66"/>
  <c r="BL15" i="66"/>
  <c r="BL16" i="66"/>
  <c r="M16" i="66"/>
  <c r="S35" i="48"/>
  <c r="S38" i="48" s="1"/>
  <c r="S41" i="48" s="1"/>
  <c r="W35" i="48"/>
  <c r="W38" i="48" s="1"/>
  <c r="W41" i="48" s="1"/>
  <c r="X35" i="48"/>
  <c r="U35" i="48"/>
  <c r="U38" i="48" s="1"/>
  <c r="U41" i="48" s="1"/>
  <c r="U49" i="48"/>
  <c r="U52" i="48" s="1"/>
  <c r="U55" i="48" s="1"/>
  <c r="Q49" i="48"/>
  <c r="Q52" i="48" s="1"/>
  <c r="Q55" i="48" s="1"/>
  <c r="R49" i="48"/>
  <c r="R52" i="48" s="1"/>
  <c r="R55" i="48" s="1"/>
  <c r="X49" i="48"/>
  <c r="X52" i="48" s="1"/>
  <c r="X55" i="48" s="1"/>
  <c r="W49" i="48"/>
  <c r="Y42" i="48"/>
  <c r="BP16" i="66"/>
  <c r="C81" i="60"/>
  <c r="Z22" i="48"/>
  <c r="Z12" i="48" s="1"/>
  <c r="AA19" i="48"/>
  <c r="U7" i="47"/>
  <c r="U10" i="47" s="1"/>
  <c r="U14" i="47" s="1"/>
  <c r="AB22" i="48"/>
  <c r="AB12" i="48" s="1"/>
  <c r="BA79" i="55"/>
  <c r="AS65" i="66"/>
  <c r="AD52" i="47"/>
  <c r="AD55" i="47" s="1"/>
  <c r="AD59" i="47" s="1"/>
  <c r="BD79" i="55"/>
  <c r="AD40" i="48"/>
  <c r="O39" i="48"/>
  <c r="Z39" i="48" s="1"/>
  <c r="Z37" i="48"/>
  <c r="AA37" i="48"/>
  <c r="AA39" i="48"/>
  <c r="AC39" i="48"/>
  <c r="BN21" i="66"/>
  <c r="AC37" i="48"/>
  <c r="BP64" i="66"/>
  <c r="Y40" i="47"/>
  <c r="BR49" i="66"/>
  <c r="AB25" i="47"/>
  <c r="AB28" i="47" s="1"/>
  <c r="AB32" i="47" s="1"/>
  <c r="AB33" i="47" s="1"/>
  <c r="V10" i="47"/>
  <c r="V14" i="47" s="1"/>
  <c r="V28" i="47"/>
  <c r="V32" i="47" s="1"/>
  <c r="V33" i="47" s="1"/>
  <c r="BN50" i="66"/>
  <c r="Z25" i="47"/>
  <c r="Z7" i="47" s="1"/>
  <c r="P28" i="47"/>
  <c r="P32" i="47" s="1"/>
  <c r="P33" i="47" s="1"/>
  <c r="O28" i="47"/>
  <c r="O32" i="47" s="1"/>
  <c r="O33" i="47" s="1"/>
  <c r="Y13" i="48"/>
  <c r="AW65" i="66"/>
  <c r="BL44" i="66"/>
  <c r="K23" i="48"/>
  <c r="L23" i="48" s="1"/>
  <c r="BN60" i="66"/>
  <c r="Q30" i="48"/>
  <c r="Q13" i="48" s="1"/>
  <c r="BN57" i="66"/>
  <c r="R27" i="48"/>
  <c r="BN64" i="66"/>
  <c r="BR43" i="66"/>
  <c r="AK65" i="66"/>
  <c r="BN20" i="66"/>
  <c r="BL60" i="66"/>
  <c r="BR48" i="66"/>
  <c r="BN34" i="66"/>
  <c r="AG61" i="66"/>
  <c r="BR50" i="66"/>
  <c r="BP45" i="66"/>
  <c r="Z61" i="48"/>
  <c r="BL58" i="66"/>
  <c r="BR20" i="66"/>
  <c r="BN69" i="66"/>
  <c r="BN44" i="66"/>
  <c r="R17" i="48"/>
  <c r="N43" i="48"/>
  <c r="Z43" i="48" s="1"/>
  <c r="T17" i="48"/>
  <c r="N58" i="48"/>
  <c r="K58" i="48" s="1"/>
  <c r="BR22" i="66"/>
  <c r="AB37" i="48"/>
  <c r="O42" i="48"/>
  <c r="O45" i="48" s="1"/>
  <c r="O48" i="48" s="1"/>
  <c r="Q42" i="48"/>
  <c r="BR23" i="66"/>
  <c r="AC30" i="48"/>
  <c r="AC13" i="48" s="1"/>
  <c r="N30" i="48"/>
  <c r="N13" i="48" s="1"/>
  <c r="N42" i="48"/>
  <c r="O17" i="48"/>
  <c r="BN78" i="66"/>
  <c r="BD24" i="55"/>
  <c r="V42" i="48"/>
  <c r="V45" i="48" s="1"/>
  <c r="V48" i="48" s="1"/>
  <c r="BN28" i="66"/>
  <c r="BR51" i="66"/>
  <c r="BR69" i="66"/>
  <c r="BL22" i="66"/>
  <c r="N50" i="48"/>
  <c r="N17" i="48"/>
  <c r="U17" i="48"/>
  <c r="U20" i="48" s="1"/>
  <c r="U24" i="48" s="1"/>
  <c r="Q17" i="48"/>
  <c r="Q20" i="48" s="1"/>
  <c r="Q24" i="48" s="1"/>
  <c r="N44" i="48"/>
  <c r="Z44" i="48" s="1"/>
  <c r="N49" i="48"/>
  <c r="N57" i="48"/>
  <c r="Z57" i="48" s="1"/>
  <c r="S42" i="48"/>
  <c r="BP49" i="66"/>
  <c r="U42" i="48"/>
  <c r="U45" i="48" s="1"/>
  <c r="U48" i="48" s="1"/>
  <c r="P17" i="48"/>
  <c r="P20" i="48" s="1"/>
  <c r="P24" i="48" s="1"/>
  <c r="BN22" i="66"/>
  <c r="BL69" i="66"/>
  <c r="T42" i="48"/>
  <c r="T45" i="48" s="1"/>
  <c r="T48" i="48" s="1"/>
  <c r="BD54" i="55"/>
  <c r="AA18" i="48" s="1"/>
  <c r="BN53" i="66"/>
  <c r="BR13" i="66"/>
  <c r="BR10" i="66"/>
  <c r="K47" i="47"/>
  <c r="L47" i="47" s="1"/>
  <c r="AD44" i="47"/>
  <c r="AD47" i="47" s="1"/>
  <c r="AD51" i="47" s="1"/>
  <c r="AD60" i="47"/>
  <c r="AD63" i="47" s="1"/>
  <c r="AD67" i="47" s="1"/>
  <c r="CB65" i="66"/>
  <c r="Z22" i="47"/>
  <c r="Z12" i="47" s="1"/>
  <c r="BN75" i="66"/>
  <c r="BR39" i="66"/>
  <c r="BR52" i="66"/>
  <c r="BL35" i="66"/>
  <c r="BP46" i="66"/>
  <c r="BN42" i="66"/>
  <c r="BR12" i="66"/>
  <c r="BR44" i="66"/>
  <c r="BR47" i="66"/>
  <c r="BN46" i="66"/>
  <c r="BL52" i="66"/>
  <c r="BP47" i="66"/>
  <c r="BL19" i="66"/>
  <c r="BN27" i="66"/>
  <c r="BP40" i="66"/>
  <c r="BL28" i="66"/>
  <c r="BL46" i="66"/>
  <c r="AK61" i="66"/>
  <c r="BR58" i="66"/>
  <c r="W17" i="48"/>
  <c r="W20" i="48" s="1"/>
  <c r="W24" i="48" s="1"/>
  <c r="BP20" i="66"/>
  <c r="BP32" i="66"/>
  <c r="BL51" i="66"/>
  <c r="P27" i="48"/>
  <c r="P9" i="48" s="1"/>
  <c r="AB61" i="48"/>
  <c r="AB30" i="48" s="1"/>
  <c r="AB13" i="48" s="1"/>
  <c r="X27" i="48"/>
  <c r="X9" i="48" s="1"/>
  <c r="BE65" i="66"/>
  <c r="BL45" i="66"/>
  <c r="T13" i="48"/>
  <c r="BP9" i="66"/>
  <c r="BP21" i="66"/>
  <c r="BN7" i="66"/>
  <c r="BL36" i="66"/>
  <c r="BP22" i="66"/>
  <c r="BL42" i="66"/>
  <c r="BN37" i="66"/>
  <c r="BN45" i="66"/>
  <c r="BL9" i="66"/>
  <c r="BP58" i="66"/>
  <c r="BP28" i="66"/>
  <c r="BN49" i="66"/>
  <c r="BN58" i="66"/>
  <c r="BO79" i="55"/>
  <c r="S27" i="48"/>
  <c r="S9" i="48" s="1"/>
  <c r="P36" i="48"/>
  <c r="Z36" i="48" s="1"/>
  <c r="BN30" i="66"/>
  <c r="BN38" i="66"/>
  <c r="BH24" i="55"/>
  <c r="BA24" i="55"/>
  <c r="BA54" i="55"/>
  <c r="Z18" i="48" s="1"/>
  <c r="T22" i="48"/>
  <c r="T12" i="48" s="1"/>
  <c r="W22" i="47"/>
  <c r="AA22" i="47"/>
  <c r="AA12" i="47" s="1"/>
  <c r="BR75" i="66"/>
  <c r="Y7" i="47"/>
  <c r="Y10" i="47" s="1"/>
  <c r="Y14" i="47" s="1"/>
  <c r="BR8" i="66"/>
  <c r="BP8" i="66"/>
  <c r="BP7" i="66"/>
  <c r="K63" i="47"/>
  <c r="K67" i="47" s="1"/>
  <c r="L67" i="47" s="1"/>
  <c r="AA63" i="47"/>
  <c r="AA67" i="47" s="1"/>
  <c r="BL14" i="66"/>
  <c r="BL11" i="66"/>
  <c r="Z71" i="58"/>
  <c r="O50" i="48"/>
  <c r="BN52" i="66"/>
  <c r="W67" i="58"/>
  <c r="W71" i="58" s="1"/>
  <c r="BN31" i="66"/>
  <c r="BL33" i="66"/>
  <c r="BL31" i="66"/>
  <c r="AC25" i="47"/>
  <c r="AC7" i="47" s="1"/>
  <c r="BR18" i="66"/>
  <c r="K55" i="47"/>
  <c r="K59" i="47" s="1"/>
  <c r="L59" i="47" s="1"/>
  <c r="BP18" i="66"/>
  <c r="BL13" i="66"/>
  <c r="BR40" i="66"/>
  <c r="BP33" i="66"/>
  <c r="BP34" i="66"/>
  <c r="BP41" i="66"/>
  <c r="BN32" i="66"/>
  <c r="BL34" i="66"/>
  <c r="BL27" i="66"/>
  <c r="BL30" i="66"/>
  <c r="BP14" i="66"/>
  <c r="BN12" i="66"/>
  <c r="BP38" i="66"/>
  <c r="BN41" i="66"/>
  <c r="BN51" i="66"/>
  <c r="BL48" i="66"/>
  <c r="BL47" i="66"/>
  <c r="BY48" i="66"/>
  <c r="CE48" i="66" s="1"/>
  <c r="BR41" i="66"/>
  <c r="BR32" i="66"/>
  <c r="BR33" i="66"/>
  <c r="BP36" i="66"/>
  <c r="AB43" i="47"/>
  <c r="BP29" i="66"/>
  <c r="BN33" i="66"/>
  <c r="AA43" i="47"/>
  <c r="M41" i="66"/>
  <c r="DP41" i="66" s="1"/>
  <c r="BL38" i="66"/>
  <c r="AD36" i="47"/>
  <c r="AD39" i="47" s="1"/>
  <c r="AD43" i="47" s="1"/>
  <c r="K39" i="47"/>
  <c r="K43" i="47" s="1"/>
  <c r="L43" i="47" s="1"/>
  <c r="BK54" i="55"/>
  <c r="BL21" i="66"/>
  <c r="V71" i="59"/>
  <c r="R28" i="47"/>
  <c r="R32" i="47" s="1"/>
  <c r="R33" i="47" s="1"/>
  <c r="R7" i="47"/>
  <c r="R10" i="47" s="1"/>
  <c r="R14" i="47" s="1"/>
  <c r="BR21" i="66"/>
  <c r="BR11" i="66"/>
  <c r="BR19" i="66"/>
  <c r="BK24" i="55"/>
  <c r="BY19" i="66"/>
  <c r="CE19" i="66" s="1"/>
  <c r="AV67" i="66"/>
  <c r="AU67" i="66" s="1"/>
  <c r="BP11" i="66"/>
  <c r="BN11" i="66"/>
  <c r="BN8" i="66"/>
  <c r="BL10" i="66"/>
  <c r="BL12" i="66"/>
  <c r="R22" i="48"/>
  <c r="R12" i="48" s="1"/>
  <c r="U22" i="47"/>
  <c r="U24" i="66"/>
  <c r="BN48" i="66"/>
  <c r="BP57" i="66"/>
  <c r="M40" i="66"/>
  <c r="DP40" i="66" s="1"/>
  <c r="BL41" i="66"/>
  <c r="AA61" i="48"/>
  <c r="AA30" i="48" s="1"/>
  <c r="AA13" i="48" s="1"/>
  <c r="BP35" i="66"/>
  <c r="Q10" i="47"/>
  <c r="Q14" i="47" s="1"/>
  <c r="BR42" i="66"/>
  <c r="BL29" i="66"/>
  <c r="BN35" i="66"/>
  <c r="BL39" i="66"/>
  <c r="BP50" i="66"/>
  <c r="BR27" i="66"/>
  <c r="BR34" i="66"/>
  <c r="T67" i="66"/>
  <c r="S67" i="66" s="1"/>
  <c r="BY49" i="66"/>
  <c r="CE49" i="66" s="1"/>
  <c r="M59" i="66"/>
  <c r="BR28" i="66"/>
  <c r="BN36" i="66"/>
  <c r="BP42" i="66"/>
  <c r="BP23" i="66"/>
  <c r="BP39" i="66"/>
  <c r="M8" i="66"/>
  <c r="DP8" i="66" s="1"/>
  <c r="BP48" i="66"/>
  <c r="M22" i="66"/>
  <c r="DP22" i="66" s="1"/>
  <c r="BI65" i="66"/>
  <c r="BS54" i="66"/>
  <c r="BV54" i="66" s="1"/>
  <c r="AC51" i="48"/>
  <c r="AA51" i="48"/>
  <c r="V71" i="58"/>
  <c r="Y49" i="48"/>
  <c r="BY41" i="66"/>
  <c r="CE41" i="66" s="1"/>
  <c r="M11" i="66"/>
  <c r="DP11" i="66" s="1"/>
  <c r="BP30" i="66"/>
  <c r="BY8" i="66"/>
  <c r="CE8" i="66" s="1"/>
  <c r="BL40" i="66"/>
  <c r="U26" i="48"/>
  <c r="U8" i="48" s="1"/>
  <c r="M64" i="66"/>
  <c r="DP64" i="66" s="1"/>
  <c r="BR64" i="66"/>
  <c r="T49" i="48"/>
  <c r="T52" i="48" s="1"/>
  <c r="T55" i="48" s="1"/>
  <c r="BY34" i="66"/>
  <c r="CE34" i="66" s="1"/>
  <c r="M35" i="66"/>
  <c r="DP35" i="66" s="1"/>
  <c r="BY32" i="66"/>
  <c r="CE32" i="66" s="1"/>
  <c r="W50" i="48"/>
  <c r="W26" i="48" s="1"/>
  <c r="W8" i="48" s="1"/>
  <c r="AB51" i="48"/>
  <c r="M32" i="66"/>
  <c r="DP32" i="66" s="1"/>
  <c r="BR53" i="66"/>
  <c r="M52" i="66"/>
  <c r="DP52" i="66" s="1"/>
  <c r="BP69" i="66"/>
  <c r="BN40" i="66"/>
  <c r="BL43" i="66"/>
  <c r="BR35" i="66"/>
  <c r="BN43" i="66"/>
  <c r="P49" i="48"/>
  <c r="P52" i="48" s="1"/>
  <c r="P55" i="48" s="1"/>
  <c r="U67" i="57"/>
  <c r="V71" i="57"/>
  <c r="U71" i="57" s="1"/>
  <c r="BL32" i="66"/>
  <c r="S10" i="47"/>
  <c r="S14" i="47" s="1"/>
  <c r="BY64" i="66"/>
  <c r="CE64" i="66" s="1"/>
  <c r="BR45" i="66"/>
  <c r="BP13" i="66"/>
  <c r="BR57" i="66"/>
  <c r="BP44" i="66"/>
  <c r="AN67" i="66"/>
  <c r="AN71" i="66" s="1"/>
  <c r="Z71" i="57"/>
  <c r="BL8" i="66"/>
  <c r="Y61" i="66"/>
  <c r="AG65" i="66"/>
  <c r="V26" i="48"/>
  <c r="V8" i="48" s="1"/>
  <c r="BR31" i="66"/>
  <c r="BR7" i="66"/>
  <c r="AD31" i="47"/>
  <c r="AD13" i="47" s="1"/>
  <c r="BN29" i="66"/>
  <c r="BR36" i="66"/>
  <c r="BP60" i="66"/>
  <c r="BR29" i="66"/>
  <c r="AB43" i="48"/>
  <c r="BY18" i="66"/>
  <c r="CE18" i="66" s="1"/>
  <c r="BY30" i="66"/>
  <c r="CE30" i="66" s="1"/>
  <c r="BN14" i="66"/>
  <c r="M14" i="66"/>
  <c r="DP14" i="66" s="1"/>
  <c r="BN9" i="66"/>
  <c r="M9" i="66"/>
  <c r="DP9" i="66" s="1"/>
  <c r="X28" i="47"/>
  <c r="X32" i="47" s="1"/>
  <c r="X33" i="47" s="1"/>
  <c r="X7" i="47"/>
  <c r="X10" i="47" s="1"/>
  <c r="X14" i="47" s="1"/>
  <c r="BL23" i="66"/>
  <c r="DD7" i="66"/>
  <c r="BV7" i="66"/>
  <c r="BN39" i="66"/>
  <c r="M39" i="66"/>
  <c r="BO67" i="66"/>
  <c r="BO72" i="66" s="1"/>
  <c r="AL71" i="66"/>
  <c r="N67" i="60"/>
  <c r="AM24" i="66"/>
  <c r="BY7" i="66"/>
  <c r="CE7" i="66" s="1"/>
  <c r="BL37" i="66"/>
  <c r="BY37" i="66"/>
  <c r="CE37" i="66" s="1"/>
  <c r="R35" i="48"/>
  <c r="W67" i="56"/>
  <c r="W71" i="56" s="1"/>
  <c r="M34" i="66"/>
  <c r="DP34" i="66" s="1"/>
  <c r="BY11" i="66"/>
  <c r="CE11" i="66" s="1"/>
  <c r="BY35" i="66"/>
  <c r="CE35" i="66" s="1"/>
  <c r="AS61" i="66"/>
  <c r="BE24" i="66"/>
  <c r="N35" i="48"/>
  <c r="N38" i="48" s="1"/>
  <c r="N41" i="48" s="1"/>
  <c r="K37" i="48"/>
  <c r="L37" i="48" s="1"/>
  <c r="BN19" i="66"/>
  <c r="BY40" i="66"/>
  <c r="CE40" i="66" s="1"/>
  <c r="BS65" i="66"/>
  <c r="BV65" i="66" s="1"/>
  <c r="BV37" i="66"/>
  <c r="BY36" i="66"/>
  <c r="CE36" i="66" s="1"/>
  <c r="BP12" i="66"/>
  <c r="BL7" i="66"/>
  <c r="AG54" i="66"/>
  <c r="AK54" i="66"/>
  <c r="U27" i="48"/>
  <c r="U9" i="48" s="1"/>
  <c r="BI24" i="66"/>
  <c r="BY38" i="66"/>
  <c r="CE38" i="66" s="1"/>
  <c r="BR37" i="66"/>
  <c r="BR9" i="66"/>
  <c r="BY14" i="66"/>
  <c r="CE14" i="66" s="1"/>
  <c r="BY50" i="66"/>
  <c r="CE50" i="66" s="1"/>
  <c r="AC40" i="47"/>
  <c r="AC43" i="47"/>
  <c r="BY33" i="66"/>
  <c r="CE33" i="66" s="1"/>
  <c r="AG24" i="66"/>
  <c r="Q28" i="47"/>
  <c r="Q32" i="47" s="1"/>
  <c r="Q33" i="47" s="1"/>
  <c r="BY20" i="66"/>
  <c r="CE20" i="66" s="1"/>
  <c r="AA25" i="47"/>
  <c r="AA7" i="47" s="1"/>
  <c r="M20" i="66"/>
  <c r="DP20" i="66" s="1"/>
  <c r="Y54" i="66"/>
  <c r="Y24" i="66"/>
  <c r="M53" i="66"/>
  <c r="DP53" i="66" s="1"/>
  <c r="AF67" i="66"/>
  <c r="AF71" i="66" s="1"/>
  <c r="AE71" i="66" s="1"/>
  <c r="BP31" i="66"/>
  <c r="BN13" i="66"/>
  <c r="BL75" i="66"/>
  <c r="M19" i="66"/>
  <c r="DP19" i="66" s="1"/>
  <c r="AR67" i="66"/>
  <c r="AQ67" i="66" s="1"/>
  <c r="BS61" i="66"/>
  <c r="BV61" i="66" s="1"/>
  <c r="M27" i="66"/>
  <c r="DP27" i="66" s="1"/>
  <c r="BL20" i="66"/>
  <c r="M31" i="66"/>
  <c r="DP31" i="66" s="1"/>
  <c r="BY39" i="66"/>
  <c r="CE39" i="66" s="1"/>
  <c r="BL53" i="66"/>
  <c r="Y65" i="66"/>
  <c r="K25" i="47"/>
  <c r="BM67" i="66"/>
  <c r="BM72" i="66" s="1"/>
  <c r="BY51" i="66"/>
  <c r="CE51" i="66" s="1"/>
  <c r="BY46" i="66"/>
  <c r="CE46" i="66" s="1"/>
  <c r="BY12" i="66"/>
  <c r="CE12" i="66" s="1"/>
  <c r="BL18" i="66"/>
  <c r="X67" i="66"/>
  <c r="W67" i="66" s="1"/>
  <c r="BY28" i="66"/>
  <c r="CE28" i="66" s="1"/>
  <c r="M50" i="66"/>
  <c r="DP50" i="66" s="1"/>
  <c r="V71" i="56"/>
  <c r="M28" i="66"/>
  <c r="DP28" i="66" s="1"/>
  <c r="M49" i="66"/>
  <c r="DP49" i="66" s="1"/>
  <c r="BI61" i="66"/>
  <c r="BR14" i="66"/>
  <c r="AD30" i="47"/>
  <c r="AD11" i="47" s="1"/>
  <c r="BP19" i="66"/>
  <c r="W54" i="66"/>
  <c r="BS24" i="66"/>
  <c r="K13" i="47"/>
  <c r="L13" i="47" s="1"/>
  <c r="M60" i="66"/>
  <c r="DP60" i="66" s="1"/>
  <c r="M36" i="66"/>
  <c r="DP36" i="66" s="1"/>
  <c r="Z71" i="56"/>
  <c r="Z40" i="47"/>
  <c r="Z43" i="47"/>
  <c r="M38" i="66"/>
  <c r="DP38" i="66" s="1"/>
  <c r="M46" i="66"/>
  <c r="DP46" i="66" s="1"/>
  <c r="M45" i="66"/>
  <c r="DP45" i="66" s="1"/>
  <c r="BP43" i="66"/>
  <c r="M18" i="66"/>
  <c r="DP18" i="66" s="1"/>
  <c r="M48" i="66"/>
  <c r="DP48" i="66" s="1"/>
  <c r="BL49" i="66"/>
  <c r="BY69" i="66"/>
  <c r="CE69" i="66" s="1"/>
  <c r="BY52" i="66"/>
  <c r="CE52" i="66" s="1"/>
  <c r="M30" i="66"/>
  <c r="DP30" i="66" s="1"/>
  <c r="AU54" i="66"/>
  <c r="BN18" i="66"/>
  <c r="BP52" i="66"/>
  <c r="BY47" i="66"/>
  <c r="CE47" i="66" s="1"/>
  <c r="BV27" i="66"/>
  <c r="DD27" i="66"/>
  <c r="BV8" i="66"/>
  <c r="DD8" i="66"/>
  <c r="BY29" i="66"/>
  <c r="CE29" i="66" s="1"/>
  <c r="M42" i="66"/>
  <c r="DP42" i="66" s="1"/>
  <c r="M33" i="66"/>
  <c r="DP33" i="66" s="1"/>
  <c r="M13" i="66"/>
  <c r="DP13" i="66" s="1"/>
  <c r="M51" i="66"/>
  <c r="DP51" i="66" s="1"/>
  <c r="BL64" i="66"/>
  <c r="AS54" i="66"/>
  <c r="AW61" i="66"/>
  <c r="BI54" i="66"/>
  <c r="BK67" i="66"/>
  <c r="BK72" i="66" s="1"/>
  <c r="AJ67" i="66"/>
  <c r="AJ71" i="66" s="1"/>
  <c r="AI71" i="66" s="1"/>
  <c r="BN47" i="66"/>
  <c r="BP78" i="66"/>
  <c r="BR73" i="66"/>
  <c r="BP27" i="66"/>
  <c r="CD24" i="66"/>
  <c r="BL78" i="66"/>
  <c r="BV38" i="66"/>
  <c r="DD38" i="66"/>
  <c r="M37" i="66"/>
  <c r="DP37" i="66" s="1"/>
  <c r="BY53" i="66"/>
  <c r="CE53" i="66" s="1"/>
  <c r="BV6" i="66"/>
  <c r="DD6" i="66"/>
  <c r="I56" i="66"/>
  <c r="I142" i="66" s="1"/>
  <c r="H61" i="66"/>
  <c r="I61" i="66" s="1"/>
  <c r="M12" i="66"/>
  <c r="DP12" i="66" s="1"/>
  <c r="BY21" i="66"/>
  <c r="CE21" i="66" s="1"/>
  <c r="M7" i="66"/>
  <c r="DP7" i="66" s="1"/>
  <c r="BY44" i="66"/>
  <c r="CE44" i="66" s="1"/>
  <c r="AW24" i="66"/>
  <c r="BX67" i="66"/>
  <c r="BL50" i="66"/>
  <c r="BP53" i="66"/>
  <c r="BY31" i="66"/>
  <c r="CE31" i="66" s="1"/>
  <c r="BP10" i="66"/>
  <c r="X42" i="48"/>
  <c r="X45" i="48" s="1"/>
  <c r="X48" i="48" s="1"/>
  <c r="P42" i="48"/>
  <c r="M29" i="66"/>
  <c r="DP29" i="66" s="1"/>
  <c r="BY9" i="66"/>
  <c r="CE9" i="66" s="1"/>
  <c r="BY45" i="66"/>
  <c r="CE45" i="66" s="1"/>
  <c r="M47" i="66"/>
  <c r="DP47" i="66" s="1"/>
  <c r="M69" i="66"/>
  <c r="DP69" i="66" s="1"/>
  <c r="M58" i="66"/>
  <c r="DP58" i="66" s="1"/>
  <c r="BY60" i="66"/>
  <c r="CE60" i="66" s="1"/>
  <c r="AS24" i="66"/>
  <c r="V27" i="48"/>
  <c r="V9" i="48" s="1"/>
  <c r="W30" i="48"/>
  <c r="W13" i="48" s="1"/>
  <c r="BE61" i="66"/>
  <c r="BP37" i="66"/>
  <c r="BR46" i="66"/>
  <c r="BR60" i="66"/>
  <c r="BR78" i="66"/>
  <c r="AB44" i="48"/>
  <c r="R42" i="48"/>
  <c r="W67" i="57"/>
  <c r="W71" i="57" s="1"/>
  <c r="Y43" i="48"/>
  <c r="K47" i="48"/>
  <c r="L47" i="48" s="1"/>
  <c r="Z47" i="48"/>
  <c r="AD47" i="48" s="1"/>
  <c r="BY27" i="66"/>
  <c r="CE27" i="66" s="1"/>
  <c r="BY42" i="66"/>
  <c r="CE42" i="66" s="1"/>
  <c r="M21" i="66"/>
  <c r="DP21" i="66" s="1"/>
  <c r="BY13" i="66"/>
  <c r="CE13" i="66" s="1"/>
  <c r="BY22" i="66"/>
  <c r="CE22" i="66" s="1"/>
  <c r="BY58" i="66"/>
  <c r="CE58" i="66" s="1"/>
  <c r="U54" i="66"/>
  <c r="K61" i="48"/>
  <c r="M44" i="66"/>
  <c r="DP44" i="66" s="1"/>
  <c r="BH54" i="55"/>
  <c r="AC18" i="48" s="1"/>
  <c r="Q44" i="48"/>
  <c r="Q27" i="48" s="1"/>
  <c r="Q9" i="48" s="1"/>
  <c r="F71" i="66"/>
  <c r="E34" i="47"/>
  <c r="BE54" i="66"/>
  <c r="BR38" i="66"/>
  <c r="AW54" i="66"/>
  <c r="B67" i="60"/>
  <c r="M43" i="66"/>
  <c r="DP43" i="66" s="1"/>
  <c r="BY43" i="66"/>
  <c r="CE43" i="66" s="1"/>
  <c r="M77" i="66"/>
  <c r="K11" i="47"/>
  <c r="L11" i="47" s="1"/>
  <c r="Q65" i="66"/>
  <c r="Y17" i="48"/>
  <c r="Y20" i="48" s="1"/>
  <c r="Y24" i="48" s="1"/>
  <c r="AY24" i="60"/>
  <c r="T18" i="48"/>
  <c r="CA67" i="66"/>
  <c r="AC44" i="48"/>
  <c r="BL73" i="66"/>
  <c r="L54" i="66"/>
  <c r="K54" i="66" s="1"/>
  <c r="DO54" i="66" s="1"/>
  <c r="BG61" i="66"/>
  <c r="BH67" i="66"/>
  <c r="BB71" i="66"/>
  <c r="BQ67" i="66"/>
  <c r="BQ72" i="66" s="1"/>
  <c r="BV36" i="66"/>
  <c r="DD36" i="66"/>
  <c r="X36" i="48"/>
  <c r="X26" i="48" s="1"/>
  <c r="X8" i="48" s="1"/>
  <c r="I64" i="66"/>
  <c r="I150" i="66" s="1"/>
  <c r="H65" i="66"/>
  <c r="I65" i="66" s="1"/>
  <c r="BV32" i="66"/>
  <c r="DD32" i="66"/>
  <c r="BC54" i="66"/>
  <c r="BD67" i="66"/>
  <c r="BV9" i="66"/>
  <c r="DD9" i="66"/>
  <c r="I9" i="66"/>
  <c r="I90" i="66" s="1"/>
  <c r="I86" i="66" s="1"/>
  <c r="H24" i="66"/>
  <c r="I24" i="66" s="1"/>
  <c r="BP51" i="66"/>
  <c r="AB36" i="48"/>
  <c r="AB67" i="66"/>
  <c r="K9" i="66"/>
  <c r="DO9" i="66" s="1"/>
  <c r="L24" i="66"/>
  <c r="Z11" i="47"/>
  <c r="J32" i="47"/>
  <c r="J33" i="47"/>
  <c r="F33" i="47"/>
  <c r="E69" i="47"/>
  <c r="F32" i="47"/>
  <c r="S43" i="48"/>
  <c r="AY61" i="66"/>
  <c r="AZ67" i="66"/>
  <c r="BN73" i="66"/>
  <c r="N19" i="48"/>
  <c r="BP75" i="66"/>
  <c r="CB56" i="66"/>
  <c r="CB61" i="66"/>
  <c r="I39" i="66"/>
  <c r="I112" i="66" s="1"/>
  <c r="H54" i="66"/>
  <c r="AB50" i="48"/>
  <c r="CB10" i="66"/>
  <c r="M75" i="66"/>
  <c r="K59" i="66"/>
  <c r="V17" i="48"/>
  <c r="F31" i="48"/>
  <c r="F32" i="48"/>
  <c r="M78" i="66"/>
  <c r="AA50" i="48"/>
  <c r="BP73" i="66"/>
  <c r="BR30" i="66"/>
  <c r="M73" i="66"/>
  <c r="O18" i="48"/>
  <c r="J55" i="66"/>
  <c r="DN55" i="66" s="1"/>
  <c r="J67" i="66"/>
  <c r="DN54" i="66"/>
  <c r="Q67" i="60"/>
  <c r="R19" i="48"/>
  <c r="CB54" i="66"/>
  <c r="I14" i="47"/>
  <c r="J14" i="47" s="1"/>
  <c r="J10" i="47"/>
  <c r="AG79" i="60"/>
  <c r="AG81" i="60" s="1"/>
  <c r="J74" i="66"/>
  <c r="AD79" i="66"/>
  <c r="AD81" i="66" s="1"/>
  <c r="BM74" i="66"/>
  <c r="AD79" i="60"/>
  <c r="AD81" i="60" s="1"/>
  <c r="B74" i="60"/>
  <c r="BH74" i="60" s="1"/>
  <c r="BQ74" i="66"/>
  <c r="BB79" i="66"/>
  <c r="R79" i="60"/>
  <c r="R81" i="60" s="1"/>
  <c r="G79" i="66"/>
  <c r="G81" i="66" s="1"/>
  <c r="H81" i="66" s="1"/>
  <c r="K9" i="47"/>
  <c r="L9" i="47" s="1"/>
  <c r="L27" i="47"/>
  <c r="AA8" i="47"/>
  <c r="AD26" i="47"/>
  <c r="AD8" i="47" s="1"/>
  <c r="AC9" i="47"/>
  <c r="AD27" i="47"/>
  <c r="AD9" i="47" s="1"/>
  <c r="Y56" i="48"/>
  <c r="X56" i="48"/>
  <c r="AC57" i="48"/>
  <c r="BA65" i="66"/>
  <c r="BR63" i="66"/>
  <c r="BR6" i="66"/>
  <c r="BA24" i="66"/>
  <c r="W27" i="48"/>
  <c r="W9" i="48" s="1"/>
  <c r="AC58" i="48"/>
  <c r="BR26" i="66"/>
  <c r="BA54" i="66"/>
  <c r="W56" i="48"/>
  <c r="BR56" i="66"/>
  <c r="BA61" i="66"/>
  <c r="V56" i="48"/>
  <c r="U56" i="48"/>
  <c r="T56" i="48"/>
  <c r="AB57" i="48"/>
  <c r="T26" i="48"/>
  <c r="BP63" i="66"/>
  <c r="AO65" i="66"/>
  <c r="AO24" i="66"/>
  <c r="BP6" i="66"/>
  <c r="AB58" i="48"/>
  <c r="T27" i="48"/>
  <c r="T9" i="48" s="1"/>
  <c r="AO61" i="66"/>
  <c r="BP56" i="66"/>
  <c r="BP26" i="66"/>
  <c r="AO54" i="66"/>
  <c r="S56" i="48"/>
  <c r="R56" i="48"/>
  <c r="W67" i="59"/>
  <c r="W71" i="59" s="1"/>
  <c r="Q26" i="48"/>
  <c r="Q8" i="48" s="1"/>
  <c r="AA57" i="48"/>
  <c r="Q56" i="48"/>
  <c r="AC61" i="66"/>
  <c r="BN56" i="66"/>
  <c r="AA58" i="48"/>
  <c r="BN26" i="66"/>
  <c r="AC54" i="66"/>
  <c r="AC65" i="66"/>
  <c r="BN63" i="66"/>
  <c r="AC24" i="66"/>
  <c r="BN6" i="66"/>
  <c r="P56" i="48"/>
  <c r="O27" i="48"/>
  <c r="O9" i="48" s="1"/>
  <c r="U61" i="66"/>
  <c r="BL63" i="66"/>
  <c r="M63" i="66"/>
  <c r="DP63" i="66" s="1"/>
  <c r="U65" i="66"/>
  <c r="BY63" i="66"/>
  <c r="CE63" i="66" s="1"/>
  <c r="O56" i="48"/>
  <c r="Q24" i="66"/>
  <c r="BL6" i="66"/>
  <c r="M6" i="66"/>
  <c r="BY6" i="66"/>
  <c r="CE6" i="66" s="1"/>
  <c r="N56" i="48"/>
  <c r="BL26" i="66"/>
  <c r="Q54" i="66"/>
  <c r="BY26" i="66"/>
  <c r="CE26" i="66" s="1"/>
  <c r="M26" i="66"/>
  <c r="R38" i="48" l="1"/>
  <c r="R41" i="48" s="1"/>
  <c r="B81" i="57"/>
  <c r="BU81" i="57" s="1"/>
  <c r="BU71" i="57"/>
  <c r="L26" i="47"/>
  <c r="B81" i="59"/>
  <c r="BU81" i="59" s="1"/>
  <c r="BU71" i="59"/>
  <c r="BU83" i="55"/>
  <c r="BQ85" i="55"/>
  <c r="BU85" i="55" s="1"/>
  <c r="AA36" i="48"/>
  <c r="BT67" i="56"/>
  <c r="BT71" i="56" s="1"/>
  <c r="BT81" i="56"/>
  <c r="BT85" i="56" s="1"/>
  <c r="B81" i="56"/>
  <c r="BU81" i="56" s="1"/>
  <c r="BU71" i="56"/>
  <c r="K28" i="47"/>
  <c r="K32" i="47" s="1"/>
  <c r="N33" i="47"/>
  <c r="O67" i="58"/>
  <c r="O71" i="58"/>
  <c r="BS67" i="56"/>
  <c r="Z10" i="47"/>
  <c r="Z14" i="47" s="1"/>
  <c r="K24" i="47"/>
  <c r="AD20" i="47"/>
  <c r="AD24" i="47" s="1"/>
  <c r="BD81" i="60"/>
  <c r="BD67" i="60"/>
  <c r="BQ71" i="55"/>
  <c r="BU71" i="55" s="1"/>
  <c r="BU67" i="55"/>
  <c r="Y45" i="48"/>
  <c r="Y48" i="48" s="1"/>
  <c r="K30" i="48"/>
  <c r="K13" i="48" s="1"/>
  <c r="L13" i="48" s="1"/>
  <c r="Z17" i="48"/>
  <c r="Z20" i="48" s="1"/>
  <c r="Z24" i="48" s="1"/>
  <c r="AC17" i="48"/>
  <c r="AC20" i="48" s="1"/>
  <c r="AC24" i="48" s="1"/>
  <c r="AA17" i="48"/>
  <c r="AA20" i="48" s="1"/>
  <c r="AA24" i="48" s="1"/>
  <c r="AD19" i="48"/>
  <c r="AC35" i="48"/>
  <c r="O52" i="48"/>
  <c r="O55" i="48" s="1"/>
  <c r="BT15" i="66"/>
  <c r="BT17" i="66"/>
  <c r="K24" i="66"/>
  <c r="BV24" i="66"/>
  <c r="BV81" i="66" s="1"/>
  <c r="BQ79" i="66"/>
  <c r="BQ81" i="66" s="1"/>
  <c r="BB81" i="66"/>
  <c r="AB35" i="48"/>
  <c r="AB38" i="48" s="1"/>
  <c r="AB41" i="48" s="1"/>
  <c r="BT16" i="66"/>
  <c r="AD22" i="48"/>
  <c r="AD12" i="48" s="1"/>
  <c r="Z28" i="47"/>
  <c r="Z32" i="47" s="1"/>
  <c r="Z33" i="47" s="1"/>
  <c r="AD39" i="48"/>
  <c r="P26" i="48"/>
  <c r="P8" i="48" s="1"/>
  <c r="AD37" i="48"/>
  <c r="K57" i="48"/>
  <c r="L57" i="48" s="1"/>
  <c r="P38" i="48"/>
  <c r="P41" i="48" s="1"/>
  <c r="AB7" i="47"/>
  <c r="AB10" i="47" s="1"/>
  <c r="AB14" i="47" s="1"/>
  <c r="BD71" i="55"/>
  <c r="R20" i="48"/>
  <c r="R24" i="48" s="1"/>
  <c r="AD61" i="48"/>
  <c r="AD30" i="48" s="1"/>
  <c r="AD13" i="48" s="1"/>
  <c r="BP65" i="66"/>
  <c r="N45" i="48"/>
  <c r="N48" i="48" s="1"/>
  <c r="AB42" i="48"/>
  <c r="AB45" i="48" s="1"/>
  <c r="AB48" i="48" s="1"/>
  <c r="BT49" i="66"/>
  <c r="BU49" i="66" s="1"/>
  <c r="BT69" i="66"/>
  <c r="BU69" i="66" s="1"/>
  <c r="BT58" i="66"/>
  <c r="BU58" i="66" s="1"/>
  <c r="Z71" i="59"/>
  <c r="N26" i="48"/>
  <c r="N8" i="48" s="1"/>
  <c r="Z30" i="48"/>
  <c r="Z13" i="48" s="1"/>
  <c r="BT44" i="66"/>
  <c r="BU44" i="66" s="1"/>
  <c r="BN61" i="66"/>
  <c r="T20" i="48"/>
  <c r="T24" i="48" s="1"/>
  <c r="Z58" i="48"/>
  <c r="BT22" i="66"/>
  <c r="BU22" i="66" s="1"/>
  <c r="AC28" i="47"/>
  <c r="AC32" i="47" s="1"/>
  <c r="AC33" i="47" s="1"/>
  <c r="K51" i="47"/>
  <c r="L51" i="47" s="1"/>
  <c r="L55" i="47"/>
  <c r="O26" i="48"/>
  <c r="O8" i="48" s="1"/>
  <c r="K50" i="48"/>
  <c r="L50" i="48" s="1"/>
  <c r="K49" i="48"/>
  <c r="L49" i="48" s="1"/>
  <c r="BT52" i="66"/>
  <c r="BU52" i="66" s="1"/>
  <c r="BT46" i="66"/>
  <c r="BU46" i="66" s="1"/>
  <c r="BT20" i="66"/>
  <c r="BU20" i="66" s="1"/>
  <c r="Z50" i="48"/>
  <c r="Z26" i="48" s="1"/>
  <c r="Z8" i="48" s="1"/>
  <c r="BT28" i="66"/>
  <c r="BU28" i="66" s="1"/>
  <c r="AA35" i="48"/>
  <c r="AA38" i="48" s="1"/>
  <c r="AA41" i="48" s="1"/>
  <c r="BT45" i="66"/>
  <c r="BU45" i="66" s="1"/>
  <c r="BA71" i="55"/>
  <c r="W12" i="47"/>
  <c r="AC22" i="47"/>
  <c r="AC12" i="47" s="1"/>
  <c r="L63" i="47"/>
  <c r="BT50" i="66"/>
  <c r="BU50" i="66" s="1"/>
  <c r="BT33" i="66"/>
  <c r="BU33" i="66" s="1"/>
  <c r="AV71" i="66"/>
  <c r="AU71" i="66" s="1"/>
  <c r="BT53" i="66"/>
  <c r="BU53" i="66" s="1"/>
  <c r="K43" i="48"/>
  <c r="L43" i="48" s="1"/>
  <c r="Y26" i="48"/>
  <c r="Y8" i="48" s="1"/>
  <c r="AC43" i="48"/>
  <c r="BT32" i="66"/>
  <c r="BU32" i="66" s="1"/>
  <c r="BT30" i="66"/>
  <c r="BU30" i="66" s="1"/>
  <c r="BT34" i="66"/>
  <c r="BU34" i="66" s="1"/>
  <c r="BT41" i="66"/>
  <c r="BU41" i="66" s="1"/>
  <c r="BT38" i="66"/>
  <c r="BU38" i="66" s="1"/>
  <c r="BT12" i="66"/>
  <c r="BU12" i="66" s="1"/>
  <c r="BT42" i="66"/>
  <c r="BU42" i="66" s="1"/>
  <c r="BT48" i="66"/>
  <c r="BU48" i="66" s="1"/>
  <c r="BT51" i="66"/>
  <c r="BU51" i="66" s="1"/>
  <c r="BT47" i="66"/>
  <c r="BU47" i="66" s="1"/>
  <c r="S26" i="48"/>
  <c r="S8" i="48" s="1"/>
  <c r="BT43" i="66"/>
  <c r="BU43" i="66" s="1"/>
  <c r="BT31" i="66"/>
  <c r="BU31" i="66" s="1"/>
  <c r="BT35" i="66"/>
  <c r="BU35" i="66" s="1"/>
  <c r="AB26" i="48"/>
  <c r="AB8" i="48" s="1"/>
  <c r="AE67" i="66"/>
  <c r="BT36" i="66"/>
  <c r="BU36" i="66" s="1"/>
  <c r="BT40" i="66"/>
  <c r="BU40" i="66" s="1"/>
  <c r="BT39" i="66"/>
  <c r="BU39" i="66" s="1"/>
  <c r="L39" i="47"/>
  <c r="AD40" i="47"/>
  <c r="BT21" i="66"/>
  <c r="BU21" i="66" s="1"/>
  <c r="BT7" i="66"/>
  <c r="BU7" i="66" s="1"/>
  <c r="AR71" i="66"/>
  <c r="AQ71" i="66" s="1"/>
  <c r="T8" i="48"/>
  <c r="BH71" i="55"/>
  <c r="BT11" i="66"/>
  <c r="BU11" i="66" s="1"/>
  <c r="L25" i="47"/>
  <c r="AM71" i="66"/>
  <c r="BT8" i="66"/>
  <c r="BU8" i="66" s="1"/>
  <c r="T71" i="66"/>
  <c r="S71" i="66" s="1"/>
  <c r="U12" i="47"/>
  <c r="AB22" i="47"/>
  <c r="BN65" i="66"/>
  <c r="BT19" i="66"/>
  <c r="BU19" i="66" s="1"/>
  <c r="BT14" i="66"/>
  <c r="BU14" i="66" s="1"/>
  <c r="BT9" i="66"/>
  <c r="BU9" i="66" s="1"/>
  <c r="BT27" i="66"/>
  <c r="BU27" i="66" s="1"/>
  <c r="Y67" i="66"/>
  <c r="Y71" i="66" s="1"/>
  <c r="BT60" i="66"/>
  <c r="BU60" i="66" s="1"/>
  <c r="BR65" i="66"/>
  <c r="BT75" i="66"/>
  <c r="AB49" i="48"/>
  <c r="AB52" i="48" s="1"/>
  <c r="AB55" i="48" s="1"/>
  <c r="BT18" i="66"/>
  <c r="BU18" i="66" s="1"/>
  <c r="X71" i="66"/>
  <c r="W71" i="66" s="1"/>
  <c r="BT13" i="66"/>
  <c r="BU13" i="66" s="1"/>
  <c r="AC50" i="48"/>
  <c r="W52" i="48"/>
  <c r="W55" i="48" s="1"/>
  <c r="BT64" i="66"/>
  <c r="BU64" i="66" s="1"/>
  <c r="BT29" i="66"/>
  <c r="BU29" i="66" s="1"/>
  <c r="Z49" i="48"/>
  <c r="Y52" i="48"/>
  <c r="Y55" i="48" s="1"/>
  <c r="AC49" i="48"/>
  <c r="AC27" i="48"/>
  <c r="AC9" i="48" s="1"/>
  <c r="BI67" i="66"/>
  <c r="BI71" i="66" s="1"/>
  <c r="AG67" i="66"/>
  <c r="AG71" i="66" s="1"/>
  <c r="BN54" i="66"/>
  <c r="AB27" i="48"/>
  <c r="AB9" i="48" s="1"/>
  <c r="K7" i="47"/>
  <c r="L7" i="47" s="1"/>
  <c r="BT37" i="66"/>
  <c r="BU37" i="66" s="1"/>
  <c r="AM67" i="66"/>
  <c r="AD25" i="47"/>
  <c r="AD7" i="47" s="1"/>
  <c r="AD10" i="47" s="1"/>
  <c r="AD14" i="47" s="1"/>
  <c r="Z35" i="48"/>
  <c r="Z38" i="48" s="1"/>
  <c r="Z41" i="48" s="1"/>
  <c r="BE67" i="66"/>
  <c r="BE71" i="66" s="1"/>
  <c r="K35" i="48"/>
  <c r="L35" i="48" s="1"/>
  <c r="AI67" i="66"/>
  <c r="AA28" i="47"/>
  <c r="AA32" i="47" s="1"/>
  <c r="AA33" i="47" s="1"/>
  <c r="BS67" i="66"/>
  <c r="BV67" i="66" s="1"/>
  <c r="AA10" i="47"/>
  <c r="AA14" i="47" s="1"/>
  <c r="CD67" i="66"/>
  <c r="BT78" i="66"/>
  <c r="AS67" i="66"/>
  <c r="AS71" i="66" s="1"/>
  <c r="AW67" i="66"/>
  <c r="AW71" i="66" s="1"/>
  <c r="BP61" i="66"/>
  <c r="BP54" i="66"/>
  <c r="BR54" i="66"/>
  <c r="BR61" i="66"/>
  <c r="L61" i="48"/>
  <c r="U67" i="66"/>
  <c r="U71" i="66" s="1"/>
  <c r="K36" i="48"/>
  <c r="L36" i="48" s="1"/>
  <c r="AC42" i="48"/>
  <c r="AA44" i="48"/>
  <c r="AA27" i="48" s="1"/>
  <c r="AA9" i="48" s="1"/>
  <c r="K44" i="48"/>
  <c r="L44" i="48" s="1"/>
  <c r="Q45" i="48"/>
  <c r="Q48" i="48" s="1"/>
  <c r="AA42" i="48"/>
  <c r="R45" i="48"/>
  <c r="R48" i="48" s="1"/>
  <c r="P45" i="48"/>
  <c r="P48" i="48" s="1"/>
  <c r="K42" i="48"/>
  <c r="L42" i="48" s="1"/>
  <c r="Z42" i="48"/>
  <c r="BT26" i="66"/>
  <c r="BU26" i="66" s="1"/>
  <c r="AY67" i="60"/>
  <c r="BG67" i="66"/>
  <c r="BH71" i="66"/>
  <c r="BG71" i="66" s="1"/>
  <c r="BC67" i="66"/>
  <c r="BD71" i="66"/>
  <c r="BC71" i="66" s="1"/>
  <c r="X38" i="48"/>
  <c r="X41" i="48" s="1"/>
  <c r="AC36" i="48"/>
  <c r="AB71" i="66"/>
  <c r="AA71" i="66" s="1"/>
  <c r="AA67" i="66"/>
  <c r="J71" i="66"/>
  <c r="DN67" i="66"/>
  <c r="I54" i="66"/>
  <c r="I81" i="66" s="1"/>
  <c r="H67" i="66"/>
  <c r="K19" i="48"/>
  <c r="L19" i="48" s="1"/>
  <c r="N20" i="48"/>
  <c r="N24" i="48" s="1"/>
  <c r="O20" i="48"/>
  <c r="O24" i="48" s="1"/>
  <c r="K18" i="48"/>
  <c r="L18" i="48" s="1"/>
  <c r="R9" i="48"/>
  <c r="V20" i="48"/>
  <c r="V24" i="48" s="1"/>
  <c r="K17" i="48"/>
  <c r="S45" i="48"/>
  <c r="S48" i="48" s="1"/>
  <c r="AA43" i="48"/>
  <c r="AD18" i="48"/>
  <c r="CB24" i="66"/>
  <c r="CB81" i="66" s="1"/>
  <c r="BT73" i="66"/>
  <c r="AY67" i="66"/>
  <c r="AZ71" i="66"/>
  <c r="AY71" i="66" s="1"/>
  <c r="B79" i="60"/>
  <c r="BH79" i="60" s="1"/>
  <c r="BT6" i="66"/>
  <c r="BU6" i="66" s="1"/>
  <c r="BT63" i="66"/>
  <c r="BU63" i="66" s="1"/>
  <c r="H79" i="66"/>
  <c r="I79" i="66" s="1"/>
  <c r="I74" i="66"/>
  <c r="I160" i="66" s="1"/>
  <c r="I167" i="66" s="1"/>
  <c r="BS74" i="66"/>
  <c r="J79" i="66"/>
  <c r="BM79" i="66"/>
  <c r="AC10" i="47"/>
  <c r="AC14" i="47" s="1"/>
  <c r="Y25" i="48"/>
  <c r="Y59" i="48"/>
  <c r="Y62" i="48" s="1"/>
  <c r="BI79" i="66"/>
  <c r="BI81" i="66" s="1"/>
  <c r="X25" i="48"/>
  <c r="X59" i="48"/>
  <c r="X62" i="48" s="1"/>
  <c r="BE79" i="66"/>
  <c r="BE81" i="66" s="1"/>
  <c r="W59" i="48"/>
  <c r="W62" i="48" s="1"/>
  <c r="W25" i="48"/>
  <c r="AC56" i="48"/>
  <c r="BA67" i="66"/>
  <c r="BR24" i="66"/>
  <c r="V59" i="48"/>
  <c r="V62" i="48" s="1"/>
  <c r="V25" i="48"/>
  <c r="AW79" i="66"/>
  <c r="AW81" i="66" s="1"/>
  <c r="U59" i="48"/>
  <c r="U62" i="48" s="1"/>
  <c r="U25" i="48"/>
  <c r="AS79" i="66"/>
  <c r="AS81" i="66" s="1"/>
  <c r="BP24" i="66"/>
  <c r="AO67" i="66"/>
  <c r="AB56" i="48"/>
  <c r="T59" i="48"/>
  <c r="T62" i="48" s="1"/>
  <c r="T25" i="48"/>
  <c r="S59" i="48"/>
  <c r="S62" i="48" s="1"/>
  <c r="AK79" i="66"/>
  <c r="R59" i="48"/>
  <c r="R62" i="48" s="1"/>
  <c r="R25" i="48"/>
  <c r="AG79" i="66"/>
  <c r="AG81" i="66" s="1"/>
  <c r="AC67" i="66"/>
  <c r="Q25" i="48"/>
  <c r="Q59" i="48"/>
  <c r="Q62" i="48" s="1"/>
  <c r="AA56" i="48"/>
  <c r="Y79" i="66"/>
  <c r="Y81" i="66" s="1"/>
  <c r="P59" i="48"/>
  <c r="P62" i="48" s="1"/>
  <c r="P25" i="48"/>
  <c r="O59" i="48"/>
  <c r="O62" i="48" s="1"/>
  <c r="O25" i="48"/>
  <c r="BY65" i="66"/>
  <c r="BL65" i="66"/>
  <c r="U79" i="66"/>
  <c r="U81" i="66" s="1"/>
  <c r="L58" i="48"/>
  <c r="N59" i="48"/>
  <c r="N62" i="48" s="1"/>
  <c r="Z56" i="48"/>
  <c r="N25" i="48"/>
  <c r="K56" i="48"/>
  <c r="AD57" i="48"/>
  <c r="M54" i="66"/>
  <c r="DP54" i="66" s="1"/>
  <c r="DP26" i="66"/>
  <c r="BL54" i="66"/>
  <c r="BY54" i="66"/>
  <c r="CE54" i="66" s="1"/>
  <c r="DP6" i="66"/>
  <c r="DR6" i="66" s="1"/>
  <c r="M24" i="66"/>
  <c r="BL24" i="66"/>
  <c r="BK71" i="55" l="1"/>
  <c r="L28" i="47"/>
  <c r="L30" i="48"/>
  <c r="AD17" i="48"/>
  <c r="AD20" i="48" s="1"/>
  <c r="AD24" i="48" s="1"/>
  <c r="J81" i="66"/>
  <c r="AC38" i="48"/>
  <c r="AC41" i="48" s="1"/>
  <c r="BS79" i="66"/>
  <c r="BS81" i="66" s="1"/>
  <c r="BM81" i="66"/>
  <c r="DO24" i="66"/>
  <c r="B81" i="60"/>
  <c r="AD58" i="48"/>
  <c r="AD50" i="48"/>
  <c r="AC45" i="48"/>
  <c r="AC48" i="48" s="1"/>
  <c r="AD44" i="48"/>
  <c r="AA45" i="48"/>
  <c r="AA48" i="48" s="1"/>
  <c r="AD35" i="48"/>
  <c r="K10" i="47"/>
  <c r="L10" i="47" s="1"/>
  <c r="AB12" i="47"/>
  <c r="AD22" i="47"/>
  <c r="AD12" i="47" s="1"/>
  <c r="AC52" i="48"/>
  <c r="AC55" i="48" s="1"/>
  <c r="BT65" i="66"/>
  <c r="AD49" i="48"/>
  <c r="AD42" i="48"/>
  <c r="Z45" i="48"/>
  <c r="Z48" i="48" s="1"/>
  <c r="AD28" i="47"/>
  <c r="AD32" i="47" s="1"/>
  <c r="AD33" i="47" s="1"/>
  <c r="K38" i="48"/>
  <c r="L38" i="48" s="1"/>
  <c r="BS72" i="66"/>
  <c r="BT54" i="66"/>
  <c r="BU54" i="66" s="1"/>
  <c r="K26" i="48"/>
  <c r="L26" i="48" s="1"/>
  <c r="K45" i="48"/>
  <c r="L45" i="48" s="1"/>
  <c r="AD43" i="48"/>
  <c r="AD36" i="48"/>
  <c r="AC26" i="48"/>
  <c r="AC8" i="48" s="1"/>
  <c r="L17" i="48"/>
  <c r="K20" i="48"/>
  <c r="CB67" i="66"/>
  <c r="AA26" i="48"/>
  <c r="AA8" i="48" s="1"/>
  <c r="I67" i="66"/>
  <c r="H71" i="66"/>
  <c r="AR79" i="66"/>
  <c r="AJ79" i="66"/>
  <c r="BH79" i="66"/>
  <c r="BD79" i="66"/>
  <c r="AV79" i="66"/>
  <c r="AF79" i="66"/>
  <c r="N79" i="60"/>
  <c r="X79" i="66"/>
  <c r="AZ79" i="66"/>
  <c r="AN79" i="66"/>
  <c r="T79" i="60"/>
  <c r="O74" i="66"/>
  <c r="L74" i="66"/>
  <c r="P79" i="66"/>
  <c r="O79" i="66" s="1"/>
  <c r="Q79" i="60"/>
  <c r="Q81" i="60" s="1"/>
  <c r="Q85" i="60" s="1"/>
  <c r="AB79" i="66"/>
  <c r="T79" i="66"/>
  <c r="K33" i="47"/>
  <c r="L32" i="47"/>
  <c r="Y7" i="48"/>
  <c r="Y10" i="48" s="1"/>
  <c r="Y14" i="48" s="1"/>
  <c r="Y28" i="48"/>
  <c r="Y31" i="48" s="1"/>
  <c r="Y32" i="48" s="1"/>
  <c r="X7" i="48"/>
  <c r="X10" i="48" s="1"/>
  <c r="X14" i="48" s="1"/>
  <c r="X28" i="48"/>
  <c r="X31" i="48" s="1"/>
  <c r="X32" i="48" s="1"/>
  <c r="BA71" i="66"/>
  <c r="BR67" i="66"/>
  <c r="BR70" i="66" s="1"/>
  <c r="BR72" i="66" s="1"/>
  <c r="W28" i="48"/>
  <c r="W31" i="48" s="1"/>
  <c r="W32" i="48" s="1"/>
  <c r="W7" i="48"/>
  <c r="W10" i="48" s="1"/>
  <c r="W14" i="48" s="1"/>
  <c r="AC59" i="48"/>
  <c r="AC62" i="48" s="1"/>
  <c r="AC25" i="48"/>
  <c r="V7" i="48"/>
  <c r="V10" i="48" s="1"/>
  <c r="V14" i="48" s="1"/>
  <c r="V28" i="48"/>
  <c r="V31" i="48" s="1"/>
  <c r="V32" i="48" s="1"/>
  <c r="U7" i="48"/>
  <c r="U10" i="48" s="1"/>
  <c r="U14" i="48" s="1"/>
  <c r="U28" i="48"/>
  <c r="U31" i="48" s="1"/>
  <c r="U32" i="48" s="1"/>
  <c r="T28" i="48"/>
  <c r="T31" i="48" s="1"/>
  <c r="T32" i="48" s="1"/>
  <c r="T7" i="48"/>
  <c r="T10" i="48" s="1"/>
  <c r="T14" i="48" s="1"/>
  <c r="AB59" i="48"/>
  <c r="AB62" i="48" s="1"/>
  <c r="AB25" i="48"/>
  <c r="AO71" i="66"/>
  <c r="BP67" i="66"/>
  <c r="BP70" i="66" s="1"/>
  <c r="BP72" i="66" s="1"/>
  <c r="R28" i="48"/>
  <c r="R31" i="48" s="1"/>
  <c r="R32" i="48" s="1"/>
  <c r="R7" i="48"/>
  <c r="R10" i="48" s="1"/>
  <c r="R14" i="48" s="1"/>
  <c r="AA59" i="48"/>
  <c r="AA62" i="48" s="1"/>
  <c r="AA25" i="48"/>
  <c r="Q7" i="48"/>
  <c r="Q10" i="48" s="1"/>
  <c r="Q14" i="48" s="1"/>
  <c r="Q28" i="48"/>
  <c r="Q31" i="48" s="1"/>
  <c r="Q32" i="48" s="1"/>
  <c r="AC71" i="66"/>
  <c r="P28" i="48"/>
  <c r="P31" i="48" s="1"/>
  <c r="P32" i="48" s="1"/>
  <c r="P7" i="48"/>
  <c r="P10" i="48" s="1"/>
  <c r="P14" i="48" s="1"/>
  <c r="O28" i="48"/>
  <c r="O31" i="48" s="1"/>
  <c r="O32" i="48" s="1"/>
  <c r="O7" i="48"/>
  <c r="O10" i="48" s="1"/>
  <c r="O14" i="48" s="1"/>
  <c r="Z59" i="48"/>
  <c r="Z62" i="48" s="1"/>
  <c r="Z25" i="48"/>
  <c r="AD56" i="48"/>
  <c r="DP24" i="66"/>
  <c r="N7" i="48"/>
  <c r="K59" i="48"/>
  <c r="L56" i="48"/>
  <c r="K25" i="48"/>
  <c r="S79" i="66" l="1"/>
  <c r="S81" i="66" s="1"/>
  <c r="T81" i="66"/>
  <c r="AE79" i="66"/>
  <c r="AE81" i="66" s="1"/>
  <c r="AF81" i="66"/>
  <c r="AQ79" i="66"/>
  <c r="AQ81" i="66" s="1"/>
  <c r="AR81" i="66"/>
  <c r="AM79" i="66"/>
  <c r="AM81" i="66" s="1"/>
  <c r="AN81" i="66"/>
  <c r="W79" i="66"/>
  <c r="W81" i="66" s="1"/>
  <c r="X81" i="66"/>
  <c r="BC79" i="66"/>
  <c r="BC81" i="66" s="1"/>
  <c r="BD81" i="66"/>
  <c r="AI79" i="66"/>
  <c r="AI81" i="66" s="1"/>
  <c r="AJ81" i="66"/>
  <c r="BG79" i="66"/>
  <c r="BG81" i="66" s="1"/>
  <c r="BH81" i="66"/>
  <c r="AY79" i="66"/>
  <c r="AY81" i="66" s="1"/>
  <c r="AZ81" i="66"/>
  <c r="AA79" i="66"/>
  <c r="AA81" i="66" s="1"/>
  <c r="AB81" i="66"/>
  <c r="AU79" i="66"/>
  <c r="AU81" i="66" s="1"/>
  <c r="AV81" i="66"/>
  <c r="P81" i="60"/>
  <c r="N81" i="60"/>
  <c r="N85" i="60" s="1"/>
  <c r="K41" i="48"/>
  <c r="L41" i="48" s="1"/>
  <c r="AD45" i="48"/>
  <c r="AD48" i="48" s="1"/>
  <c r="K48" i="48"/>
  <c r="L48" i="48" s="1"/>
  <c r="K14" i="47"/>
  <c r="K69" i="47" s="1"/>
  <c r="AD38" i="48"/>
  <c r="AD41" i="48" s="1"/>
  <c r="K8" i="48"/>
  <c r="L8" i="48" s="1"/>
  <c r="AD26" i="48"/>
  <c r="AD8" i="48" s="1"/>
  <c r="L20" i="48"/>
  <c r="K24" i="48"/>
  <c r="L24" i="48" s="1"/>
  <c r="BR74" i="66"/>
  <c r="BA79" i="66"/>
  <c r="BP74" i="66"/>
  <c r="AO79" i="66"/>
  <c r="BN74" i="66"/>
  <c r="AC79" i="66"/>
  <c r="K74" i="66"/>
  <c r="L79" i="66"/>
  <c r="K79" i="66" s="1"/>
  <c r="BL74" i="66"/>
  <c r="M74" i="66"/>
  <c r="M79" i="66" s="1"/>
  <c r="Q79" i="66"/>
  <c r="BL79" i="66" s="1"/>
  <c r="AC7" i="48"/>
  <c r="AC10" i="48" s="1"/>
  <c r="AC14" i="48" s="1"/>
  <c r="AC28" i="48"/>
  <c r="AC31" i="48" s="1"/>
  <c r="AC32" i="48" s="1"/>
  <c r="AB7" i="48"/>
  <c r="AB10" i="48" s="1"/>
  <c r="AB14" i="48" s="1"/>
  <c r="AB28" i="48"/>
  <c r="AB31" i="48" s="1"/>
  <c r="AB32" i="48" s="1"/>
  <c r="AA7" i="48"/>
  <c r="AA10" i="48" s="1"/>
  <c r="AA14" i="48" s="1"/>
  <c r="AA28" i="48"/>
  <c r="AA31" i="48" s="1"/>
  <c r="AA32" i="48" s="1"/>
  <c r="Z7" i="48"/>
  <c r="K7" i="48"/>
  <c r="L25" i="48"/>
  <c r="K62" i="48"/>
  <c r="L62" i="48" s="1"/>
  <c r="L59" i="48"/>
  <c r="AD25" i="48"/>
  <c r="AD59" i="48"/>
  <c r="AD62" i="48" s="1"/>
  <c r="CK81" i="66" l="1"/>
  <c r="CM81" i="66"/>
  <c r="CO81" i="66"/>
  <c r="BN79" i="66"/>
  <c r="AC81" i="66"/>
  <c r="CJ81" i="66" s="1"/>
  <c r="BR79" i="66"/>
  <c r="BR81" i="66" s="1"/>
  <c r="BA81" i="66"/>
  <c r="CN81" i="66" s="1"/>
  <c r="BP79" i="66"/>
  <c r="BP81" i="66" s="1"/>
  <c r="AO81" i="66"/>
  <c r="BT74" i="66"/>
  <c r="AD7" i="48"/>
  <c r="L7" i="48"/>
  <c r="BT79" i="66" l="1"/>
  <c r="P57" i="66" l="1"/>
  <c r="L57" i="66" s="1"/>
  <c r="K57" i="66" s="1"/>
  <c r="DO57" i="66" s="1"/>
  <c r="P56" i="66"/>
  <c r="O57" i="66" l="1"/>
  <c r="P61" i="66"/>
  <c r="P81" i="66" s="1"/>
  <c r="CI81" i="66" s="1"/>
  <c r="CQ81" i="66" s="1"/>
  <c r="Q56" i="66"/>
  <c r="BY56" i="66" s="1"/>
  <c r="CE56" i="66" s="1"/>
  <c r="O56" i="66"/>
  <c r="L56" i="66"/>
  <c r="Q57" i="66"/>
  <c r="O61" i="66" l="1"/>
  <c r="O81" i="66" s="1"/>
  <c r="P67" i="66"/>
  <c r="P71" i="66" s="1"/>
  <c r="O71" i="66" s="1"/>
  <c r="M56" i="66"/>
  <c r="DP56" i="66" s="1"/>
  <c r="BL56" i="66"/>
  <c r="BT56" i="66" s="1"/>
  <c r="K56" i="66"/>
  <c r="DO56" i="66" s="1"/>
  <c r="L61" i="66"/>
  <c r="D81" i="60"/>
  <c r="N51" i="48"/>
  <c r="N52" i="48" s="1"/>
  <c r="N55" i="48" s="1"/>
  <c r="G67" i="58"/>
  <c r="M57" i="66"/>
  <c r="BL57" i="66"/>
  <c r="BT57" i="66" s="1"/>
  <c r="BY57" i="66"/>
  <c r="CE57" i="66" s="1"/>
  <c r="Q61" i="66"/>
  <c r="Q81" i="66" s="1"/>
  <c r="K71" i="58" l="1"/>
  <c r="K67" i="58"/>
  <c r="O67" i="66"/>
  <c r="BU56" i="66"/>
  <c r="K61" i="66"/>
  <c r="L67" i="66"/>
  <c r="L65" i="66"/>
  <c r="K65" i="66" s="1"/>
  <c r="BU57" i="66"/>
  <c r="G71" i="58"/>
  <c r="DP57" i="66"/>
  <c r="M61" i="66"/>
  <c r="BY61" i="66"/>
  <c r="BL61" i="66"/>
  <c r="Q67" i="66"/>
  <c r="K51" i="48"/>
  <c r="K52" i="48" s="1"/>
  <c r="N27" i="48"/>
  <c r="Z51" i="48"/>
  <c r="Z52" i="48" s="1"/>
  <c r="Z55" i="48" s="1"/>
  <c r="L81" i="66" l="1"/>
  <c r="DO61" i="66"/>
  <c r="K81" i="66"/>
  <c r="BT61" i="66"/>
  <c r="BL81" i="66"/>
  <c r="CE61" i="66"/>
  <c r="K55" i="48"/>
  <c r="L55" i="48" s="1"/>
  <c r="L52" i="48"/>
  <c r="N9" i="48"/>
  <c r="N10" i="48" s="1"/>
  <c r="N14" i="48" s="1"/>
  <c r="N28" i="48"/>
  <c r="N31" i="48" s="1"/>
  <c r="N32" i="48" s="1"/>
  <c r="K67" i="66"/>
  <c r="DO67" i="66" s="1"/>
  <c r="L71" i="66"/>
  <c r="K71" i="66" s="1"/>
  <c r="AD51" i="48"/>
  <c r="Z27" i="48"/>
  <c r="DP61" i="66"/>
  <c r="M65" i="66"/>
  <c r="BU65" i="66" s="1"/>
  <c r="M67" i="66"/>
  <c r="K27" i="48"/>
  <c r="K28" i="48" s="1"/>
  <c r="L51" i="48"/>
  <c r="Q71" i="66"/>
  <c r="BL67" i="66"/>
  <c r="BU61" i="66" l="1"/>
  <c r="M81" i="66"/>
  <c r="CH81" i="66" s="1"/>
  <c r="AD27" i="48"/>
  <c r="AD9" i="48" s="1"/>
  <c r="AD10" i="48" s="1"/>
  <c r="AD14" i="48" s="1"/>
  <c r="AD52" i="48"/>
  <c r="AD55" i="48" s="1"/>
  <c r="Z9" i="48"/>
  <c r="Z10" i="48" s="1"/>
  <c r="Z14" i="48" s="1"/>
  <c r="Z28" i="48"/>
  <c r="Z31" i="48" s="1"/>
  <c r="Z32" i="48" s="1"/>
  <c r="L28" i="48"/>
  <c r="K31" i="48"/>
  <c r="L27" i="48"/>
  <c r="K9" i="48"/>
  <c r="BL70" i="66"/>
  <c r="BL72" i="66" s="1"/>
  <c r="DP67" i="66"/>
  <c r="M71" i="66"/>
  <c r="AD28" i="48" l="1"/>
  <c r="AD31" i="48" s="1"/>
  <c r="AD32" i="48" s="1"/>
  <c r="L31" i="48"/>
  <c r="K32" i="48"/>
  <c r="L32" i="48" s="1"/>
  <c r="L9" i="48"/>
  <c r="K10" i="48"/>
  <c r="K14" i="48" l="1"/>
  <c r="L10" i="48"/>
  <c r="L14" i="48" l="1"/>
  <c r="K64" i="48"/>
  <c r="BG69" i="60" l="1"/>
  <c r="AM24" i="58"/>
  <c r="AM67" i="58" s="1"/>
  <c r="AM71" i="58" s="1"/>
  <c r="AQ83" i="58"/>
  <c r="AU24" i="58"/>
  <c r="AY10" i="58"/>
  <c r="AK23" i="60"/>
  <c r="AC24" i="58"/>
  <c r="AC81" i="58" s="1"/>
  <c r="AE24" i="58"/>
  <c r="AE67" i="58" s="1"/>
  <c r="AE71" i="58" s="1"/>
  <c r="AG24" i="58"/>
  <c r="AG67" i="58" s="1"/>
  <c r="AG71" i="58" s="1"/>
  <c r="AI24" i="58"/>
  <c r="AK24" i="58"/>
  <c r="AK67" i="58" s="1"/>
  <c r="AK71" i="58" s="1"/>
  <c r="AO24" i="58"/>
  <c r="AO67" i="58" s="1"/>
  <c r="AO71" i="58" s="1"/>
  <c r="AS24" i="58"/>
  <c r="AS81" i="58" s="1"/>
  <c r="AW24" i="58"/>
  <c r="AW67" i="58" s="1"/>
  <c r="AW71" i="58" s="1"/>
  <c r="AC67" i="58"/>
  <c r="AC71" i="58" s="1"/>
  <c r="AE83" i="58"/>
  <c r="AI83" i="58"/>
  <c r="AY83" i="58"/>
  <c r="Z83" i="60"/>
  <c r="AU83" i="60" s="1"/>
  <c r="AS67" i="58" l="1"/>
  <c r="AS71" i="58" s="1"/>
  <c r="AU67" i="58"/>
  <c r="AU71" i="58" s="1"/>
  <c r="AU81" i="58"/>
  <c r="AU83" i="58"/>
  <c r="BK83" i="58" s="1"/>
  <c r="AM81" i="58"/>
  <c r="AK81" i="58"/>
  <c r="AF83" i="60"/>
  <c r="AE81" i="58"/>
  <c r="AL83" i="60"/>
  <c r="Z24" i="60"/>
  <c r="AI67" i="58"/>
  <c r="AI71" i="58" s="1"/>
  <c r="AI81" i="58"/>
  <c r="AI85" i="58" s="1"/>
  <c r="AK10" i="60"/>
  <c r="AW10" i="60" s="1"/>
  <c r="AW24" i="60" s="1"/>
  <c r="AW81" i="60" s="1"/>
  <c r="AQ24" i="58"/>
  <c r="AM83" i="58"/>
  <c r="BH83" i="58" s="1"/>
  <c r="AW81" i="58"/>
  <c r="AO81" i="58"/>
  <c r="AG81" i="58"/>
  <c r="AX83" i="60" l="1"/>
  <c r="AE85" i="58"/>
  <c r="BH81" i="58"/>
  <c r="AM85" i="58"/>
  <c r="AU85" i="58"/>
  <c r="AF24" i="60"/>
  <c r="AF81" i="60" s="1"/>
  <c r="AF85" i="60" s="1"/>
  <c r="Z81" i="60"/>
  <c r="Z85" i="60" s="1"/>
  <c r="AU85" i="60" s="1"/>
  <c r="Z67" i="60"/>
  <c r="AK24" i="60"/>
  <c r="AK83" i="60"/>
  <c r="AQ67" i="58"/>
  <c r="AQ71" i="58" s="1"/>
  <c r="AQ81" i="58"/>
  <c r="AQ85" i="58" s="1"/>
  <c r="BH85" i="58" l="1"/>
  <c r="AF67" i="60"/>
  <c r="AK67" i="60"/>
  <c r="AK81" i="60"/>
  <c r="AK85" i="60" s="1"/>
  <c r="BB83" i="60"/>
  <c r="BB85" i="60"/>
  <c r="BH81" i="60" l="1"/>
  <c r="BF81" i="60"/>
  <c r="BU67" i="58"/>
  <c r="BS67" i="58"/>
  <c r="BO10" i="58"/>
  <c r="BT23" i="58"/>
  <c r="BU24" i="58"/>
  <c r="BS24" i="58"/>
  <c r="BN70" i="66"/>
  <c r="BT71" i="58"/>
  <c r="BE24" i="58"/>
  <c r="BH24" i="60"/>
  <c r="BE81" i="60"/>
  <c r="BF24" i="60"/>
  <c r="BN81" i="66"/>
  <c r="BU81" i="58"/>
  <c r="BR81" i="58"/>
  <c r="BS81" i="58"/>
  <c r="BH23" i="60"/>
  <c r="BF23" i="60"/>
  <c r="AL67" i="60"/>
  <c r="BS23" i="58"/>
  <c r="BU23" i="58"/>
  <c r="T67" i="60"/>
  <c r="BK81" i="58"/>
  <c r="BN83" i="58"/>
  <c r="BT81" i="66"/>
  <c r="BO71" i="58"/>
  <c r="BG23" i="60"/>
  <c r="BT67" i="58"/>
  <c r="BN81" i="58"/>
  <c r="BU10" i="58"/>
  <c r="BS10" i="58"/>
  <c r="BB24" i="60"/>
  <c r="AY71" i="58"/>
  <c r="AY85" i="58"/>
  <c r="BK85" i="58"/>
  <c r="BU10" i="66"/>
  <c r="BE23" i="60"/>
  <c r="BG85" i="60"/>
  <c r="BR23" i="58"/>
  <c r="BO23" i="58"/>
  <c r="Y71" i="58"/>
  <c r="AL24" i="60"/>
  <c r="AL81" i="60"/>
  <c r="AL85" i="60"/>
  <c r="AX85" i="60"/>
  <c r="BE23" i="58"/>
  <c r="BN23" i="58"/>
  <c r="S81" i="60"/>
  <c r="S24" i="60"/>
  <c r="S67" i="60"/>
  <c r="T23" i="60"/>
  <c r="AR23" i="60"/>
  <c r="BA23" i="60"/>
  <c r="BN72" i="66"/>
  <c r="AK71" i="66"/>
  <c r="AA83" i="58"/>
  <c r="BE83" i="58"/>
  <c r="AX23" i="60"/>
  <c r="AX24" i="60"/>
  <c r="AX81" i="60"/>
  <c r="S31" i="48"/>
  <c r="S32" i="48"/>
  <c r="AA55" i="48"/>
  <c r="BM10" i="58"/>
  <c r="BM24" i="58"/>
  <c r="BO24" i="58"/>
  <c r="BF10" i="60"/>
  <c r="BH10" i="60"/>
  <c r="Y67" i="58"/>
  <c r="BN24" i="66"/>
  <c r="BT24" i="66"/>
  <c r="BU24" i="66"/>
  <c r="BU81" i="66"/>
  <c r="CE24" i="66"/>
  <c r="BY24" i="66"/>
  <c r="BY81" i="66"/>
  <c r="BN85" i="58"/>
  <c r="BA67" i="60"/>
  <c r="BA24" i="60"/>
  <c r="BA81" i="60"/>
  <c r="BG67" i="60"/>
  <c r="BG81" i="60"/>
  <c r="AA49" i="48"/>
  <c r="AA52" i="48"/>
  <c r="BT83" i="58"/>
  <c r="BF67" i="60"/>
  <c r="BE10" i="60"/>
  <c r="BE24" i="60"/>
  <c r="BE67" i="60"/>
  <c r="BH67" i="60"/>
  <c r="BN67" i="66"/>
  <c r="BT67" i="66"/>
  <c r="BU67" i="66"/>
  <c r="S28" i="48"/>
  <c r="CP81" i="66"/>
  <c r="AK81" i="66"/>
  <c r="CL81" i="66"/>
  <c r="BB10" i="60"/>
  <c r="BA10" i="60"/>
  <c r="BE81" i="58"/>
  <c r="BS71" i="58"/>
  <c r="BR10" i="58"/>
  <c r="BR24" i="58"/>
  <c r="BR67" i="58"/>
  <c r="BR71" i="58"/>
  <c r="BU71" i="58"/>
  <c r="AL23" i="60"/>
  <c r="AY67" i="58"/>
  <c r="AY24" i="58"/>
  <c r="AY81" i="58"/>
  <c r="BU23" i="66"/>
  <c r="BN10" i="66"/>
  <c r="BT10" i="66"/>
  <c r="BA83" i="60"/>
  <c r="M10" i="66"/>
  <c r="DP10" i="66"/>
  <c r="CE23" i="66"/>
  <c r="DP23" i="66"/>
  <c r="BD23" i="58"/>
  <c r="BM23" i="58"/>
  <c r="BY10" i="66"/>
  <c r="CE10" i="66"/>
  <c r="S23" i="60"/>
  <c r="AQ23" i="60"/>
  <c r="AZ23" i="60"/>
  <c r="BB23" i="60"/>
  <c r="AQ24" i="60"/>
  <c r="AQ81" i="60"/>
  <c r="S25" i="48"/>
  <c r="S7" i="48"/>
  <c r="S10" i="48"/>
  <c r="S14" i="48"/>
  <c r="BT10" i="58"/>
  <c r="BT24" i="58"/>
  <c r="BT81" i="58"/>
  <c r="BT85" i="58"/>
  <c r="T24" i="60"/>
  <c r="T81" i="60"/>
  <c r="T85" i="60"/>
  <c r="AR85" i="60"/>
  <c r="BA85" i="60"/>
  <c r="AZ67" i="60"/>
  <c r="BB67" i="60"/>
  <c r="BY23" i="66"/>
  <c r="M23" i="66"/>
  <c r="AA67" i="58"/>
  <c r="AA71" i="58"/>
  <c r="BM81" i="58"/>
  <c r="BO81" i="58"/>
  <c r="BG83" i="60"/>
  <c r="BG10" i="60"/>
  <c r="BG24" i="60"/>
  <c r="AR10" i="60"/>
  <c r="AR24" i="60"/>
  <c r="AR81" i="60"/>
  <c r="S10" i="60"/>
  <c r="AQ10" i="60"/>
  <c r="AZ10" i="60"/>
  <c r="AZ24" i="60"/>
  <c r="AZ81" i="60"/>
  <c r="BB81" i="60"/>
  <c r="AA81" i="58"/>
  <c r="AA85" i="58"/>
  <c r="BE85" i="58"/>
  <c r="BK71" i="58"/>
  <c r="AY23" i="58"/>
  <c r="BK23" i="58"/>
  <c r="BK24" i="58"/>
  <c r="BK67" i="58"/>
  <c r="BO67" i="58"/>
  <c r="BD10" i="58"/>
  <c r="BD24" i="58"/>
  <c r="BD67" i="58"/>
  <c r="BD71" i="58"/>
  <c r="Y24" i="58"/>
  <c r="Y81" i="58"/>
  <c r="BD81" i="58"/>
  <c r="AK10" i="66"/>
  <c r="AK24" i="66"/>
  <c r="AK67" i="66"/>
  <c r="BY67" i="66"/>
  <c r="CE67" i="66"/>
  <c r="T10" i="60"/>
  <c r="T83" i="60"/>
  <c r="AR83" i="60"/>
  <c r="BE10" i="58"/>
  <c r="BN10" i="58"/>
  <c r="BN24" i="58"/>
  <c r="AA10" i="58"/>
  <c r="AA24" i="58"/>
  <c r="S49" i="48"/>
  <c r="S52" i="48"/>
  <c r="S55" i="48"/>
  <c r="Y10" i="58"/>
  <c r="Y23" i="58"/>
  <c r="AA23" i="58"/>
  <c r="AK23" i="66"/>
  <c r="BN23" i="66"/>
  <c r="BT23" i="66"/>
</calcChain>
</file>

<file path=xl/comments1.xml><?xml version="1.0" encoding="utf-8"?>
<comments xmlns="http://schemas.openxmlformats.org/spreadsheetml/2006/main">
  <authors>
    <author>govind k</author>
    <author>dipti.malvankar</author>
  </authors>
  <commentList>
    <comment ref="Y22" authorId="0">
      <text>
        <r>
          <rPr>
            <b/>
            <sz val="9"/>
            <color indexed="81"/>
            <rFont val="Tahoma"/>
            <charset val="1"/>
          </rPr>
          <t>Vegarol 10</t>
        </r>
      </text>
    </comment>
    <comment ref="AC22" authorId="0">
      <text>
        <r>
          <rPr>
            <b/>
            <sz val="9"/>
            <color indexed="81"/>
            <rFont val="Tahoma"/>
            <charset val="1"/>
          </rPr>
          <t>Vegarol 10</t>
        </r>
      </text>
    </comment>
    <comment ref="AG22" authorId="0">
      <text>
        <r>
          <rPr>
            <b/>
            <sz val="9"/>
            <color indexed="81"/>
            <rFont val="Tahoma"/>
            <charset val="1"/>
          </rPr>
          <t>Vegarol 10</t>
        </r>
      </text>
    </comment>
    <comment ref="AK22" authorId="0">
      <text>
        <r>
          <rPr>
            <b/>
            <sz val="9"/>
            <color indexed="81"/>
            <rFont val="Tahoma"/>
            <charset val="1"/>
          </rPr>
          <t>Vegarol 10</t>
        </r>
      </text>
    </comment>
    <comment ref="AO22" authorId="0">
      <text>
        <r>
          <rPr>
            <b/>
            <sz val="9"/>
            <color indexed="81"/>
            <rFont val="Tahoma"/>
            <charset val="1"/>
          </rPr>
          <t>Vegarol 10</t>
        </r>
      </text>
    </comment>
    <comment ref="AS22" authorId="0">
      <text>
        <r>
          <rPr>
            <b/>
            <sz val="9"/>
            <color indexed="81"/>
            <rFont val="Tahoma"/>
            <charset val="1"/>
          </rPr>
          <t>Vegarol 10</t>
        </r>
      </text>
    </comment>
    <comment ref="AW22" authorId="0">
      <text>
        <r>
          <rPr>
            <b/>
            <sz val="9"/>
            <color indexed="81"/>
            <rFont val="Tahoma"/>
            <charset val="1"/>
          </rPr>
          <t>Vegarol 10</t>
        </r>
      </text>
    </comment>
    <comment ref="A37" authorId="1">
      <text>
        <r>
          <rPr>
            <b/>
            <sz val="8"/>
            <color indexed="81"/>
            <rFont val="Tahoma"/>
            <family val="2"/>
          </rPr>
          <t>dipti.malvankar:</t>
        </r>
        <r>
          <rPr>
            <sz val="8"/>
            <color indexed="81"/>
            <rFont val="Tahoma"/>
            <family val="2"/>
          </rPr>
          <t xml:space="preserve">
Vegacid 18-90(Oleic-15-C18)</t>
        </r>
      </text>
    </comment>
    <comment ref="A38" authorId="1">
      <text>
        <r>
          <rPr>
            <b/>
            <sz val="8"/>
            <color indexed="81"/>
            <rFont val="Tahoma"/>
            <family val="2"/>
          </rPr>
          <t>dipti.malvankar:</t>
        </r>
        <r>
          <rPr>
            <sz val="8"/>
            <color indexed="81"/>
            <rFont val="Tahoma"/>
            <family val="2"/>
          </rPr>
          <t xml:space="preserve">
Vegacid 18-80(DFA-C18 20)</t>
        </r>
      </text>
    </comment>
  </commentList>
</comments>
</file>

<file path=xl/comments2.xml><?xml version="1.0" encoding="utf-8"?>
<comments xmlns="http://schemas.openxmlformats.org/spreadsheetml/2006/main">
  <authors>
    <author>dipti.malvankar</author>
  </authors>
  <commentList>
    <comment ref="A37" authorId="0">
      <text>
        <r>
          <rPr>
            <b/>
            <sz val="8"/>
            <color indexed="81"/>
            <rFont val="Tahoma"/>
            <family val="2"/>
          </rPr>
          <t>dipti.malvankar:</t>
        </r>
        <r>
          <rPr>
            <sz val="8"/>
            <color indexed="81"/>
            <rFont val="Tahoma"/>
            <family val="2"/>
          </rPr>
          <t xml:space="preserve">
Vegacid 18-90(Oleic-15-C18)</t>
        </r>
      </text>
    </comment>
    <comment ref="A38" authorId="0">
      <text>
        <r>
          <rPr>
            <b/>
            <sz val="8"/>
            <color indexed="81"/>
            <rFont val="Tahoma"/>
            <family val="2"/>
          </rPr>
          <t>dipti.malvankar:</t>
        </r>
        <r>
          <rPr>
            <sz val="8"/>
            <color indexed="81"/>
            <rFont val="Tahoma"/>
            <family val="2"/>
          </rPr>
          <t xml:space="preserve">
Vegacid 18-80(DFA-C18 20)</t>
        </r>
      </text>
    </comment>
  </commentList>
</comments>
</file>

<file path=xl/comments3.xml><?xml version="1.0" encoding="utf-8"?>
<comments xmlns="http://schemas.openxmlformats.org/spreadsheetml/2006/main">
  <authors>
    <author>dipti.malvankar</author>
  </authors>
  <commentList>
    <comment ref="A37" authorId="0">
      <text>
        <r>
          <rPr>
            <b/>
            <sz val="8"/>
            <color indexed="81"/>
            <rFont val="Tahoma"/>
            <family val="2"/>
          </rPr>
          <t>dipti.malvankar:</t>
        </r>
        <r>
          <rPr>
            <sz val="8"/>
            <color indexed="81"/>
            <rFont val="Tahoma"/>
            <family val="2"/>
          </rPr>
          <t xml:space="preserve">
Vegacid 18-90(Oleic-15-C18)</t>
        </r>
      </text>
    </comment>
    <comment ref="A38" authorId="0">
      <text>
        <r>
          <rPr>
            <b/>
            <sz val="8"/>
            <color indexed="81"/>
            <rFont val="Tahoma"/>
            <family val="2"/>
          </rPr>
          <t>dipti.malvankar:</t>
        </r>
        <r>
          <rPr>
            <sz val="8"/>
            <color indexed="81"/>
            <rFont val="Tahoma"/>
            <family val="2"/>
          </rPr>
          <t xml:space="preserve">
Vegacid 18-80(DFA-C18 20)</t>
        </r>
      </text>
    </comment>
  </commentList>
</comments>
</file>

<file path=xl/comments4.xml><?xml version="1.0" encoding="utf-8"?>
<comments xmlns="http://schemas.openxmlformats.org/spreadsheetml/2006/main">
  <authors>
    <author>dipti.malvankar</author>
  </authors>
  <commentList>
    <comment ref="A37" authorId="0">
      <text>
        <r>
          <rPr>
            <b/>
            <sz val="8"/>
            <color indexed="81"/>
            <rFont val="Tahoma"/>
            <family val="2"/>
          </rPr>
          <t>dipti.malvankar:</t>
        </r>
        <r>
          <rPr>
            <sz val="8"/>
            <color indexed="81"/>
            <rFont val="Tahoma"/>
            <family val="2"/>
          </rPr>
          <t xml:space="preserve">
Vegacid 18-90(Oleic-15-C18)</t>
        </r>
      </text>
    </comment>
    <comment ref="A38" authorId="0">
      <text>
        <r>
          <rPr>
            <b/>
            <sz val="8"/>
            <color indexed="81"/>
            <rFont val="Tahoma"/>
            <family val="2"/>
          </rPr>
          <t>dipti.malvankar:</t>
        </r>
        <r>
          <rPr>
            <sz val="8"/>
            <color indexed="81"/>
            <rFont val="Tahoma"/>
            <family val="2"/>
          </rPr>
          <t xml:space="preserve">
Vegacid 18-80(DFA-C18 20)</t>
        </r>
      </text>
    </comment>
  </commentList>
</comments>
</file>

<file path=xl/comments5.xml><?xml version="1.0" encoding="utf-8"?>
<comments xmlns="http://schemas.openxmlformats.org/spreadsheetml/2006/main">
  <authors>
    <author>dipti.malvankar</author>
  </authors>
  <commentList>
    <comment ref="A37" authorId="0">
      <text>
        <r>
          <rPr>
            <b/>
            <sz val="8"/>
            <color indexed="81"/>
            <rFont val="Tahoma"/>
            <family val="2"/>
          </rPr>
          <t>dipti.malvankar:</t>
        </r>
        <r>
          <rPr>
            <sz val="8"/>
            <color indexed="81"/>
            <rFont val="Tahoma"/>
            <family val="2"/>
          </rPr>
          <t xml:space="preserve">
Vegacid 18-90(Oleic-15-C18)</t>
        </r>
      </text>
    </comment>
    <comment ref="A38" authorId="0">
      <text>
        <r>
          <rPr>
            <b/>
            <sz val="8"/>
            <color indexed="81"/>
            <rFont val="Tahoma"/>
            <family val="2"/>
          </rPr>
          <t>dipti.malvankar:</t>
        </r>
        <r>
          <rPr>
            <sz val="8"/>
            <color indexed="81"/>
            <rFont val="Tahoma"/>
            <family val="2"/>
          </rPr>
          <t xml:space="preserve">
Vegacid 18-80(DFA-C18 20)</t>
        </r>
      </text>
    </comment>
  </commentList>
</comments>
</file>

<file path=xl/comments6.xml><?xml version="1.0" encoding="utf-8"?>
<comments xmlns="http://schemas.openxmlformats.org/spreadsheetml/2006/main">
  <authors>
    <author>dipti.malvankar</author>
  </authors>
  <commentList>
    <comment ref="A37" authorId="0">
      <text>
        <r>
          <rPr>
            <b/>
            <sz val="8"/>
            <color indexed="81"/>
            <rFont val="Tahoma"/>
            <family val="2"/>
          </rPr>
          <t>dipti.malvankar:</t>
        </r>
        <r>
          <rPr>
            <sz val="8"/>
            <color indexed="81"/>
            <rFont val="Tahoma"/>
            <family val="2"/>
          </rPr>
          <t xml:space="preserve">
Vegacid 18-90(Oleic-15-C18)</t>
        </r>
      </text>
    </comment>
    <comment ref="A38" authorId="0">
      <text>
        <r>
          <rPr>
            <b/>
            <sz val="8"/>
            <color indexed="81"/>
            <rFont val="Tahoma"/>
            <family val="2"/>
          </rPr>
          <t>dipti.malvankar:</t>
        </r>
        <r>
          <rPr>
            <sz val="8"/>
            <color indexed="81"/>
            <rFont val="Tahoma"/>
            <family val="2"/>
          </rPr>
          <t xml:space="preserve">
Vegacid 18-80(DFA-C18 20)</t>
        </r>
      </text>
    </comment>
  </commentList>
</comments>
</file>

<file path=xl/comments7.xml><?xml version="1.0" encoding="utf-8"?>
<comments xmlns="http://schemas.openxmlformats.org/spreadsheetml/2006/main">
  <authors>
    <author>dipti.malvankar</author>
  </authors>
  <commentList>
    <comment ref="A37" authorId="0">
      <text>
        <r>
          <rPr>
            <b/>
            <sz val="8"/>
            <color indexed="81"/>
            <rFont val="Tahoma"/>
            <family val="2"/>
          </rPr>
          <t>dipti.malvankar:</t>
        </r>
        <r>
          <rPr>
            <sz val="8"/>
            <color indexed="81"/>
            <rFont val="Tahoma"/>
            <family val="2"/>
          </rPr>
          <t xml:space="preserve">
Vegacid 18-90(Oleic-15-C18)</t>
        </r>
      </text>
    </comment>
    <comment ref="A38" authorId="0">
      <text>
        <r>
          <rPr>
            <b/>
            <sz val="8"/>
            <color indexed="81"/>
            <rFont val="Tahoma"/>
            <family val="2"/>
          </rPr>
          <t>dipti.malvankar:</t>
        </r>
        <r>
          <rPr>
            <sz val="8"/>
            <color indexed="81"/>
            <rFont val="Tahoma"/>
            <family val="2"/>
          </rPr>
          <t xml:space="preserve">
Vegacid 18-80(DFA-C18 20)</t>
        </r>
      </text>
    </comment>
  </commentList>
</comments>
</file>

<file path=xl/sharedStrings.xml><?xml version="1.0" encoding="utf-8"?>
<sst xmlns="http://schemas.openxmlformats.org/spreadsheetml/2006/main" count="1763" uniqueCount="247">
  <si>
    <t>Glycerine</t>
  </si>
  <si>
    <t>Geography</t>
  </si>
  <si>
    <t>Product Group</t>
  </si>
  <si>
    <t>Domestic</t>
  </si>
  <si>
    <t>Fatty Acid</t>
  </si>
  <si>
    <t>US</t>
  </si>
  <si>
    <t>Europe</t>
  </si>
  <si>
    <t>Far East</t>
  </si>
  <si>
    <t>Rest of World</t>
  </si>
  <si>
    <t>Total - Oleo</t>
  </si>
  <si>
    <t>Product</t>
  </si>
  <si>
    <t>Oleic-K</t>
  </si>
  <si>
    <t>Fatty Alcohol</t>
  </si>
  <si>
    <t>Total - Domestic</t>
  </si>
  <si>
    <t>Total - Exports</t>
  </si>
  <si>
    <t>Exports</t>
  </si>
  <si>
    <t>Input Cells (To Be Filled)</t>
  </si>
  <si>
    <t>(All figures in MT)</t>
  </si>
  <si>
    <t>Projected Growth (%)</t>
  </si>
  <si>
    <t>Q1</t>
  </si>
  <si>
    <t>Q2</t>
  </si>
  <si>
    <t>Q3</t>
  </si>
  <si>
    <t>Q4</t>
  </si>
  <si>
    <t>Total - US</t>
  </si>
  <si>
    <t>Total - Europe</t>
  </si>
  <si>
    <t>Total - Far East</t>
  </si>
  <si>
    <t>Total - Rest of World</t>
  </si>
  <si>
    <t>Export Sales - Geography wise Breakup</t>
  </si>
  <si>
    <t>Oleo Sales - Product group wise Breakup</t>
  </si>
  <si>
    <t>Estimated Growth (%)</t>
  </si>
  <si>
    <t>Behenic acid</t>
  </si>
  <si>
    <t>Capric acid</t>
  </si>
  <si>
    <t>Caproic acid</t>
  </si>
  <si>
    <t>Caprylic acid</t>
  </si>
  <si>
    <t>Caprylic-Capric acid</t>
  </si>
  <si>
    <t>DFA</t>
  </si>
  <si>
    <t>DFA C18-22</t>
  </si>
  <si>
    <t>DTP-7</t>
  </si>
  <si>
    <t>DTP-CT</t>
  </si>
  <si>
    <t>P-12</t>
  </si>
  <si>
    <t>Erucic 90%</t>
  </si>
  <si>
    <t>Lauric Acid (C12-99%)</t>
  </si>
  <si>
    <t>UTSR special</t>
  </si>
  <si>
    <t>V12-14</t>
  </si>
  <si>
    <t>V12-16</t>
  </si>
  <si>
    <t>V12:18</t>
  </si>
  <si>
    <t>V16:18 TA</t>
  </si>
  <si>
    <t>V16:98</t>
  </si>
  <si>
    <t>V16:18 50:50</t>
  </si>
  <si>
    <t>V16:18 PS</t>
  </si>
  <si>
    <t>V1822</t>
  </si>
  <si>
    <t>V18</t>
  </si>
  <si>
    <t>Hear acid</t>
  </si>
  <si>
    <t>G3</t>
  </si>
  <si>
    <t>V2270</t>
  </si>
  <si>
    <t>V2280</t>
  </si>
  <si>
    <t>Glycerine CP</t>
  </si>
  <si>
    <t>Glycerine IP</t>
  </si>
  <si>
    <t>Glycerine USP</t>
  </si>
  <si>
    <t>Glycerine JP</t>
  </si>
  <si>
    <t>Fatty Alcohol Residue</t>
  </si>
  <si>
    <t>Pitch</t>
  </si>
  <si>
    <t>Crude C8-C10</t>
  </si>
  <si>
    <t>C16 - 80%</t>
  </si>
  <si>
    <t>New Products</t>
  </si>
  <si>
    <t>sales Value ($ In Million)</t>
  </si>
  <si>
    <t>sales Value (Rs. In Cr.)</t>
  </si>
  <si>
    <t>Realization ($/MT)</t>
  </si>
  <si>
    <t>Volume (MT)</t>
  </si>
  <si>
    <t>(Actual)</t>
  </si>
  <si>
    <t>(Estimated)</t>
  </si>
  <si>
    <t>(Projected)</t>
  </si>
  <si>
    <t>Fatty Acids</t>
  </si>
  <si>
    <t>Fatty Alcohols</t>
  </si>
  <si>
    <t>(All figures in INR Crore)</t>
  </si>
  <si>
    <t>Check</t>
  </si>
  <si>
    <t>FY 12</t>
  </si>
  <si>
    <t>Growth</t>
  </si>
  <si>
    <t>Projected Growth</t>
  </si>
  <si>
    <t>(%)</t>
  </si>
  <si>
    <t>Estimated Growth</t>
  </si>
  <si>
    <t>Hydrogen Gas (SCM)</t>
  </si>
  <si>
    <t>Sub Total</t>
  </si>
  <si>
    <t>UTSR- Stearic</t>
  </si>
  <si>
    <t>V2290</t>
  </si>
  <si>
    <t>Hydrogen Gas</t>
  </si>
  <si>
    <t>Vegacid 1880</t>
  </si>
  <si>
    <t>Vegacid 1890</t>
  </si>
  <si>
    <t>Assumptions :</t>
  </si>
  <si>
    <t>Total</t>
  </si>
  <si>
    <t>Earlier 3.5.11</t>
  </si>
  <si>
    <t>QTY.</t>
  </si>
  <si>
    <t>Rs crs.</t>
  </si>
  <si>
    <t>Quarterly</t>
  </si>
  <si>
    <t>YTD March 11-12</t>
  </si>
  <si>
    <t>Export</t>
  </si>
  <si>
    <t>FY 13</t>
  </si>
  <si>
    <t xml:space="preserve">New Products </t>
  </si>
  <si>
    <t>Yellow mark to be confirmed</t>
  </si>
  <si>
    <t>Total FY13</t>
  </si>
  <si>
    <t>FY 14</t>
  </si>
  <si>
    <t>FY 15</t>
  </si>
  <si>
    <t>VVF (India) Limited</t>
  </si>
  <si>
    <t>Crude Glycerine</t>
  </si>
  <si>
    <t>Residue</t>
  </si>
  <si>
    <t>diff due to others sales</t>
  </si>
  <si>
    <t>New</t>
  </si>
  <si>
    <t>Vegacid Superflex</t>
  </si>
  <si>
    <t>New Product</t>
  </si>
  <si>
    <t xml:space="preserve">Vegarol EW100 </t>
  </si>
  <si>
    <t>Vegarol EW 300</t>
  </si>
  <si>
    <t>Vegarol 1895 DO</t>
  </si>
  <si>
    <t>ABP 2015-16</t>
  </si>
  <si>
    <t xml:space="preserve">Oleochemicals FY 15-16 Sales Volume Forecasts - Geography Product Group Wise Breakup </t>
  </si>
  <si>
    <t xml:space="preserve">Oleochemicals FY 15-16 Sales Value Forecasts - Geography Product Group Wise Breakup </t>
  </si>
  <si>
    <t>Apr 14- Nov14</t>
  </si>
  <si>
    <t>Dec 14-Mar 15</t>
  </si>
  <si>
    <t>FY 16</t>
  </si>
  <si>
    <t>Apr14-Nov14</t>
  </si>
  <si>
    <t>Palmitic Acid</t>
  </si>
  <si>
    <t>Myristic Acid</t>
  </si>
  <si>
    <t>Fatty Alc. Ethoxylate -7</t>
  </si>
  <si>
    <t>Arachidic acid</t>
  </si>
  <si>
    <t>Vegarol 2095</t>
  </si>
  <si>
    <t>Stearic 90</t>
  </si>
  <si>
    <t>Oleochemicals FY 16-17 - Product Wise Breakup Budget</t>
  </si>
  <si>
    <t>Oleic -60</t>
  </si>
  <si>
    <t>Mixed DFA -IV 34</t>
  </si>
  <si>
    <t>Oleochemicals FY 16-17 - Product Wise Breakup-Domestic</t>
  </si>
  <si>
    <t>V12-14 [HUL]</t>
  </si>
  <si>
    <t>V16:18 TA [GODREJ]</t>
  </si>
  <si>
    <t>V16:18 TA [HUL]</t>
  </si>
  <si>
    <t>Vega E TS</t>
  </si>
  <si>
    <t>FY 16-17 (Projected)</t>
  </si>
  <si>
    <t>FY 16-17(Projected)</t>
  </si>
  <si>
    <t>Oleochemicals FY 16-17 - Product Wise Breakup Budget - Export</t>
  </si>
  <si>
    <t>Oleochemicals FY16-17 - Product Wise Breakup-Europe</t>
  </si>
  <si>
    <t>Oleochemicals FY 16-17 - Product Wise Breakup-Far East</t>
  </si>
  <si>
    <t>Oleochemicals FY 16-17 - Product Wise Breakup-Rest of world</t>
  </si>
  <si>
    <t>Oleochemicals FY 16-17 - Product Wise Breakup-US</t>
  </si>
  <si>
    <t>Long Chain</t>
  </si>
  <si>
    <t>Midcut</t>
  </si>
  <si>
    <t>Higher Chains</t>
  </si>
  <si>
    <t>Value Added Fatty Acids</t>
  </si>
  <si>
    <t>Others</t>
  </si>
  <si>
    <t>Asia-Pacific</t>
  </si>
  <si>
    <t>RoW</t>
  </si>
  <si>
    <t>North America</t>
  </si>
  <si>
    <t>Latin America</t>
  </si>
  <si>
    <t>Volumes (MTs)</t>
  </si>
  <si>
    <t>Sales Value ($ In Million)</t>
  </si>
  <si>
    <t>Sales Value (Rs. In Cr.)</t>
  </si>
  <si>
    <t>Midcuts</t>
  </si>
  <si>
    <t>Midcuts-HUL</t>
  </si>
  <si>
    <t>V1618TA</t>
  </si>
  <si>
    <t>V1618PS</t>
  </si>
  <si>
    <t>V1618TA-Godrej</t>
  </si>
  <si>
    <t>V16185050</t>
  </si>
  <si>
    <t>Erucic Acid</t>
  </si>
  <si>
    <t>Behenic Acid</t>
  </si>
  <si>
    <t>V-18</t>
  </si>
  <si>
    <t>Lauric Acid</t>
  </si>
  <si>
    <t>Vegarol EW100</t>
  </si>
  <si>
    <t>Vegarol EW300</t>
  </si>
  <si>
    <t>Vegarol 18D0</t>
  </si>
  <si>
    <t>Refined Glycerine from Crude Purchase</t>
  </si>
  <si>
    <t>ACT 2012-13</t>
  </si>
  <si>
    <t>ACT 2013-14</t>
  </si>
  <si>
    <t>ACT 2014-15</t>
  </si>
  <si>
    <t>ACT 2015-16 YTD Jan (incl.Indonesia Impact)</t>
  </si>
  <si>
    <t>ACT 2015-16 Dec (incl.Indonesia Impact)</t>
  </si>
  <si>
    <t>ACT 2015-16 Jan (incl.Indonesia Impact)</t>
  </si>
  <si>
    <t xml:space="preserve">ABP 2016-17  </t>
  </si>
  <si>
    <t>Indonesia Impact</t>
  </si>
  <si>
    <t>Volumes</t>
  </si>
  <si>
    <t>GC</t>
  </si>
  <si>
    <t>GC Value</t>
  </si>
  <si>
    <t>MT</t>
  </si>
  <si>
    <t>USD/MT</t>
  </si>
  <si>
    <t xml:space="preserve"> (Rs.in Crs.)</t>
  </si>
  <si>
    <t>Rs./MT</t>
  </si>
  <si>
    <t>Gas &amp; Coal Benefit</t>
  </si>
  <si>
    <t>Total Gross contribution</t>
  </si>
  <si>
    <t>Total of above</t>
  </si>
  <si>
    <t>Interest on Working capital</t>
  </si>
  <si>
    <t>FPS+Tarmesh+Sion Tank Rental+others</t>
  </si>
  <si>
    <t>Overheads</t>
  </si>
  <si>
    <t>EBITDA</t>
  </si>
  <si>
    <t>Interest</t>
  </si>
  <si>
    <t>PBDT</t>
  </si>
  <si>
    <t>Depreciation</t>
  </si>
  <si>
    <t>PBT</t>
  </si>
  <si>
    <t>Indonesia Profit</t>
  </si>
  <si>
    <t>Net Profit</t>
  </si>
  <si>
    <t>MTs</t>
  </si>
  <si>
    <t>Realisation ($/MT)</t>
  </si>
  <si>
    <t>GC ($/MT)</t>
  </si>
  <si>
    <t>GC Vols.</t>
  </si>
  <si>
    <t>For ABP Vols. Rev GC ($/MT)</t>
  </si>
  <si>
    <t>Rev. Cost ($/MT)</t>
  </si>
  <si>
    <t>Rev. GC ($/MT)</t>
  </si>
  <si>
    <t>Cross-check</t>
  </si>
  <si>
    <t>Result</t>
  </si>
  <si>
    <t>Rev. Value (Rs.Crs.)</t>
  </si>
  <si>
    <t>Exchange Rate</t>
  </si>
  <si>
    <t>w.r.t i/p</t>
  </si>
  <si>
    <t>Yield</t>
  </si>
  <si>
    <t>Further Processing Cost (Rs./MT)</t>
  </si>
  <si>
    <t>w.r.t o/p</t>
  </si>
  <si>
    <t>Further Processing Cost ($/MT)</t>
  </si>
  <si>
    <t xml:space="preserve">Co-product </t>
  </si>
  <si>
    <t>Total Rev. Value (Rs.Crs.) (Main + Co-products)</t>
  </si>
  <si>
    <t>Actual  (MT)</t>
  </si>
  <si>
    <t>Actual Realzn ($/MT)</t>
  </si>
  <si>
    <t>Amol K</t>
  </si>
  <si>
    <t>D Kelkar</t>
  </si>
  <si>
    <t>Anwar Khan</t>
  </si>
  <si>
    <t>Vimal P</t>
  </si>
  <si>
    <t>Domestic  Alcohols &amp; NPD</t>
  </si>
  <si>
    <t>Domestic fatty acids &amp; residues</t>
  </si>
  <si>
    <t>Asia-pacific - all products</t>
  </si>
  <si>
    <t>North america</t>
  </si>
  <si>
    <t>Europe &amp; Latin america</t>
  </si>
  <si>
    <t>Value addition target( Sales Manager-wise ) in INR crores</t>
  </si>
  <si>
    <t xml:space="preserve">Rest of the world </t>
  </si>
  <si>
    <t>Cost ($/Mt)</t>
  </si>
  <si>
    <t>Net value addition ( Rs.Crore)</t>
  </si>
  <si>
    <t>Rs. Crores</t>
  </si>
  <si>
    <t>Actual (MT)</t>
  </si>
  <si>
    <t>ABP Volume (MT)</t>
  </si>
  <si>
    <t>Forecast (MT)</t>
  </si>
  <si>
    <t>H1</t>
  </si>
  <si>
    <t>Ach.%</t>
  </si>
  <si>
    <t>Grand Total</t>
  </si>
  <si>
    <t>Value addn. Rs.Crore</t>
  </si>
  <si>
    <t>Pankaj Patodia</t>
  </si>
  <si>
    <t>Japan</t>
  </si>
  <si>
    <t>Asia-Pacific Total</t>
  </si>
  <si>
    <t>Other Asia-pacific</t>
  </si>
  <si>
    <t>Total Value addition (Rs. Crore )</t>
  </si>
  <si>
    <t>Ach.% of Annual ABP</t>
  </si>
  <si>
    <t>G.C Value  Rs. Crores</t>
  </si>
  <si>
    <t>By-product Rs. Crores</t>
  </si>
  <si>
    <t>V16:18 TA By-product</t>
  </si>
  <si>
    <t>YTD Sept'16</t>
  </si>
  <si>
    <t>USD @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</si>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</sst>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0">
    <numFmt numFmtId="5" formatCode="&quot;$&quot;#,##0_);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₹&quot;\ #,##0;&quot;₹&quot;\ \-#,##0"/>
    <numFmt numFmtId="165" formatCode="&quot;Rs.&quot;\ #,##0.00_);\(&quot;Rs.&quot;\ #,##0.00\)"/>
    <numFmt numFmtId="166" formatCode="_(&quot;Rs.&quot;\ * #,##0_);_(&quot;Rs.&quot;\ * \(#,##0\);_(&quot;Rs.&quot;\ * &quot;-&quot;_);_(@_)"/>
    <numFmt numFmtId="167" formatCode="_(* #,##0_);_(* \(#,##0\);_(* &quot;-&quot;??_);_(@_)"/>
    <numFmt numFmtId="168" formatCode="0.000%"/>
    <numFmt numFmtId="169" formatCode="_(* #,##0.0_);_(* \(#,##0.0\);_(* &quot;-&quot;??_);_(@_)"/>
    <numFmt numFmtId="170" formatCode="_(* #,##0.0_);_(* \(#,##0.0\);_(* &quot;-&quot;?_);_(@_)"/>
    <numFmt numFmtId="171" formatCode="_(* #,##0.000_);_(* \(#,##0.000\);_(* &quot;-&quot;??_);_(@_)"/>
    <numFmt numFmtId="172" formatCode="&quot;$&quot;#,\);\(&quot;$&quot;#,##0\)"/>
    <numFmt numFmtId="173" formatCode="&quot;\&quot;#,##0.00;[Red]&quot;\&quot;&quot;\&quot;&quot;\&quot;&quot;\&quot;&quot;\&quot;&quot;\&quot;\-#,##0.00"/>
    <numFmt numFmtId="174" formatCode="&quot;\&quot;#,##0;[Red]&quot;\&quot;&quot;\&quot;\-#,##0"/>
    <numFmt numFmtId="175" formatCode="_-* #,##0.00_-;\-* #,##0.00_-;_-* &quot;-&quot;??_-;_-@_-"/>
    <numFmt numFmtId="176" formatCode="0.0_)\%;\(0.0\)\%;0.0_)\%;@_)_%"/>
    <numFmt numFmtId="177" formatCode="#,##0.0_)_%;\(#,##0.0\)_%;0.0_)_%;@_)_%"/>
    <numFmt numFmtId="178" formatCode="#,##0.0_);\(#,##0.0\);#,##0.0_);@_)"/>
    <numFmt numFmtId="179" formatCode="&quot;$&quot;_(#,##0.00_);&quot;$&quot;\(#,##0.00\);&quot;$&quot;_(0.00_);@_)"/>
    <numFmt numFmtId="180" formatCode="#,##0.00_);\(#,##0.00\);0.00_);@_)"/>
    <numFmt numFmtId="181" formatCode="\€_(#,##0.00_);\€\(#,##0.00\);\€_(0.00_);@_)"/>
    <numFmt numFmtId="182" formatCode="#,##0_)\x;\(#,##0\)\x;0_)\x;@_)_x"/>
    <numFmt numFmtId="183" formatCode="#,##0_)_x;\(#,##0\)_x;0_)_x;@_)_x"/>
    <numFmt numFmtId="184" formatCode="0.000000"/>
    <numFmt numFmtId="185" formatCode="0.00_)"/>
    <numFmt numFmtId="186" formatCode="0%;\(0%\)"/>
    <numFmt numFmtId="187" formatCode="0.0%"/>
    <numFmt numFmtId="188" formatCode="#,##0\ &quot;F&quot;;\-#,##0\ &quot;F&quot;"/>
    <numFmt numFmtId="189" formatCode="_-* #,##0\ &quot;F&quot;_-;\-* #,##0\ &quot;F&quot;_-;_-* &quot;-&quot;\ &quot;F&quot;_-;_-@_-"/>
    <numFmt numFmtId="190" formatCode="#,##0\ &quot;F&quot;;[Red]\-#,##0\ &quot;F&quot;"/>
    <numFmt numFmtId="191" formatCode="_-* #,##0\ _F_-;\-* #,##0\ _F_-;_-* &quot;-&quot;\ _F_-;_-@_-"/>
    <numFmt numFmtId="192" formatCode="General_)"/>
    <numFmt numFmtId="193" formatCode="_$&quot;$&quot;#,##0.00_);[Red]_$\(&quot;$&quot;#,##0.00\);_$&quot;$&quot;0.00_);_$@_)"/>
    <numFmt numFmtId="194" formatCode="0%_)"/>
    <numFmt numFmtId="195" formatCode="0.000"/>
    <numFmt numFmtId="196" formatCode="_ * #,##0.00_)&quot;£&quot;_ ;_ * \(#,##0.00\)&quot;£&quot;_ ;_ * &quot;-&quot;??_)&quot;£&quot;_ ;_ @_ "/>
    <numFmt numFmtId="197" formatCode="_ * #,##0.00_)_£_ ;_ * \(#,##0.00\)_£_ ;_ * &quot;-&quot;??_)_£_ ;_ @_ "/>
    <numFmt numFmtId="198" formatCode="_(* #,##0,_);_(* \(#,##0,\);_(* &quot;&quot;\-&quot;&quot;_)"/>
    <numFmt numFmtId="199" formatCode="&quot;\&quot;#,##0.00;[Red]\-&quot;\&quot;#,##0.00"/>
    <numFmt numFmtId="200" formatCode="#,##0.000_);\(#,##0.000\)"/>
    <numFmt numFmtId="201" formatCode="_ * #,##0.00_ ;_ * \-#,##0.00_ ;_ * &quot;-&quot;??_ ;_ @_ "/>
    <numFmt numFmtId="202" formatCode="[$-409]dd/mmm/yy;@"/>
    <numFmt numFmtId="203" formatCode="#,##0;\(#,##0\)"/>
    <numFmt numFmtId="204" formatCode="#,##0.0_);\(#,##0.0\)"/>
    <numFmt numFmtId="205" formatCode="* \(#,##0\);* #,##0_);&quot;-&quot;??_);@"/>
    <numFmt numFmtId="206" formatCode="#,##0.0_)\x;[Red]\(#,##0.0\)\x"/>
    <numFmt numFmtId="207" formatCode="_ &quot;Rs.&quot;\ * #,##0.00_ ;_ &quot;Rs.&quot;\ * \-#,##0.00_ ;_ &quot;Rs.&quot;\ * &quot;-&quot;??_ ;_ @_ "/>
    <numFmt numFmtId="208" formatCode="_(&quot;DM &quot;* #,##0.00_);_(&quot;DM &quot;* \(#,##0.00\);_(&quot;DM &quot;* &quot;-&quot;??_);_(@_)"/>
    <numFmt numFmtId="209" formatCode="_(&quot;£ &quot;* #,##0.00_);_(&quot;£ &quot;* \(#,##0.00\);_(&quot;£ &quot;* &quot;-&quot;??_);_(@_)"/>
    <numFmt numFmtId="210" formatCode="\$#,##0\ ;\(\$#,##0\)"/>
    <numFmt numFmtId="211" formatCode="&quot;Rs.&quot;#,##0.00;\(&quot;Rs.&quot;#,##0.00\)"/>
    <numFmt numFmtId="212" formatCode="_-* #,##0\ &quot;S/.&quot;_-;\-* #,##0\ &quot;S/.&quot;_-;_-* &quot;-&quot;\ &quot;S/.&quot;_-;_-@_-"/>
    <numFmt numFmtId="213" formatCode="##,##0.00_);\(#,##0.00\)"/>
    <numFmt numFmtId="214" formatCode="&quot; * &quot;@"/>
    <numFmt numFmtId="215" formatCode="* #,##0_);* \(#,##0\);&quot;-&quot;??_);@"/>
    <numFmt numFmtId="216" formatCode="\$#,##0;\(\$#,##0\)"/>
    <numFmt numFmtId="217" formatCode="[Red][=0]&quot;Wrong&quot;;[Green][=1]&quot;O.K.&quot;;General"/>
    <numFmt numFmtId="218" formatCode="#."/>
    <numFmt numFmtId="219" formatCode="_([$€-2]* #,##0.00_);_([$€-2]* \(#,##0.00\);_([$€-2]* &quot;-&quot;??_)"/>
    <numFmt numFmtId="220" formatCode="_([$€]* #,##0.00_);_([$€]* \(#,##0.00\);_([$€]* &quot;-&quot;??_);_(@_)"/>
    <numFmt numFmtId="221" formatCode="#.00"/>
    <numFmt numFmtId="222" formatCode="mmmm\ d\,\ yyyy"/>
    <numFmt numFmtId="223" formatCode="000"/>
    <numFmt numFmtId="224" formatCode="0.0"/>
    <numFmt numFmtId="225" formatCode="_-* #,##0\ _P_t_s_-;\-* #,##0\ _P_t_s_-;_-* &quot;-&quot;\ _P_t_s_-;_-@_-"/>
    <numFmt numFmtId="226" formatCode="_-* #,##0.00\ _P_t_s_-;\-* #,##0.00\ _P_t_s_-;_-* &quot;-&quot;??\ _P_t_s_-;_-@_-"/>
    <numFmt numFmtId="227" formatCode="[&gt;=10000]#\'\'000\'0\ \ ;[&lt;=-10000]\-#\'\'000\'0\ \ ;#\'0\ \ ;"/>
    <numFmt numFmtId="228" formatCode="#\'000\ \ \ ;\-#\'000\ \ \ ;\ \ \ ;@"/>
    <numFmt numFmtId="229" formatCode="_-* #,##0\ &quot;Pts&quot;_-;\-* #,##0\ &quot;Pts&quot;_-;_-* &quot;-&quot;\ &quot;Pts&quot;_-;_-@_-"/>
    <numFmt numFmtId="230" formatCode="_-* #,##0.00\ &quot;Pts&quot;_-;\-* #,##0.00\ &quot;Pts&quot;_-;_-* &quot;-&quot;??\ &quot;Pts&quot;_-;_-@_-"/>
    <numFmt numFmtId="231" formatCode="&quot;$&quot;#,##0;[Red]\-&quot;$&quot;#,##0"/>
    <numFmt numFmtId="232" formatCode="&quot;$&quot;#,##0.00;[Red]\-&quot;$&quot;#,##0.00"/>
    <numFmt numFmtId="233" formatCode="&quot;$&quot;#.00"/>
    <numFmt numFmtId="234" formatCode="&quot;$&quot;#,##0.00"/>
    <numFmt numFmtId="235" formatCode="%#.00"/>
    <numFmt numFmtId="236" formatCode="#,##0.00\ &quot;F&quot;;\-#,##0.00\ &quot;F&quot;"/>
    <numFmt numFmtId="237" formatCode="ddmmyy"/>
    <numFmt numFmtId="238" formatCode="#,##0.0_);[Red]\(#,##0.0\)"/>
    <numFmt numFmtId="239" formatCode="&quot;£ &quot;#,##0;[Red]\-&quot;£ &quot;#,##0"/>
    <numFmt numFmtId="240" formatCode="&quot;£ &quot;#,##0.00;\-&quot;£ &quot;#,##0.00"/>
    <numFmt numFmtId="241" formatCode="_ &quot;Fr.&quot;\ * #,##0_ ;_ &quot;Fr.&quot;\ * \-#,##0_ ;_ &quot;Fr.&quot;\ * &quot;-&quot;_ ;_ @_ "/>
    <numFmt numFmtId="242" formatCode="_ &quot;Fr.&quot;\ * #,##0.00_ ;_ &quot;Fr.&quot;\ * \-#,##0.00_ ;_ &quot;Fr.&quot;\ * &quot;-&quot;??_ ;_ @_ "/>
    <numFmt numFmtId="243" formatCode="#,##0\ &quot;DM&quot;;[Red]\-#,##0\ &quot;DM&quot;"/>
    <numFmt numFmtId="244" formatCode="#,##0.00\ &quot;DM&quot;;[Red]\-#,##0.00\ &quot;DM&quot;"/>
    <numFmt numFmtId="245" formatCode="_-&quot;\&quot;* #,##0_-;\-&quot;\&quot;* #,##0_-;_-&quot;\&quot;* &quot;-&quot;_-;_-@_-"/>
    <numFmt numFmtId="246" formatCode="_-&quot;\&quot;* #,##0.00_-;\-&quot;\&quot;* #,##0.00_-;_-&quot;\&quot;* &quot;-&quot;??_-;_-@_-"/>
    <numFmt numFmtId="247" formatCode="_ &quot;\&quot;* #,##0_ ;_ &quot;\&quot;* \-#,##0_ ;_ &quot;\&quot;* &quot;-&quot;_ ;_ @_ "/>
    <numFmt numFmtId="248" formatCode="_ &quot;\&quot;* #,##0.00_ ;_ &quot;\&quot;* \-#,##0.00_ ;_ &quot;\&quot;* &quot;-&quot;??_ ;_ @_ "/>
  </numFmts>
  <fonts count="1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9"/>
      <name val="Arial"/>
      <family val="2"/>
    </font>
    <font>
      <i/>
      <sz val="12"/>
      <name val="Arial"/>
      <family val="2"/>
    </font>
    <font>
      <sz val="12"/>
      <name val="Arial"/>
      <family val="2"/>
    </font>
    <font>
      <sz val="10"/>
      <color indexed="9"/>
      <name val="Arial"/>
      <family val="2"/>
    </font>
    <font>
      <sz val="14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8"/>
      <color indexed="24"/>
      <name val="Arial"/>
      <family val="2"/>
    </font>
    <font>
      <b/>
      <sz val="9"/>
      <color indexed="24"/>
      <name val="Arial"/>
      <family val="2"/>
    </font>
    <font>
      <b/>
      <sz val="11"/>
      <color indexed="24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2"/>
      <name val="Tms Rmn"/>
    </font>
    <font>
      <sz val="10"/>
      <name val="MS Sans Serif"/>
      <family val="2"/>
    </font>
    <font>
      <sz val="8"/>
      <name val="Arial Narrow"/>
      <family val="2"/>
    </font>
    <font>
      <sz val="12"/>
      <name val="Helv"/>
    </font>
    <font>
      <sz val="10"/>
      <name val="Courier"/>
      <family val="3"/>
    </font>
    <font>
      <sz val="24"/>
      <color indexed="9"/>
      <name val="SWISS"/>
    </font>
    <font>
      <b/>
      <sz val="14"/>
      <name val="SWISS"/>
    </font>
    <font>
      <sz val="10"/>
      <color indexed="0"/>
      <name val="Arial"/>
      <family val="2"/>
    </font>
    <font>
      <u/>
      <sz val="12"/>
      <color indexed="12"/>
      <name val="Arial Narrow"/>
      <family val="2"/>
    </font>
    <font>
      <b/>
      <sz val="14"/>
      <name val="Helv"/>
    </font>
    <font>
      <sz val="7"/>
      <name val="Small Fonts"/>
      <family val="2"/>
    </font>
    <font>
      <sz val="10"/>
      <name val="Century Gothic"/>
      <family val="2"/>
    </font>
    <font>
      <sz val="12"/>
      <name val="Arial Narrow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sz val="18"/>
      <color indexed="62"/>
      <name val="Cambria"/>
      <family val="2"/>
    </font>
    <font>
      <sz val="24"/>
      <color indexed="13"/>
      <name val="Helv"/>
    </font>
    <font>
      <sz val="11"/>
      <color theme="1"/>
      <name val="Calibri"/>
      <family val="2"/>
      <scheme val="minor"/>
    </font>
    <font>
      <sz val="10"/>
      <color theme="1"/>
      <name val="Bookman Old Style"/>
      <family val="2"/>
    </font>
    <font>
      <sz val="11"/>
      <color theme="1"/>
      <name val="Calibri"/>
      <family val="2"/>
      <charset val="1"/>
      <scheme val="minor"/>
    </font>
    <font>
      <sz val="8"/>
      <color rgb="FFFF000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name val="Arial"/>
      <family val="2"/>
    </font>
    <font>
      <sz val="10"/>
      <color indexed="8"/>
      <name val="MS Sans Serif"/>
      <family val="2"/>
    </font>
    <font>
      <sz val="14"/>
      <name val="??"/>
    </font>
    <font>
      <sz val="12"/>
      <name val="????"/>
    </font>
    <font>
      <sz val="10"/>
      <name val="???"/>
    </font>
    <font>
      <i/>
      <sz val="10"/>
      <color indexed="13"/>
      <name val="Arial"/>
      <family val="2"/>
    </font>
    <font>
      <sz val="10"/>
      <color indexed="13"/>
      <name val="Arial"/>
      <family val="2"/>
    </font>
    <font>
      <b/>
      <i/>
      <sz val="9"/>
      <name val="Arial"/>
      <family val="2"/>
    </font>
    <font>
      <b/>
      <sz val="9"/>
      <name val="Arial"/>
      <family val="2"/>
    </font>
    <font>
      <b/>
      <sz val="22"/>
      <color indexed="18"/>
      <name val="Arial"/>
      <family val="2"/>
    </font>
    <font>
      <sz val="10"/>
      <name val="Helv"/>
      <family val="2"/>
    </font>
    <font>
      <sz val="10"/>
      <name val="Helv"/>
      <charset val="204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12"/>
      <name val="Times New Roman"/>
      <family val="1"/>
    </font>
    <font>
      <sz val="13"/>
      <name val="Tms Rmn"/>
      <family val="1"/>
    </font>
    <font>
      <sz val="9"/>
      <color theme="1"/>
      <name val="Microsoft New Tai Lue"/>
      <family val="2"/>
    </font>
    <font>
      <sz val="9"/>
      <color theme="0"/>
      <name val="Microsoft New Tai Lue"/>
      <family val="2"/>
    </font>
    <font>
      <sz val="14"/>
      <name val="AngsanaUPC"/>
      <family val="1"/>
    </font>
    <font>
      <sz val="16"/>
      <name val="Arial"/>
      <family val="2"/>
    </font>
    <font>
      <sz val="12"/>
      <name val="¹UAAA¼"/>
    </font>
    <font>
      <sz val="9"/>
      <color rgb="FF9C0006"/>
      <name val="Microsoft New Tai Lue"/>
      <family val="2"/>
    </font>
    <font>
      <sz val="8"/>
      <color indexed="18"/>
      <name val="Arial"/>
      <family val="2"/>
    </font>
    <font>
      <sz val="10"/>
      <name val="Times New Roman"/>
      <family val="1"/>
    </font>
    <font>
      <sz val="8"/>
      <color indexed="8"/>
      <name val="Arial"/>
      <family val="2"/>
    </font>
    <font>
      <sz val="12"/>
      <name val="¹ÙÅÁÃ¼"/>
      <charset val="129"/>
    </font>
    <font>
      <sz val="9"/>
      <name val="Times New Roman"/>
      <family val="1"/>
    </font>
    <font>
      <b/>
      <sz val="11"/>
      <color indexed="10"/>
      <name val="Calibri"/>
      <family val="2"/>
    </font>
    <font>
      <b/>
      <sz val="9"/>
      <color rgb="FFFA7D00"/>
      <name val="Microsoft New Tai Lue"/>
      <family val="2"/>
    </font>
    <font>
      <b/>
      <sz val="9"/>
      <color theme="0"/>
      <name val="Microsoft New Tai Lue"/>
      <family val="2"/>
    </font>
    <font>
      <b/>
      <sz val="13"/>
      <name val="Tms Rmn"/>
      <family val="1"/>
    </font>
    <font>
      <sz val="10"/>
      <color theme="1"/>
      <name val="Calibri"/>
      <family val="2"/>
    </font>
    <font>
      <sz val="10"/>
      <name val="BERNHARD"/>
    </font>
    <font>
      <sz val="10"/>
      <name val="Helv"/>
    </font>
    <font>
      <sz val="10"/>
      <name val="MS Serif"/>
      <family val="1"/>
    </font>
    <font>
      <b/>
      <sz val="11"/>
      <name val="Times New Roman"/>
      <family val="1"/>
    </font>
    <font>
      <b/>
      <i/>
      <sz val="12"/>
      <name val="Times New Roman"/>
      <family val="1"/>
    </font>
    <font>
      <outline/>
      <sz val="10"/>
      <name val="Geneva"/>
    </font>
    <font>
      <sz val="6"/>
      <name val="Arial"/>
      <family val="2"/>
    </font>
    <font>
      <sz val="1"/>
      <color indexed="8"/>
      <name val="Courier"/>
      <family val="3"/>
    </font>
    <font>
      <u val="doubleAccounting"/>
      <sz val="10"/>
      <name val="Arial"/>
      <family val="2"/>
    </font>
    <font>
      <b/>
      <sz val="1"/>
      <color indexed="8"/>
      <name val="Courier"/>
      <family val="3"/>
    </font>
    <font>
      <sz val="10"/>
      <color indexed="16"/>
      <name val="MS Serif"/>
      <family val="1"/>
    </font>
    <font>
      <sz val="11"/>
      <color indexed="8"/>
      <name val="Calibri"/>
      <family val="2"/>
      <charset val="1"/>
    </font>
    <font>
      <i/>
      <sz val="9"/>
      <color rgb="FF7F7F7F"/>
      <name val="Microsoft New Tai Lue"/>
      <family val="2"/>
    </font>
    <font>
      <sz val="7"/>
      <name val="Palatino"/>
      <family val="1"/>
    </font>
    <font>
      <sz val="9"/>
      <color rgb="FF006100"/>
      <name val="Microsoft New Tai Lue"/>
      <family val="2"/>
    </font>
    <font>
      <sz val="6"/>
      <color indexed="16"/>
      <name val="Palatino"/>
      <family val="1"/>
    </font>
    <font>
      <b/>
      <sz val="15"/>
      <color indexed="62"/>
      <name val="Calibri"/>
      <family val="2"/>
    </font>
    <font>
      <b/>
      <sz val="15"/>
      <color theme="3"/>
      <name val="Microsoft New Tai Lue"/>
      <family val="2"/>
    </font>
    <font>
      <b/>
      <sz val="13"/>
      <color indexed="62"/>
      <name val="Calibri"/>
      <family val="2"/>
    </font>
    <font>
      <b/>
      <sz val="13"/>
      <color theme="3"/>
      <name val="Microsoft New Tai Lue"/>
      <family val="2"/>
    </font>
    <font>
      <b/>
      <sz val="11"/>
      <color indexed="62"/>
      <name val="Calibri"/>
      <family val="2"/>
    </font>
    <font>
      <b/>
      <sz val="11"/>
      <color theme="3"/>
      <name val="Microsoft New Tai Lue"/>
      <family val="2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u/>
      <sz val="11"/>
      <color theme="10"/>
      <name val="Calibri"/>
      <family val="2"/>
      <scheme val="minor"/>
    </font>
    <font>
      <u/>
      <sz val="9"/>
      <color indexed="12"/>
      <name val="Arial"/>
      <family val="2"/>
    </font>
    <font>
      <sz val="9"/>
      <color rgb="FF3F3F76"/>
      <name val="Microsoft New Tai Lue"/>
      <family val="2"/>
    </font>
    <font>
      <sz val="18"/>
      <name val="Times New Roman"/>
      <family val="1"/>
    </font>
    <font>
      <b/>
      <sz val="13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9"/>
      <color rgb="FFFA7D00"/>
      <name val="Microsoft New Tai Lue"/>
      <family val="2"/>
    </font>
    <font>
      <b/>
      <sz val="10"/>
      <name val="Times New Roman"/>
      <family val="1"/>
    </font>
    <font>
      <b/>
      <sz val="36"/>
      <name val="Times New Roman"/>
      <family val="1"/>
    </font>
    <font>
      <sz val="10"/>
      <name val="Geneva"/>
      <family val="2"/>
    </font>
    <font>
      <sz val="8"/>
      <name val="Palatino"/>
      <family val="1"/>
    </font>
    <font>
      <sz val="11"/>
      <color indexed="19"/>
      <name val="Calibri"/>
      <family val="2"/>
    </font>
    <font>
      <sz val="9"/>
      <color rgb="FF9C6500"/>
      <name val="Microsoft New Tai Lue"/>
      <family val="2"/>
    </font>
    <font>
      <b/>
      <i/>
      <sz val="16"/>
      <name val="Helv"/>
    </font>
    <font>
      <b/>
      <i/>
      <sz val="16"/>
      <name val="Helv"/>
      <family val="2"/>
    </font>
    <font>
      <sz val="10"/>
      <name val="Tahoma"/>
      <family val="2"/>
    </font>
    <font>
      <sz val="12"/>
      <name val="Tahoma"/>
      <family val="2"/>
    </font>
    <font>
      <sz val="10"/>
      <color theme="1"/>
      <name val="Arial"/>
      <family val="2"/>
    </font>
    <font>
      <sz val="9"/>
      <color indexed="8"/>
      <name val="Microsoft New Tai Lue"/>
      <family val="2"/>
    </font>
    <font>
      <b/>
      <sz val="9"/>
      <color rgb="FF3F3F3F"/>
      <name val="Microsoft New Tai Lue"/>
      <family val="2"/>
    </font>
    <font>
      <sz val="10"/>
      <color indexed="16"/>
      <name val="Helvetica-Black"/>
    </font>
    <font>
      <b/>
      <sz val="10"/>
      <name val="Arial CE"/>
      <family val="2"/>
      <charset val="238"/>
    </font>
    <font>
      <b/>
      <sz val="10"/>
      <name val="MS Sans Serif"/>
      <family val="2"/>
    </font>
    <font>
      <sz val="11"/>
      <name val="Arial"/>
      <family val="2"/>
    </font>
    <font>
      <sz val="8"/>
      <name val="Helv"/>
    </font>
    <font>
      <u val="singleAccounting"/>
      <sz val="10"/>
      <name val="Arial"/>
      <family val="2"/>
    </font>
    <font>
      <u/>
      <sz val="9"/>
      <color indexed="36"/>
      <name val="Arial"/>
      <family val="2"/>
    </font>
    <font>
      <sz val="12"/>
      <name val="Univers (WN)"/>
    </font>
    <font>
      <b/>
      <sz val="8"/>
      <color indexed="8"/>
      <name val="Helv"/>
    </font>
    <font>
      <b/>
      <sz val="16"/>
      <name val="SulzerLogo"/>
    </font>
    <font>
      <sz val="12"/>
      <name val="CG Times"/>
      <family val="1"/>
    </font>
    <font>
      <b/>
      <sz val="9"/>
      <name val="Palatino"/>
      <family val="1"/>
    </font>
    <font>
      <sz val="9"/>
      <color indexed="21"/>
      <name val="Helvetica-Black"/>
    </font>
    <font>
      <sz val="9"/>
      <name val="Helvetica-Black"/>
    </font>
    <font>
      <b/>
      <sz val="9"/>
      <color theme="1"/>
      <name val="Microsoft New Tai Lue"/>
      <family val="2"/>
    </font>
    <font>
      <u val="double"/>
      <sz val="8"/>
      <color indexed="8"/>
      <name val="Arial"/>
      <family val="2"/>
    </font>
    <font>
      <sz val="10"/>
      <color indexed="19"/>
      <name val="Arial"/>
      <family val="2"/>
    </font>
    <font>
      <sz val="9"/>
      <color rgb="FFFF0000"/>
      <name val="Microsoft New Tai Lue"/>
      <family val="2"/>
    </font>
    <font>
      <b/>
      <sz val="9"/>
      <color indexed="10"/>
      <name val="Wingdings"/>
      <charset val="2"/>
    </font>
    <font>
      <b/>
      <sz val="10"/>
      <color indexed="20"/>
      <name val="Geneva"/>
      <family val="2"/>
    </font>
    <font>
      <sz val="8"/>
      <name val="Helv"/>
      <family val="2"/>
    </font>
    <font>
      <sz val="11"/>
      <name val="돋움"/>
      <family val="3"/>
      <charset val="129"/>
    </font>
    <font>
      <sz val="12"/>
      <name val="Book Antiqua"/>
      <family val="1"/>
    </font>
    <font>
      <b/>
      <sz val="10"/>
      <color theme="1"/>
      <name val="Calibri"/>
      <family val="2"/>
      <scheme val="minor"/>
    </font>
    <font>
      <sz val="10"/>
      <color rgb="FFFFFF00"/>
      <name val="Calibri"/>
      <family val="2"/>
      <scheme val="minor"/>
    </font>
    <font>
      <b/>
      <u/>
      <sz val="10"/>
      <name val="Calibri"/>
      <family val="2"/>
      <scheme val="minor"/>
    </font>
    <font>
      <sz val="10"/>
      <color rgb="FF0000CC"/>
      <name val="Calibri"/>
      <family val="2"/>
      <scheme val="minor"/>
    </font>
    <font>
      <b/>
      <sz val="10"/>
      <color rgb="FF0000CC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18"/>
      <color rgb="FFFFFF00"/>
      <name val="Calibri"/>
      <family val="2"/>
      <scheme val="minor"/>
    </font>
    <font>
      <b/>
      <sz val="9"/>
      <color indexed="81"/>
      <name val="Tahoma"/>
      <charset val="1"/>
    </font>
  </fonts>
  <fills count="10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10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57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1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6"/>
      </patternFill>
    </fill>
    <fill>
      <patternFill patternType="lightGray">
        <fgColor indexed="15"/>
      </patternFill>
    </fill>
    <fill>
      <patternFill patternType="mediumGray">
        <fgColor indexed="22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2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4605">
    <xf numFmtId="0" fontId="0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4" fillId="0" borderId="0"/>
    <xf numFmtId="0" fontId="6" fillId="0" borderId="0"/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4" borderId="0" applyNumberFormat="0" applyBorder="0" applyAlignment="0" applyProtection="0"/>
    <xf numFmtId="0" fontId="3" fillId="29" borderId="0" applyNumberFormat="0" applyBorder="0" applyAlignment="0" applyProtection="0"/>
    <xf numFmtId="0" fontId="3" fillId="22" borderId="0" applyNumberFormat="0" applyBorder="0" applyAlignment="0" applyProtection="0"/>
    <xf numFmtId="0" fontId="41" fillId="30" borderId="0" applyNumberFormat="0" applyBorder="0" applyAlignment="0" applyProtection="0"/>
    <xf numFmtId="0" fontId="41" fillId="28" borderId="0" applyNumberFormat="0" applyBorder="0" applyAlignment="0" applyProtection="0"/>
    <xf numFmtId="0" fontId="5" fillId="0" borderId="1" applyBorder="0">
      <alignment horizontal="centerContinuous"/>
    </xf>
    <xf numFmtId="0" fontId="5" fillId="0" borderId="1" applyBorder="0">
      <alignment horizontal="centerContinuous"/>
    </xf>
    <xf numFmtId="0" fontId="5" fillId="0" borderId="1" applyBorder="0">
      <alignment horizontal="centerContinuous"/>
    </xf>
    <xf numFmtId="0" fontId="31" fillId="3" borderId="0" applyNumberFormat="0" applyBorder="0" applyAlignment="0" applyProtection="0"/>
    <xf numFmtId="0" fontId="42" fillId="0" borderId="0" applyNumberFormat="0" applyFill="0" applyBorder="0" applyAlignment="0" applyProtection="0"/>
    <xf numFmtId="49" fontId="23" fillId="0" borderId="0" applyFont="0" applyFill="0" applyBorder="0" applyAlignment="0" applyProtection="0">
      <alignment horizontal="left"/>
    </xf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0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68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70" fontId="14" fillId="0" borderId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165" fontId="7" fillId="0" borderId="0" applyFill="0" applyBorder="0" applyAlignment="0" applyProtection="0"/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7" fillId="0" borderId="0" applyNumberFormat="0" applyAlignment="0" applyProtection="0">
      <alignment horizontal="left"/>
    </xf>
    <xf numFmtId="49" fontId="24" fillId="0" borderId="2" applyNumberFormat="0" applyAlignment="0" applyProtection="0">
      <alignment horizontal="left" wrapText="1"/>
    </xf>
    <xf numFmtId="49" fontId="24" fillId="0" borderId="0" applyNumberFormat="0" applyAlignment="0" applyProtection="0">
      <alignment horizontal="left" wrapText="1"/>
    </xf>
    <xf numFmtId="49" fontId="25" fillId="0" borderId="0" applyAlignment="0" applyProtection="0">
      <alignment horizontal="left"/>
    </xf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43" fillId="0" borderId="0"/>
    <xf numFmtId="0" fontId="37" fillId="32" borderId="4" applyNumberFormat="0" applyAlignment="0" applyProtection="0"/>
    <xf numFmtId="43" fontId="4" fillId="0" borderId="0" applyFont="0" applyFill="0" applyBorder="0" applyAlignment="0" applyProtection="0"/>
    <xf numFmtId="43" fontId="64" fillId="0" borderId="0" applyFont="0" applyFill="0" applyBorder="0" applyAlignment="0" applyProtection="0"/>
    <xf numFmtId="168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65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45" fillId="0" borderId="0"/>
    <xf numFmtId="0" fontId="45" fillId="0" borderId="5"/>
    <xf numFmtId="0" fontId="45" fillId="0" borderId="5"/>
    <xf numFmtId="0" fontId="45" fillId="0" borderId="5"/>
    <xf numFmtId="0" fontId="46" fillId="0" borderId="0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0" fillId="33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7" fillId="36" borderId="0"/>
    <xf numFmtId="0" fontId="39" fillId="0" borderId="0" applyNumberFormat="0" applyFill="0" applyBorder="0" applyAlignment="0" applyProtection="0"/>
    <xf numFmtId="0" fontId="48" fillId="0" borderId="6"/>
    <xf numFmtId="0" fontId="48" fillId="0" borderId="5"/>
    <xf numFmtId="0" fontId="48" fillId="0" borderId="5"/>
    <xf numFmtId="0" fontId="48" fillId="0" borderId="5"/>
    <xf numFmtId="0" fontId="48" fillId="37" borderId="5"/>
    <xf numFmtId="0" fontId="48" fillId="37" borderId="5"/>
    <xf numFmtId="0" fontId="48" fillId="37" borderId="5"/>
    <xf numFmtId="0" fontId="49" fillId="0" borderId="0"/>
    <xf numFmtId="0" fontId="30" fillId="4" borderId="0" applyNumberFormat="0" applyBorder="0" applyAlignment="0" applyProtection="0"/>
    <xf numFmtId="0" fontId="9" fillId="0" borderId="7" applyNumberFormat="0" applyAlignment="0" applyProtection="0">
      <alignment horizontal="left" vertical="center"/>
    </xf>
    <xf numFmtId="0" fontId="9" fillId="0" borderId="8">
      <alignment horizontal="left" vertical="center"/>
    </xf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51" fillId="38" borderId="5"/>
    <xf numFmtId="0" fontId="51" fillId="38" borderId="5"/>
    <xf numFmtId="0" fontId="51" fillId="38" borderId="5"/>
    <xf numFmtId="0" fontId="36" fillId="0" borderId="12" applyNumberFormat="0" applyFill="0" applyAlignment="0" applyProtection="0"/>
    <xf numFmtId="0" fontId="32" fillId="39" borderId="0" applyNumberFormat="0" applyBorder="0" applyAlignment="0" applyProtection="0"/>
    <xf numFmtId="37" fontId="52" fillId="0" borderId="0"/>
    <xf numFmtId="172" fontId="53" fillId="0" borderId="0"/>
    <xf numFmtId="0" fontId="4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4" fillId="0" borderId="0"/>
    <xf numFmtId="0" fontId="20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6" fillId="0" borderId="0"/>
    <xf numFmtId="0" fontId="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4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64" fillId="0" borderId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6" fillId="0" borderId="0" applyNumberFormat="0" applyFill="0" applyBorder="0" applyAlignment="0" applyProtection="0"/>
    <xf numFmtId="0" fontId="64" fillId="0" borderId="0"/>
    <xf numFmtId="0" fontId="4" fillId="0" borderId="0" applyNumberFormat="0" applyFill="0" applyBorder="0" applyAlignment="0" applyProtection="0"/>
    <xf numFmtId="0" fontId="64" fillId="0" borderId="0"/>
    <xf numFmtId="0" fontId="44" fillId="0" borderId="0" applyNumberFormat="0" applyFill="0" applyBorder="0" applyAlignment="0" applyProtection="0"/>
    <xf numFmtId="0" fontId="64" fillId="0" borderId="0"/>
    <xf numFmtId="0" fontId="4" fillId="0" borderId="0" applyNumberFormat="0" applyFill="0" applyBorder="0" applyAlignment="0" applyProtection="0"/>
    <xf numFmtId="0" fontId="64" fillId="0" borderId="0"/>
    <xf numFmtId="0" fontId="4" fillId="0" borderId="0"/>
    <xf numFmtId="0" fontId="4" fillId="0" borderId="0"/>
    <xf numFmtId="0" fontId="65" fillId="0" borderId="0"/>
    <xf numFmtId="0" fontId="4" fillId="0" borderId="0"/>
    <xf numFmtId="0" fontId="4" fillId="40" borderId="13" applyNumberFormat="0" applyFont="0" applyAlignment="0" applyProtection="0"/>
    <xf numFmtId="0" fontId="4" fillId="40" borderId="13" applyNumberFormat="0" applyFont="0" applyAlignment="0" applyProtection="0"/>
    <xf numFmtId="0" fontId="4" fillId="40" borderId="13" applyNumberFormat="0" applyFon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5" fillId="0" borderId="0"/>
    <xf numFmtId="0" fontId="46" fillId="0" borderId="0"/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4" fontId="55" fillId="41" borderId="0" applyNumberFormat="0" applyProtection="0">
      <alignment horizontal="left" vertical="center" indent="1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5" fillId="43" borderId="16" applyNumberFormat="0" applyProtection="0">
      <alignment horizontal="left" vertical="center" indent="1"/>
    </xf>
    <xf numFmtId="4" fontId="57" fillId="44" borderId="0" applyNumberFormat="0" applyProtection="0">
      <alignment horizontal="left" vertical="center" indent="1"/>
    </xf>
    <xf numFmtId="4" fontId="58" fillId="45" borderId="0" applyNumberFormat="0" applyProtection="0">
      <alignment horizontal="left" vertical="center" indent="1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4" borderId="0" applyNumberFormat="0" applyProtection="0">
      <alignment horizontal="left" vertical="center" indent="1"/>
    </xf>
    <xf numFmtId="4" fontId="57" fillId="41" borderId="0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6" borderId="17" applyNumberFormat="0">
      <protection locked="0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4" fontId="60" fillId="47" borderId="0" applyNumberFormat="0" applyProtection="0">
      <alignment horizontal="left" vertical="center" indent="1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3" fillId="0" borderId="17">
      <alignment horizontal="centerContinuous"/>
    </xf>
    <xf numFmtId="0" fontId="45" fillId="0" borderId="5"/>
    <xf numFmtId="0" fontId="45" fillId="0" borderId="5"/>
    <xf numFmtId="0" fontId="45" fillId="0" borderId="5"/>
    <xf numFmtId="0" fontId="63" fillId="48" borderId="0"/>
    <xf numFmtId="0" fontId="26" fillId="0" borderId="0" applyNumberFormat="0" applyFill="0" applyBorder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51" fillId="0" borderId="6"/>
    <xf numFmtId="0" fontId="51" fillId="0" borderId="5"/>
    <xf numFmtId="0" fontId="51" fillId="0" borderId="5"/>
    <xf numFmtId="0" fontId="51" fillId="0" borderId="5"/>
    <xf numFmtId="0" fontId="38" fillId="0" borderId="0" applyNumberForma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7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 applyFont="0" applyFill="0" applyBorder="0" applyAlignment="0" applyProtection="0"/>
    <xf numFmtId="0" fontId="75" fillId="0" borderId="0" applyFont="0" applyFill="0" applyBorder="0" applyAlignment="0" applyProtection="0"/>
    <xf numFmtId="174" fontId="4" fillId="0" borderId="0" applyFont="0" applyFill="0" applyBorder="0" applyAlignment="0" applyProtection="0"/>
    <xf numFmtId="40" fontId="75" fillId="0" borderId="0" applyFont="0" applyFill="0" applyBorder="0" applyAlignment="0" applyProtection="0"/>
    <xf numFmtId="38" fontId="75" fillId="0" borderId="0" applyFont="0" applyFill="0" applyBorder="0" applyAlignment="0" applyProtection="0"/>
    <xf numFmtId="175" fontId="76" fillId="0" borderId="0" applyFont="0" applyFill="0" applyBorder="0" applyAlignment="0" applyProtection="0"/>
    <xf numFmtId="0" fontId="77" fillId="0" borderId="0"/>
    <xf numFmtId="17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92" borderId="0"/>
    <xf numFmtId="0" fontId="17" fillId="93" borderId="0"/>
    <xf numFmtId="0" fontId="78" fillId="94" borderId="0"/>
    <xf numFmtId="0" fontId="79" fillId="95" borderId="0"/>
    <xf numFmtId="0" fontId="80" fillId="0" borderId="0"/>
    <xf numFmtId="0" fontId="81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8" fontId="4" fillId="0" borderId="0" applyFont="0" applyFill="0" applyBorder="0" applyAlignment="0" applyProtection="0"/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179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" fontId="4" fillId="96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4" fillId="0" borderId="0"/>
    <xf numFmtId="18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8" fillId="97" borderId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39" borderId="0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182" fontId="4" fillId="0" borderId="0" applyFont="0" applyFill="0" applyBorder="0" applyAlignment="0" applyProtection="0"/>
    <xf numFmtId="183" fontId="4" fillId="0" borderId="0" applyFont="0" applyFill="0" applyBorder="0" applyProtection="0">
      <alignment horizontal="right"/>
    </xf>
    <xf numFmtId="0" fontId="83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84" fontId="4" fillId="0" borderId="0">
      <alignment horizontal="left" wrapText="1"/>
    </xf>
    <xf numFmtId="184" fontId="4" fillId="0" borderId="0">
      <alignment horizontal="left" wrapText="1"/>
    </xf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4" fillId="0" borderId="0"/>
    <xf numFmtId="0" fontId="74" fillId="0" borderId="0" applyNumberFormat="0" applyFill="0" applyBorder="0" applyAlignment="0" applyProtection="0"/>
    <xf numFmtId="0" fontId="4" fillId="0" borderId="91" quotePrefix="1">
      <alignment vertical="top" indent="8"/>
      <protection locked="0"/>
    </xf>
    <xf numFmtId="0" fontId="4" fillId="0" borderId="91" quotePrefix="1">
      <alignment vertical="top" indent="8"/>
      <protection locked="0"/>
    </xf>
    <xf numFmtId="0" fontId="4" fillId="0" borderId="0" applyNumberFormat="0" applyFill="0" applyBorder="0" applyAlignment="0" applyProtection="0"/>
    <xf numFmtId="0" fontId="4" fillId="92" borderId="0"/>
    <xf numFmtId="0" fontId="17" fillId="93" borderId="0"/>
    <xf numFmtId="0" fontId="78" fillId="94" borderId="0"/>
    <xf numFmtId="0" fontId="79" fillId="95" borderId="0"/>
    <xf numFmtId="0" fontId="80" fillId="0" borderId="0"/>
    <xf numFmtId="0" fontId="8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85" fontId="46" fillId="0" borderId="0"/>
    <xf numFmtId="185" fontId="46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5" fillId="0" borderId="0" applyNumberFormat="0" applyFill="0" applyBorder="0" applyProtection="0">
      <alignment vertical="top"/>
    </xf>
    <xf numFmtId="0" fontId="85" fillId="0" borderId="0" applyNumberFormat="0" applyFill="0" applyBorder="0" applyProtection="0">
      <alignment vertical="top"/>
    </xf>
    <xf numFmtId="0" fontId="85" fillId="0" borderId="0" applyNumberFormat="0" applyFill="0" applyBorder="0" applyProtection="0">
      <alignment vertical="top"/>
    </xf>
    <xf numFmtId="0" fontId="85" fillId="0" borderId="0" applyNumberFormat="0" applyFill="0" applyBorder="0" applyProtection="0">
      <alignment vertical="top"/>
    </xf>
    <xf numFmtId="0" fontId="85" fillId="0" borderId="0" applyNumberFormat="0" applyFill="0" applyBorder="0" applyProtection="0">
      <alignment vertical="top"/>
    </xf>
    <xf numFmtId="0" fontId="85" fillId="0" borderId="0" applyNumberFormat="0" applyFill="0" applyBorder="0" applyProtection="0">
      <alignment vertical="top"/>
    </xf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6" fillId="0" borderId="92" applyNumberFormat="0" applyFill="0" applyAlignment="0" applyProtection="0"/>
    <xf numFmtId="0" fontId="87" fillId="0" borderId="93" applyNumberFormat="0" applyFill="0" applyProtection="0">
      <alignment horizontal="center"/>
    </xf>
    <xf numFmtId="0" fontId="87" fillId="0" borderId="0" applyNumberFormat="0" applyFill="0" applyBorder="0" applyProtection="0">
      <alignment horizontal="left"/>
    </xf>
    <xf numFmtId="0" fontId="88" fillId="0" borderId="0" applyNumberFormat="0" applyFill="0" applyBorder="0" applyProtection="0">
      <alignment horizontal="centerContinuous"/>
    </xf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186" fontId="90" fillId="0" borderId="0" applyFont="0" applyFill="0" applyBorder="0" applyAlignment="0" applyProtection="0"/>
    <xf numFmtId="0" fontId="89" fillId="0" borderId="0"/>
    <xf numFmtId="187" fontId="90" fillId="0" borderId="0" applyFont="0" applyFill="0" applyBorder="0" applyAlignment="0" applyProtection="0"/>
    <xf numFmtId="10" fontId="90" fillId="0" borderId="0" applyFont="0" applyFill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3" fillId="8" borderId="0" applyNumberFormat="0" applyBorder="0" applyAlignment="0" applyProtection="0"/>
    <xf numFmtId="0" fontId="91" fillId="68" borderId="0" applyNumberFormat="0" applyBorder="0" applyAlignment="0" applyProtection="0"/>
    <xf numFmtId="0" fontId="91" fillId="68" borderId="0" applyNumberFormat="0" applyBorder="0" applyAlignment="0" applyProtection="0"/>
    <xf numFmtId="0" fontId="91" fillId="68" borderId="0" applyNumberFormat="0" applyBorder="0" applyAlignment="0" applyProtection="0"/>
    <xf numFmtId="0" fontId="91" fillId="68" borderId="0" applyNumberFormat="0" applyBorder="0" applyAlignment="0" applyProtection="0"/>
    <xf numFmtId="0" fontId="91" fillId="68" borderId="0" applyNumberFormat="0" applyBorder="0" applyAlignment="0" applyProtection="0"/>
    <xf numFmtId="0" fontId="91" fillId="68" borderId="0" applyNumberFormat="0" applyBorder="0" applyAlignment="0" applyProtection="0"/>
    <xf numFmtId="0" fontId="91" fillId="68" borderId="0" applyNumberFormat="0" applyBorder="0" applyAlignment="0" applyProtection="0"/>
    <xf numFmtId="0" fontId="2" fillId="68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3" fillId="9" borderId="0" applyNumberFormat="0" applyBorder="0" applyAlignment="0" applyProtection="0"/>
    <xf numFmtId="0" fontId="91" fillId="72" borderId="0" applyNumberFormat="0" applyBorder="0" applyAlignment="0" applyProtection="0"/>
    <xf numFmtId="0" fontId="91" fillId="72" borderId="0" applyNumberFormat="0" applyBorder="0" applyAlignment="0" applyProtection="0"/>
    <xf numFmtId="0" fontId="91" fillId="72" borderId="0" applyNumberFormat="0" applyBorder="0" applyAlignment="0" applyProtection="0"/>
    <xf numFmtId="0" fontId="91" fillId="72" borderId="0" applyNumberFormat="0" applyBorder="0" applyAlignment="0" applyProtection="0"/>
    <xf numFmtId="0" fontId="91" fillId="72" borderId="0" applyNumberFormat="0" applyBorder="0" applyAlignment="0" applyProtection="0"/>
    <xf numFmtId="0" fontId="91" fillId="72" borderId="0" applyNumberFormat="0" applyBorder="0" applyAlignment="0" applyProtection="0"/>
    <xf numFmtId="0" fontId="91" fillId="72" borderId="0" applyNumberFormat="0" applyBorder="0" applyAlignment="0" applyProtection="0"/>
    <xf numFmtId="0" fontId="2" fillId="7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2" fillId="72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3" fillId="40" borderId="0" applyNumberFormat="0" applyBorder="0" applyAlignment="0" applyProtection="0"/>
    <xf numFmtId="0" fontId="91" fillId="76" borderId="0" applyNumberFormat="0" applyBorder="0" applyAlignment="0" applyProtection="0"/>
    <xf numFmtId="0" fontId="91" fillId="76" borderId="0" applyNumberFormat="0" applyBorder="0" applyAlignment="0" applyProtection="0"/>
    <xf numFmtId="0" fontId="91" fillId="76" borderId="0" applyNumberFormat="0" applyBorder="0" applyAlignment="0" applyProtection="0"/>
    <xf numFmtId="0" fontId="91" fillId="76" borderId="0" applyNumberFormat="0" applyBorder="0" applyAlignment="0" applyProtection="0"/>
    <xf numFmtId="0" fontId="91" fillId="76" borderId="0" applyNumberFormat="0" applyBorder="0" applyAlignment="0" applyProtection="0"/>
    <xf numFmtId="0" fontId="91" fillId="76" borderId="0" applyNumberFormat="0" applyBorder="0" applyAlignment="0" applyProtection="0"/>
    <xf numFmtId="0" fontId="91" fillId="76" borderId="0" applyNumberFormat="0" applyBorder="0" applyAlignment="0" applyProtection="0"/>
    <xf numFmtId="0" fontId="2" fillId="76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2" fillId="76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3" fillId="7" borderId="0" applyNumberFormat="0" applyBorder="0" applyAlignment="0" applyProtection="0"/>
    <xf numFmtId="0" fontId="91" fillId="80" borderId="0" applyNumberFormat="0" applyBorder="0" applyAlignment="0" applyProtection="0"/>
    <xf numFmtId="0" fontId="91" fillId="80" borderId="0" applyNumberFormat="0" applyBorder="0" applyAlignment="0" applyProtection="0"/>
    <xf numFmtId="0" fontId="91" fillId="80" borderId="0" applyNumberFormat="0" applyBorder="0" applyAlignment="0" applyProtection="0"/>
    <xf numFmtId="0" fontId="91" fillId="80" borderId="0" applyNumberFormat="0" applyBorder="0" applyAlignment="0" applyProtection="0"/>
    <xf numFmtId="0" fontId="91" fillId="80" borderId="0" applyNumberFormat="0" applyBorder="0" applyAlignment="0" applyProtection="0"/>
    <xf numFmtId="0" fontId="91" fillId="80" borderId="0" applyNumberFormat="0" applyBorder="0" applyAlignment="0" applyProtection="0"/>
    <xf numFmtId="0" fontId="91" fillId="80" borderId="0" applyNumberFormat="0" applyBorder="0" applyAlignment="0" applyProtection="0"/>
    <xf numFmtId="0" fontId="2" fillId="8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2" fillId="80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3" fillId="6" borderId="0" applyNumberFormat="0" applyBorder="0" applyAlignment="0" applyProtection="0"/>
    <xf numFmtId="0" fontId="91" fillId="84" borderId="0" applyNumberFormat="0" applyBorder="0" applyAlignment="0" applyProtection="0"/>
    <xf numFmtId="0" fontId="91" fillId="84" borderId="0" applyNumberFormat="0" applyBorder="0" applyAlignment="0" applyProtection="0"/>
    <xf numFmtId="0" fontId="91" fillId="84" borderId="0" applyNumberFormat="0" applyBorder="0" applyAlignment="0" applyProtection="0"/>
    <xf numFmtId="0" fontId="91" fillId="84" borderId="0" applyNumberFormat="0" applyBorder="0" applyAlignment="0" applyProtection="0"/>
    <xf numFmtId="0" fontId="91" fillId="84" borderId="0" applyNumberFormat="0" applyBorder="0" applyAlignment="0" applyProtection="0"/>
    <xf numFmtId="0" fontId="91" fillId="84" borderId="0" applyNumberFormat="0" applyBorder="0" applyAlignment="0" applyProtection="0"/>
    <xf numFmtId="0" fontId="91" fillId="84" borderId="0" applyNumberFormat="0" applyBorder="0" applyAlignment="0" applyProtection="0"/>
    <xf numFmtId="0" fontId="2" fillId="84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2" fillId="84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3" fillId="40" borderId="0" applyNumberFormat="0" applyBorder="0" applyAlignment="0" applyProtection="0"/>
    <xf numFmtId="0" fontId="91" fillId="88" borderId="0" applyNumberFormat="0" applyBorder="0" applyAlignment="0" applyProtection="0"/>
    <xf numFmtId="0" fontId="91" fillId="88" borderId="0" applyNumberFormat="0" applyBorder="0" applyAlignment="0" applyProtection="0"/>
    <xf numFmtId="0" fontId="91" fillId="88" borderId="0" applyNumberFormat="0" applyBorder="0" applyAlignment="0" applyProtection="0"/>
    <xf numFmtId="0" fontId="91" fillId="88" borderId="0" applyNumberFormat="0" applyBorder="0" applyAlignment="0" applyProtection="0"/>
    <xf numFmtId="0" fontId="91" fillId="88" borderId="0" applyNumberFormat="0" applyBorder="0" applyAlignment="0" applyProtection="0"/>
    <xf numFmtId="0" fontId="91" fillId="88" borderId="0" applyNumberFormat="0" applyBorder="0" applyAlignment="0" applyProtection="0"/>
    <xf numFmtId="0" fontId="91" fillId="88" borderId="0" applyNumberFormat="0" applyBorder="0" applyAlignment="0" applyProtection="0"/>
    <xf numFmtId="0" fontId="2" fillId="88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2" fillId="88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3" fillId="6" borderId="0" applyNumberFormat="0" applyBorder="0" applyAlignment="0" applyProtection="0"/>
    <xf numFmtId="0" fontId="91" fillId="69" borderId="0" applyNumberFormat="0" applyBorder="0" applyAlignment="0" applyProtection="0"/>
    <xf numFmtId="0" fontId="91" fillId="69" borderId="0" applyNumberFormat="0" applyBorder="0" applyAlignment="0" applyProtection="0"/>
    <xf numFmtId="0" fontId="91" fillId="69" borderId="0" applyNumberFormat="0" applyBorder="0" applyAlignment="0" applyProtection="0"/>
    <xf numFmtId="0" fontId="91" fillId="69" borderId="0" applyNumberFormat="0" applyBorder="0" applyAlignment="0" applyProtection="0"/>
    <xf numFmtId="0" fontId="91" fillId="69" borderId="0" applyNumberFormat="0" applyBorder="0" applyAlignment="0" applyProtection="0"/>
    <xf numFmtId="0" fontId="91" fillId="69" borderId="0" applyNumberFormat="0" applyBorder="0" applyAlignment="0" applyProtection="0"/>
    <xf numFmtId="0" fontId="91" fillId="69" borderId="0" applyNumberFormat="0" applyBorder="0" applyAlignment="0" applyProtection="0"/>
    <xf numFmtId="0" fontId="2" fillId="69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2" fillId="69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3" fillId="9" borderId="0" applyNumberFormat="0" applyBorder="0" applyAlignment="0" applyProtection="0"/>
    <xf numFmtId="0" fontId="91" fillId="73" borderId="0" applyNumberFormat="0" applyBorder="0" applyAlignment="0" applyProtection="0"/>
    <xf numFmtId="0" fontId="91" fillId="73" borderId="0" applyNumberFormat="0" applyBorder="0" applyAlignment="0" applyProtection="0"/>
    <xf numFmtId="0" fontId="91" fillId="73" borderId="0" applyNumberFormat="0" applyBorder="0" applyAlignment="0" applyProtection="0"/>
    <xf numFmtId="0" fontId="91" fillId="73" borderId="0" applyNumberFormat="0" applyBorder="0" applyAlignment="0" applyProtection="0"/>
    <xf numFmtId="0" fontId="91" fillId="73" borderId="0" applyNumberFormat="0" applyBorder="0" applyAlignment="0" applyProtection="0"/>
    <xf numFmtId="0" fontId="91" fillId="73" borderId="0" applyNumberFormat="0" applyBorder="0" applyAlignment="0" applyProtection="0"/>
    <xf numFmtId="0" fontId="91" fillId="73" borderId="0" applyNumberFormat="0" applyBorder="0" applyAlignment="0" applyProtection="0"/>
    <xf numFmtId="0" fontId="2" fillId="73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2" fillId="73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3" fillId="39" borderId="0" applyNumberFormat="0" applyBorder="0" applyAlignment="0" applyProtection="0"/>
    <xf numFmtId="0" fontId="91" fillId="77" borderId="0" applyNumberFormat="0" applyBorder="0" applyAlignment="0" applyProtection="0"/>
    <xf numFmtId="0" fontId="91" fillId="77" borderId="0" applyNumberFormat="0" applyBorder="0" applyAlignment="0" applyProtection="0"/>
    <xf numFmtId="0" fontId="91" fillId="77" borderId="0" applyNumberFormat="0" applyBorder="0" applyAlignment="0" applyProtection="0"/>
    <xf numFmtId="0" fontId="91" fillId="77" borderId="0" applyNumberFormat="0" applyBorder="0" applyAlignment="0" applyProtection="0"/>
    <xf numFmtId="0" fontId="91" fillId="77" borderId="0" applyNumberFormat="0" applyBorder="0" applyAlignment="0" applyProtection="0"/>
    <xf numFmtId="0" fontId="91" fillId="77" borderId="0" applyNumberFormat="0" applyBorder="0" applyAlignment="0" applyProtection="0"/>
    <xf numFmtId="0" fontId="91" fillId="77" borderId="0" applyNumberFormat="0" applyBorder="0" applyAlignment="0" applyProtection="0"/>
    <xf numFmtId="0" fontId="2" fillId="77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2" fillId="77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3" fillId="3" borderId="0" applyNumberFormat="0" applyBorder="0" applyAlignment="0" applyProtection="0"/>
    <xf numFmtId="0" fontId="91" fillId="81" borderId="0" applyNumberFormat="0" applyBorder="0" applyAlignment="0" applyProtection="0"/>
    <xf numFmtId="0" fontId="91" fillId="81" borderId="0" applyNumberFormat="0" applyBorder="0" applyAlignment="0" applyProtection="0"/>
    <xf numFmtId="0" fontId="91" fillId="81" borderId="0" applyNumberFormat="0" applyBorder="0" applyAlignment="0" applyProtection="0"/>
    <xf numFmtId="0" fontId="91" fillId="81" borderId="0" applyNumberFormat="0" applyBorder="0" applyAlignment="0" applyProtection="0"/>
    <xf numFmtId="0" fontId="91" fillId="81" borderId="0" applyNumberFormat="0" applyBorder="0" applyAlignment="0" applyProtection="0"/>
    <xf numFmtId="0" fontId="91" fillId="81" borderId="0" applyNumberFormat="0" applyBorder="0" applyAlignment="0" applyProtection="0"/>
    <xf numFmtId="0" fontId="91" fillId="81" borderId="0" applyNumberFormat="0" applyBorder="0" applyAlignment="0" applyProtection="0"/>
    <xf numFmtId="0" fontId="2" fillId="81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2" fillId="81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3" fillId="6" borderId="0" applyNumberFormat="0" applyBorder="0" applyAlignment="0" applyProtection="0"/>
    <xf numFmtId="0" fontId="91" fillId="85" borderId="0" applyNumberFormat="0" applyBorder="0" applyAlignment="0" applyProtection="0"/>
    <xf numFmtId="0" fontId="91" fillId="85" borderId="0" applyNumberFormat="0" applyBorder="0" applyAlignment="0" applyProtection="0"/>
    <xf numFmtId="0" fontId="91" fillId="85" borderId="0" applyNumberFormat="0" applyBorder="0" applyAlignment="0" applyProtection="0"/>
    <xf numFmtId="0" fontId="91" fillId="85" borderId="0" applyNumberFormat="0" applyBorder="0" applyAlignment="0" applyProtection="0"/>
    <xf numFmtId="0" fontId="91" fillId="85" borderId="0" applyNumberFormat="0" applyBorder="0" applyAlignment="0" applyProtection="0"/>
    <xf numFmtId="0" fontId="91" fillId="85" borderId="0" applyNumberFormat="0" applyBorder="0" applyAlignment="0" applyProtection="0"/>
    <xf numFmtId="0" fontId="91" fillId="85" borderId="0" applyNumberFormat="0" applyBorder="0" applyAlignment="0" applyProtection="0"/>
    <xf numFmtId="0" fontId="2" fillId="8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2" fillId="85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3" fillId="40" borderId="0" applyNumberFormat="0" applyBorder="0" applyAlignment="0" applyProtection="0"/>
    <xf numFmtId="0" fontId="91" fillId="89" borderId="0" applyNumberFormat="0" applyBorder="0" applyAlignment="0" applyProtection="0"/>
    <xf numFmtId="0" fontId="91" fillId="89" borderId="0" applyNumberFormat="0" applyBorder="0" applyAlignment="0" applyProtection="0"/>
    <xf numFmtId="0" fontId="91" fillId="89" borderId="0" applyNumberFormat="0" applyBorder="0" applyAlignment="0" applyProtection="0"/>
    <xf numFmtId="0" fontId="91" fillId="89" borderId="0" applyNumberFormat="0" applyBorder="0" applyAlignment="0" applyProtection="0"/>
    <xf numFmtId="0" fontId="91" fillId="89" borderId="0" applyNumberFormat="0" applyBorder="0" applyAlignment="0" applyProtection="0"/>
    <xf numFmtId="0" fontId="91" fillId="89" borderId="0" applyNumberFormat="0" applyBorder="0" applyAlignment="0" applyProtection="0"/>
    <xf numFmtId="0" fontId="91" fillId="89" borderId="0" applyNumberFormat="0" applyBorder="0" applyAlignment="0" applyProtection="0"/>
    <xf numFmtId="0" fontId="2" fillId="8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2" fillId="89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12" borderId="0" applyNumberFormat="0" applyBorder="0" applyAlignment="0" applyProtection="0"/>
    <xf numFmtId="0" fontId="41" fillId="12" borderId="0" applyNumberFormat="0" applyBorder="0" applyAlignment="0" applyProtection="0"/>
    <xf numFmtId="0" fontId="92" fillId="70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12" borderId="0" applyNumberFormat="0" applyBorder="0" applyAlignment="0" applyProtection="0"/>
    <xf numFmtId="0" fontId="41" fillId="12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92" fillId="74" borderId="0" applyNumberFormat="0" applyBorder="0" applyAlignment="0" applyProtection="0"/>
    <xf numFmtId="0" fontId="41" fillId="28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92" fillId="78" borderId="0" applyNumberFormat="0" applyBorder="0" applyAlignment="0" applyProtection="0"/>
    <xf numFmtId="0" fontId="41" fillId="11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13" borderId="0" applyNumberFormat="0" applyBorder="0" applyAlignment="0" applyProtection="0"/>
    <xf numFmtId="0" fontId="41" fillId="13" borderId="0" applyNumberFormat="0" applyBorder="0" applyAlignment="0" applyProtection="0"/>
    <xf numFmtId="0" fontId="41" fillId="13" borderId="0" applyNumberFormat="0" applyBorder="0" applyAlignment="0" applyProtection="0"/>
    <xf numFmtId="0" fontId="92" fillId="82" borderId="0" applyNumberFormat="0" applyBorder="0" applyAlignment="0" applyProtection="0"/>
    <xf numFmtId="0" fontId="41" fillId="3" borderId="0" applyNumberFormat="0" applyBorder="0" applyAlignment="0" applyProtection="0"/>
    <xf numFmtId="0" fontId="41" fillId="13" borderId="0" applyNumberFormat="0" applyBorder="0" applyAlignment="0" applyProtection="0"/>
    <xf numFmtId="0" fontId="41" fillId="13" borderId="0" applyNumberFormat="0" applyBorder="0" applyAlignment="0" applyProtection="0"/>
    <xf numFmtId="0" fontId="41" fillId="1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92" fillId="86" borderId="0" applyNumberFormat="0" applyBorder="0" applyAlignment="0" applyProtection="0"/>
    <xf numFmtId="0" fontId="41" fillId="6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6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92" fillId="90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9" fontId="93" fillId="0" borderId="0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94" fillId="51" borderId="17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92" fillId="67" borderId="0" applyNumberFormat="0" applyBorder="0" applyAlignment="0" applyProtection="0"/>
    <xf numFmtId="0" fontId="92" fillId="67" borderId="0" applyNumberFormat="0" applyBorder="0" applyAlignment="0" applyProtection="0"/>
    <xf numFmtId="0" fontId="92" fillId="67" borderId="0" applyNumberFormat="0" applyBorder="0" applyAlignment="0" applyProtection="0"/>
    <xf numFmtId="0" fontId="92" fillId="67" borderId="0" applyNumberFormat="0" applyBorder="0" applyAlignment="0" applyProtection="0"/>
    <xf numFmtId="0" fontId="92" fillId="67" borderId="0" applyNumberFormat="0" applyBorder="0" applyAlignment="0" applyProtection="0"/>
    <xf numFmtId="0" fontId="92" fillId="67" borderId="0" applyNumberFormat="0" applyBorder="0" applyAlignment="0" applyProtection="0"/>
    <xf numFmtId="0" fontId="92" fillId="67" borderId="0" applyNumberFormat="0" applyBorder="0" applyAlignment="0" applyProtection="0"/>
    <xf numFmtId="0" fontId="41" fillId="9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9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92" fillId="71" borderId="0" applyNumberFormat="0" applyBorder="0" applyAlignment="0" applyProtection="0"/>
    <xf numFmtId="0" fontId="92" fillId="71" borderId="0" applyNumberFormat="0" applyBorder="0" applyAlignment="0" applyProtection="0"/>
    <xf numFmtId="0" fontId="92" fillId="71" borderId="0" applyNumberFormat="0" applyBorder="0" applyAlignment="0" applyProtection="0"/>
    <xf numFmtId="0" fontId="92" fillId="71" borderId="0" applyNumberFormat="0" applyBorder="0" applyAlignment="0" applyProtection="0"/>
    <xf numFmtId="0" fontId="92" fillId="71" borderId="0" applyNumberFormat="0" applyBorder="0" applyAlignment="0" applyProtection="0"/>
    <xf numFmtId="0" fontId="92" fillId="71" borderId="0" applyNumberFormat="0" applyBorder="0" applyAlignment="0" applyProtection="0"/>
    <xf numFmtId="0" fontId="92" fillId="71" borderId="0" applyNumberFormat="0" applyBorder="0" applyAlignment="0" applyProtection="0"/>
    <xf numFmtId="0" fontId="41" fillId="2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92" fillId="75" borderId="0" applyNumberFormat="0" applyBorder="0" applyAlignment="0" applyProtection="0"/>
    <xf numFmtId="0" fontId="92" fillId="75" borderId="0" applyNumberFormat="0" applyBorder="0" applyAlignment="0" applyProtection="0"/>
    <xf numFmtId="0" fontId="92" fillId="75" borderId="0" applyNumberFormat="0" applyBorder="0" applyAlignment="0" applyProtection="0"/>
    <xf numFmtId="0" fontId="92" fillId="75" borderId="0" applyNumberFormat="0" applyBorder="0" applyAlignment="0" applyProtection="0"/>
    <xf numFmtId="0" fontId="92" fillId="75" borderId="0" applyNumberFormat="0" applyBorder="0" applyAlignment="0" applyProtection="0"/>
    <xf numFmtId="0" fontId="92" fillId="75" borderId="0" applyNumberFormat="0" applyBorder="0" applyAlignment="0" applyProtection="0"/>
    <xf numFmtId="0" fontId="92" fillId="75" borderId="0" applyNumberFormat="0" applyBorder="0" applyAlignment="0" applyProtection="0"/>
    <xf numFmtId="0" fontId="41" fillId="11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13" borderId="0" applyNumberFormat="0" applyBorder="0" applyAlignment="0" applyProtection="0"/>
    <xf numFmtId="0" fontId="41" fillId="13" borderId="0" applyNumberFormat="0" applyBorder="0" applyAlignment="0" applyProtection="0"/>
    <xf numFmtId="0" fontId="41" fillId="13" borderId="0" applyNumberFormat="0" applyBorder="0" applyAlignment="0" applyProtection="0"/>
    <xf numFmtId="0" fontId="92" fillId="79" borderId="0" applyNumberFormat="0" applyBorder="0" applyAlignment="0" applyProtection="0"/>
    <xf numFmtId="0" fontId="92" fillId="79" borderId="0" applyNumberFormat="0" applyBorder="0" applyAlignment="0" applyProtection="0"/>
    <xf numFmtId="0" fontId="92" fillId="79" borderId="0" applyNumberFormat="0" applyBorder="0" applyAlignment="0" applyProtection="0"/>
    <xf numFmtId="0" fontId="92" fillId="79" borderId="0" applyNumberFormat="0" applyBorder="0" applyAlignment="0" applyProtection="0"/>
    <xf numFmtId="0" fontId="92" fillId="79" borderId="0" applyNumberFormat="0" applyBorder="0" applyAlignment="0" applyProtection="0"/>
    <xf numFmtId="0" fontId="92" fillId="79" borderId="0" applyNumberFormat="0" applyBorder="0" applyAlignment="0" applyProtection="0"/>
    <xf numFmtId="0" fontId="92" fillId="79" borderId="0" applyNumberFormat="0" applyBorder="0" applyAlignment="0" applyProtection="0"/>
    <xf numFmtId="0" fontId="41" fillId="45" borderId="0" applyNumberFormat="0" applyBorder="0" applyAlignment="0" applyProtection="0"/>
    <xf numFmtId="0" fontId="41" fillId="13" borderId="0" applyNumberFormat="0" applyBorder="0" applyAlignment="0" applyProtection="0"/>
    <xf numFmtId="0" fontId="41" fillId="13" borderId="0" applyNumberFormat="0" applyBorder="0" applyAlignment="0" applyProtection="0"/>
    <xf numFmtId="0" fontId="41" fillId="13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45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92" fillId="83" borderId="0" applyNumberFormat="0" applyBorder="0" applyAlignment="0" applyProtection="0"/>
    <xf numFmtId="0" fontId="92" fillId="83" borderId="0" applyNumberFormat="0" applyBorder="0" applyAlignment="0" applyProtection="0"/>
    <xf numFmtId="0" fontId="92" fillId="83" borderId="0" applyNumberFormat="0" applyBorder="0" applyAlignment="0" applyProtection="0"/>
    <xf numFmtId="0" fontId="92" fillId="83" borderId="0" applyNumberFormat="0" applyBorder="0" applyAlignment="0" applyProtection="0"/>
    <xf numFmtId="0" fontId="92" fillId="83" borderId="0" applyNumberFormat="0" applyBorder="0" applyAlignment="0" applyProtection="0"/>
    <xf numFmtId="0" fontId="92" fillId="83" borderId="0" applyNumberFormat="0" applyBorder="0" applyAlignment="0" applyProtection="0"/>
    <xf numFmtId="0" fontId="92" fillId="83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1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92" fillId="87" borderId="0" applyNumberFormat="0" applyBorder="0" applyAlignment="0" applyProtection="0"/>
    <xf numFmtId="0" fontId="92" fillId="87" borderId="0" applyNumberFormat="0" applyBorder="0" applyAlignment="0" applyProtection="0"/>
    <xf numFmtId="0" fontId="92" fillId="87" borderId="0" applyNumberFormat="0" applyBorder="0" applyAlignment="0" applyProtection="0"/>
    <xf numFmtId="0" fontId="92" fillId="87" borderId="0" applyNumberFormat="0" applyBorder="0" applyAlignment="0" applyProtection="0"/>
    <xf numFmtId="0" fontId="92" fillId="87" borderId="0" applyNumberFormat="0" applyBorder="0" applyAlignment="0" applyProtection="0"/>
    <xf numFmtId="0" fontId="92" fillId="87" borderId="0" applyNumberFormat="0" applyBorder="0" applyAlignment="0" applyProtection="0"/>
    <xf numFmtId="0" fontId="92" fillId="87" borderId="0" applyNumberFormat="0" applyBorder="0" applyAlignment="0" applyProtection="0"/>
    <xf numFmtId="0" fontId="41" fillId="20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7" fillId="0" borderId="0" applyNumberFormat="0" applyAlignment="0"/>
    <xf numFmtId="188" fontId="4" fillId="0" borderId="0" applyFont="0" applyFill="0" applyBorder="0" applyAlignment="0" applyProtection="0"/>
    <xf numFmtId="0" fontId="95" fillId="0" borderId="0" applyFont="0" applyFill="0" applyBorder="0" applyAlignment="0" applyProtection="0"/>
    <xf numFmtId="189" fontId="9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89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90" fontId="4" fillId="0" borderId="0" applyFont="0" applyFill="0" applyBorder="0" applyAlignment="0" applyProtection="0"/>
    <xf numFmtId="0" fontId="95" fillId="0" borderId="0" applyFont="0" applyFill="0" applyBorder="0" applyAlignment="0" applyProtection="0"/>
    <xf numFmtId="191" fontId="9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3" borderId="0" applyNumberFormat="0" applyBorder="0" applyAlignment="0" applyProtection="0"/>
    <xf numFmtId="0" fontId="31" fillId="3" borderId="0" applyNumberFormat="0" applyBorder="0" applyAlignment="0" applyProtection="0"/>
    <xf numFmtId="0" fontId="31" fillId="3" borderId="0" applyNumberFormat="0" applyBorder="0" applyAlignment="0" applyProtection="0"/>
    <xf numFmtId="0" fontId="96" fillId="61" borderId="0" applyNumberFormat="0" applyBorder="0" applyAlignment="0" applyProtection="0"/>
    <xf numFmtId="0" fontId="31" fillId="5" borderId="0" applyNumberFormat="0" applyBorder="0" applyAlignment="0" applyProtection="0"/>
    <xf numFmtId="0" fontId="31" fillId="3" borderId="0" applyNumberFormat="0" applyBorder="0" applyAlignment="0" applyProtection="0"/>
    <xf numFmtId="0" fontId="31" fillId="3" borderId="0" applyNumberFormat="0" applyBorder="0" applyAlignment="0" applyProtection="0"/>
    <xf numFmtId="0" fontId="31" fillId="3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31" fillId="5" borderId="0" applyNumberFormat="0" applyBorder="0" applyAlignment="0" applyProtection="0"/>
    <xf numFmtId="0" fontId="97" fillId="0" borderId="0"/>
    <xf numFmtId="192" fontId="42" fillId="0" borderId="0"/>
    <xf numFmtId="192" fontId="42" fillId="0" borderId="0"/>
    <xf numFmtId="192" fontId="42" fillId="0" borderId="0"/>
    <xf numFmtId="192" fontId="42" fillId="0" borderId="0"/>
    <xf numFmtId="192" fontId="42" fillId="0" borderId="0"/>
    <xf numFmtId="192" fontId="42" fillId="0" borderId="0"/>
    <xf numFmtId="192" fontId="42" fillId="0" borderId="0"/>
    <xf numFmtId="192" fontId="42" fillId="0" borderId="0"/>
    <xf numFmtId="193" fontId="98" fillId="0" borderId="0"/>
    <xf numFmtId="194" fontId="99" fillId="0" borderId="0" applyFont="0" applyFill="0" applyBorder="0" applyAlignment="0" applyProtection="0"/>
    <xf numFmtId="0" fontId="95" fillId="0" borderId="0"/>
    <xf numFmtId="0" fontId="100" fillId="0" borderId="0"/>
    <xf numFmtId="0" fontId="4" fillId="0" borderId="0" applyFill="0" applyBorder="0" applyAlignment="0"/>
    <xf numFmtId="192" fontId="101" fillId="0" borderId="0" applyFill="0" applyBorder="0" applyAlignment="0"/>
    <xf numFmtId="195" fontId="101" fillId="0" borderId="0" applyFill="0" applyBorder="0" applyAlignment="0"/>
    <xf numFmtId="0" fontId="4" fillId="0" borderId="0" applyFill="0" applyBorder="0" applyAlignment="0"/>
    <xf numFmtId="196" fontId="4" fillId="0" borderId="0" applyFill="0" applyBorder="0" applyAlignment="0"/>
    <xf numFmtId="0" fontId="4" fillId="0" borderId="0" applyFill="0" applyBorder="0" applyAlignment="0"/>
    <xf numFmtId="197" fontId="4" fillId="0" borderId="0" applyFill="0" applyBorder="0" applyAlignment="0"/>
    <xf numFmtId="192" fontId="101" fillId="0" borderId="0" applyFill="0" applyBorder="0" applyAlignment="0"/>
    <xf numFmtId="0" fontId="102" fillId="46" borderId="3" applyNumberFormat="0" applyAlignment="0" applyProtection="0"/>
    <xf numFmtId="0" fontId="102" fillId="46" borderId="3" applyNumberFormat="0" applyAlignment="0" applyProtection="0"/>
    <xf numFmtId="0" fontId="102" fillId="46" borderId="3" applyNumberFormat="0" applyAlignment="0" applyProtection="0"/>
    <xf numFmtId="0" fontId="102" fillId="46" borderId="3" applyNumberFormat="0" applyAlignment="0" applyProtection="0"/>
    <xf numFmtId="0" fontId="102" fillId="46" borderId="3" applyNumberFormat="0" applyAlignment="0" applyProtection="0"/>
    <xf numFmtId="0" fontId="102" fillId="46" borderId="3" applyNumberFormat="0" applyAlignment="0" applyProtection="0"/>
    <xf numFmtId="0" fontId="102" fillId="46" borderId="3" applyNumberFormat="0" applyAlignment="0" applyProtection="0"/>
    <xf numFmtId="0" fontId="102" fillId="46" borderId="3" applyNumberFormat="0" applyAlignment="0" applyProtection="0"/>
    <xf numFmtId="0" fontId="102" fillId="46" borderId="3" applyNumberFormat="0" applyAlignment="0" applyProtection="0"/>
    <xf numFmtId="0" fontId="102" fillId="46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103" fillId="64" borderId="84" applyNumberFormat="0" applyAlignment="0" applyProtection="0"/>
    <xf numFmtId="0" fontId="102" fillId="46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35" fillId="31" borderId="3" applyNumberFormat="0" applyAlignment="0" applyProtection="0"/>
    <xf numFmtId="0" fontId="102" fillId="46" borderId="3" applyNumberFormat="0" applyAlignment="0" applyProtection="0"/>
    <xf numFmtId="0" fontId="102" fillId="46" borderId="3" applyNumberFormat="0" applyAlignment="0" applyProtection="0"/>
    <xf numFmtId="0" fontId="102" fillId="46" borderId="3" applyNumberFormat="0" applyAlignment="0" applyProtection="0"/>
    <xf numFmtId="0" fontId="102" fillId="46" borderId="3" applyNumberFormat="0" applyAlignment="0" applyProtection="0"/>
    <xf numFmtId="0" fontId="102" fillId="46" borderId="3" applyNumberFormat="0" applyAlignment="0" applyProtection="0"/>
    <xf numFmtId="0" fontId="102" fillId="46" borderId="3" applyNumberFormat="0" applyAlignment="0" applyProtection="0"/>
    <xf numFmtId="0" fontId="98" fillId="99" borderId="0" applyNumberFormat="0" applyFont="0" applyBorder="0" applyAlignment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104" fillId="65" borderId="87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37" fillId="32" borderId="4" applyNumberFormat="0" applyAlignment="0" applyProtection="0"/>
    <xf numFmtId="0" fontId="105" fillId="0" borderId="62" applyNumberFormat="0" applyFill="0" applyProtection="0">
      <alignment horizontal="center"/>
    </xf>
    <xf numFmtId="198" fontId="46" fillId="0" borderId="0"/>
    <xf numFmtId="199" fontId="4" fillId="0" borderId="0"/>
    <xf numFmtId="199" fontId="4" fillId="0" borderId="0"/>
    <xf numFmtId="198" fontId="46" fillId="0" borderId="0"/>
    <xf numFmtId="199" fontId="4" fillId="0" borderId="0"/>
    <xf numFmtId="199" fontId="4" fillId="0" borderId="0"/>
    <xf numFmtId="198" fontId="46" fillId="0" borderId="0"/>
    <xf numFmtId="199" fontId="4" fillId="0" borderId="0"/>
    <xf numFmtId="199" fontId="4" fillId="0" borderId="0"/>
    <xf numFmtId="198" fontId="46" fillId="0" borderId="0"/>
    <xf numFmtId="199" fontId="4" fillId="0" borderId="0"/>
    <xf numFmtId="199" fontId="4" fillId="0" borderId="0"/>
    <xf numFmtId="198" fontId="46" fillId="0" borderId="0"/>
    <xf numFmtId="199" fontId="4" fillId="0" borderId="0"/>
    <xf numFmtId="199" fontId="4" fillId="0" borderId="0"/>
    <xf numFmtId="198" fontId="46" fillId="0" borderId="0"/>
    <xf numFmtId="199" fontId="4" fillId="0" borderId="0"/>
    <xf numFmtId="199" fontId="4" fillId="0" borderId="0"/>
    <xf numFmtId="198" fontId="46" fillId="0" borderId="0"/>
    <xf numFmtId="199" fontId="4" fillId="0" borderId="0"/>
    <xf numFmtId="199" fontId="4" fillId="0" borderId="0"/>
    <xf numFmtId="198" fontId="46" fillId="0" borderId="0"/>
    <xf numFmtId="199" fontId="4" fillId="0" borderId="0"/>
    <xf numFmtId="199" fontId="4" fillId="0" borderId="0"/>
    <xf numFmtId="41" fontId="2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00" fontId="99" fillId="0" borderId="0" applyFont="0" applyFill="0" applyBorder="0" applyAlignment="0" applyProtection="0">
      <alignment horizontal="right"/>
    </xf>
    <xf numFmtId="0" fontId="99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1" fontId="89" fillId="0" borderId="0" applyFont="0" applyFill="0" applyBorder="0" applyAlignment="0" applyProtection="0"/>
    <xf numFmtId="201" fontId="89" fillId="0" borderId="0" applyFont="0" applyFill="0" applyBorder="0" applyAlignment="0" applyProtection="0"/>
    <xf numFmtId="175" fontId="3" fillId="0" borderId="0" applyFont="0" applyFill="0" applyBorder="0" applyAlignment="0" applyProtection="0"/>
    <xf numFmtId="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3" fillId="0" borderId="0" applyFont="0" applyFill="0" applyBorder="0" applyAlignment="0" applyProtection="0"/>
    <xf numFmtId="201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01" fontId="3" fillId="0" borderId="0" applyFont="0" applyFill="0" applyBorder="0" applyAlignment="0" applyProtection="0"/>
    <xf numFmtId="20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1" fontId="3" fillId="0" borderId="0" applyFont="0" applyFill="0" applyBorder="0" applyAlignment="0" applyProtection="0"/>
    <xf numFmtId="187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Alignment="0" applyProtection="0"/>
    <xf numFmtId="43" fontId="3" fillId="0" borderId="0" applyFont="0" applyFill="0" applyBorder="0" applyAlignment="0" applyProtection="0"/>
    <xf numFmtId="43" fontId="4" fillId="0" borderId="0" applyFont="0" applyFill="0" applyAlignment="0" applyProtection="0"/>
    <xf numFmtId="43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5" fontId="3" fillId="0" borderId="0" applyFont="0" applyFill="0" applyBorder="0" applyAlignment="0" applyProtection="0"/>
    <xf numFmtId="201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20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20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1" fontId="89" fillId="0" borderId="0" applyFont="0" applyFill="0" applyBorder="0" applyAlignment="0" applyProtection="0"/>
    <xf numFmtId="5" fontId="3" fillId="0" borderId="0" applyFont="0" applyFill="0" applyBorder="0" applyAlignment="0" applyProtection="0"/>
    <xf numFmtId="201" fontId="89" fillId="0" borderId="0" applyFont="0" applyFill="0" applyBorder="0" applyAlignment="0" applyProtection="0"/>
    <xf numFmtId="43" fontId="4" fillId="0" borderId="0" applyFont="0" applyFill="0" applyAlignment="0" applyProtection="0"/>
    <xf numFmtId="43" fontId="4" fillId="0" borderId="0" applyFont="0" applyFill="0" applyAlignment="0" applyProtection="0"/>
    <xf numFmtId="201" fontId="3" fillId="0" borderId="0" applyFont="0" applyFill="0" applyBorder="0" applyAlignment="0" applyProtection="0"/>
    <xf numFmtId="20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1" fontId="89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06" fillId="0" borderId="0" applyFont="0" applyFill="0" applyBorder="0" applyAlignment="0" applyProtection="0"/>
    <xf numFmtId="20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20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201" fontId="89" fillId="0" borderId="0" applyFont="0" applyFill="0" applyBorder="0" applyAlignment="0" applyProtection="0"/>
    <xf numFmtId="201" fontId="3" fillId="0" borderId="0" applyFont="0" applyFill="0" applyBorder="0" applyAlignment="0" applyProtection="0"/>
    <xf numFmtId="20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20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203" fontId="98" fillId="0" borderId="0"/>
    <xf numFmtId="39" fontId="46" fillId="0" borderId="0" applyNumberFormat="0"/>
    <xf numFmtId="37" fontId="90" fillId="0" borderId="0" applyFont="0" applyFill="0" applyBorder="0" applyAlignment="0" applyProtection="0"/>
    <xf numFmtId="204" fontId="90" fillId="0" borderId="0" applyFont="0" applyFill="0" applyBorder="0" applyAlignment="0" applyProtection="0"/>
    <xf numFmtId="39" fontId="90" fillId="0" borderId="0" applyFont="0" applyFill="0" applyBorder="0" applyAlignment="0" applyProtection="0"/>
    <xf numFmtId="37" fontId="4" fillId="0" borderId="0" applyFill="0" applyBorder="0" applyAlignment="0" applyProtection="0"/>
    <xf numFmtId="0" fontId="107" fillId="0" borderId="0"/>
    <xf numFmtId="0" fontId="108" fillId="0" borderId="0"/>
    <xf numFmtId="0" fontId="107" fillId="0" borderId="0"/>
    <xf numFmtId="0" fontId="108" fillId="0" borderId="0"/>
    <xf numFmtId="0" fontId="109" fillId="0" borderId="0" applyNumberFormat="0" applyAlignment="0">
      <alignment horizontal="left"/>
    </xf>
    <xf numFmtId="205" fontId="98" fillId="0" borderId="0" applyFill="0" applyBorder="0" applyProtection="0"/>
    <xf numFmtId="205" fontId="98" fillId="0" borderId="1" applyFill="0" applyProtection="0"/>
    <xf numFmtId="205" fontId="98" fillId="0" borderId="1" applyFill="0" applyProtection="0"/>
    <xf numFmtId="205" fontId="98" fillId="0" borderId="94" applyFill="0" applyProtection="0"/>
    <xf numFmtId="192" fontId="101" fillId="0" borderId="0" applyFont="0" applyFill="0" applyBorder="0" applyAlignment="0" applyProtection="0"/>
    <xf numFmtId="206" fontId="99" fillId="0" borderId="0" applyFont="0" applyFill="0" applyBorder="0" applyAlignment="0" applyProtection="0">
      <alignment horizontal="right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8" fontId="110" fillId="0" borderId="0" applyFont="0" applyFill="0" applyBorder="0" applyAlignment="0" applyProtection="0">
      <alignment horizontal="centerContinuous"/>
    </xf>
    <xf numFmtId="209" fontId="111" fillId="0" borderId="17" applyFont="0" applyFill="0" applyBorder="0" applyAlignment="0" applyProtection="0"/>
    <xf numFmtId="5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210" fontId="4" fillId="0" borderId="0" applyFont="0" applyFill="0" applyBorder="0" applyAlignment="0" applyProtection="0"/>
    <xf numFmtId="211" fontId="98" fillId="0" borderId="0"/>
    <xf numFmtId="212" fontId="4" fillId="0" borderId="0"/>
    <xf numFmtId="0" fontId="45" fillId="0" borderId="0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213" fontId="4" fillId="0" borderId="0">
      <protection locked="0"/>
    </xf>
    <xf numFmtId="214" fontId="99" fillId="0" borderId="0" applyFont="0" applyFill="0" applyBorder="0" applyAlignment="0" applyProtection="0"/>
    <xf numFmtId="14" fontId="57" fillId="0" borderId="0" applyFill="0" applyBorder="0" applyAlignment="0"/>
    <xf numFmtId="14" fontId="112" fillId="0" borderId="0" applyFill="0" applyBorder="0" applyProtection="0">
      <alignment horizontal="right"/>
    </xf>
    <xf numFmtId="0" fontId="113" fillId="0" borderId="95" applyNumberFormat="0" applyFill="0" applyBorder="0"/>
    <xf numFmtId="215" fontId="98" fillId="0" borderId="0" applyFill="0" applyBorder="0" applyProtection="0"/>
    <xf numFmtId="215" fontId="98" fillId="0" borderId="1" applyFill="0" applyProtection="0"/>
    <xf numFmtId="215" fontId="98" fillId="0" borderId="1" applyFill="0" applyProtection="0"/>
    <xf numFmtId="215" fontId="98" fillId="0" borderId="94" applyFill="0" applyProtection="0"/>
    <xf numFmtId="38" fontId="43" fillId="0" borderId="96">
      <alignment vertical="center"/>
    </xf>
    <xf numFmtId="38" fontId="43" fillId="0" borderId="0" applyFont="0" applyFill="0" applyBorder="0" applyAlignment="0" applyProtection="0"/>
    <xf numFmtId="40" fontId="43" fillId="0" borderId="0" applyFont="0" applyFill="0" applyBorder="0" applyAlignment="0" applyProtection="0"/>
    <xf numFmtId="0" fontId="114" fillId="0" borderId="0">
      <protection locked="0"/>
    </xf>
    <xf numFmtId="216" fontId="98" fillId="0" borderId="0"/>
    <xf numFmtId="217" fontId="99" fillId="0" borderId="97" applyNumberFormat="0" applyFont="0" applyFill="0" applyAlignment="0" applyProtection="0"/>
    <xf numFmtId="42" fontId="115" fillId="0" borderId="0" applyFill="0" applyBorder="0" applyAlignment="0" applyProtection="0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0" fontId="46" fillId="0" borderId="5"/>
    <xf numFmtId="218" fontId="116" fillId="0" borderId="0">
      <protection locked="0"/>
    </xf>
    <xf numFmtId="218" fontId="116" fillId="0" borderId="0">
      <protection locked="0"/>
    </xf>
    <xf numFmtId="0" fontId="4" fillId="0" borderId="0" applyFill="0" applyBorder="0" applyAlignment="0"/>
    <xf numFmtId="192" fontId="101" fillId="0" borderId="0" applyFill="0" applyBorder="0" applyAlignment="0"/>
    <xf numFmtId="0" fontId="4" fillId="0" borderId="0" applyFill="0" applyBorder="0" applyAlignment="0"/>
    <xf numFmtId="197" fontId="4" fillId="0" borderId="0" applyFill="0" applyBorder="0" applyAlignment="0"/>
    <xf numFmtId="192" fontId="101" fillId="0" borderId="0" applyFill="0" applyBorder="0" applyAlignment="0"/>
    <xf numFmtId="0" fontId="117" fillId="0" borderId="0" applyNumberFormat="0" applyAlignment="0">
      <alignment horizontal="left"/>
    </xf>
    <xf numFmtId="219" fontId="4" fillId="0" borderId="0" applyFont="0" applyFill="0" applyBorder="0" applyAlignment="0" applyProtection="0"/>
    <xf numFmtId="220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20" fontId="4" fillId="0" borderId="0" applyFont="0" applyFill="0" applyBorder="0" applyAlignment="0" applyProtection="0"/>
    <xf numFmtId="0" fontId="118" fillId="0" borderId="0"/>
    <xf numFmtId="41" fontId="89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213" fontId="4" fillId="0" borderId="0">
      <protection locked="0"/>
    </xf>
    <xf numFmtId="213" fontId="4" fillId="0" borderId="0">
      <protection locked="0"/>
    </xf>
    <xf numFmtId="213" fontId="4" fillId="0" borderId="0">
      <protection locked="0"/>
    </xf>
    <xf numFmtId="213" fontId="4" fillId="0" borderId="0">
      <protection locked="0"/>
    </xf>
    <xf numFmtId="213" fontId="4" fillId="0" borderId="0">
      <protection locked="0"/>
    </xf>
    <xf numFmtId="213" fontId="4" fillId="0" borderId="0">
      <protection locked="0"/>
    </xf>
    <xf numFmtId="213" fontId="4" fillId="0" borderId="0">
      <protection locked="0"/>
    </xf>
    <xf numFmtId="0" fontId="4" fillId="0" borderId="0" applyNumberFormat="0" applyFill="0" applyBorder="0"/>
    <xf numFmtId="221" fontId="114" fillId="0" borderId="0">
      <protection locked="0"/>
    </xf>
    <xf numFmtId="4" fontId="114" fillId="0" borderId="0">
      <protection locked="0"/>
    </xf>
    <xf numFmtId="213" fontId="4" fillId="0" borderId="0">
      <protection locked="0"/>
    </xf>
    <xf numFmtId="0" fontId="14" fillId="0" borderId="0">
      <alignment horizontal="left" vertical="center"/>
    </xf>
    <xf numFmtId="0" fontId="120" fillId="0" borderId="0" applyFill="0" applyBorder="0" applyProtection="0">
      <alignment horizontal="left"/>
    </xf>
    <xf numFmtId="0" fontId="48" fillId="0" borderId="5"/>
    <xf numFmtId="0" fontId="48" fillId="0" borderId="5"/>
    <xf numFmtId="0" fontId="48" fillId="0" borderId="5"/>
    <xf numFmtId="0" fontId="48" fillId="0" borderId="5"/>
    <xf numFmtId="0" fontId="48" fillId="0" borderId="5"/>
    <xf numFmtId="0" fontId="48" fillId="0" borderId="5"/>
    <xf numFmtId="0" fontId="48" fillId="0" borderId="5"/>
    <xf numFmtId="0" fontId="48" fillId="0" borderId="5"/>
    <xf numFmtId="0" fontId="48" fillId="0" borderId="5"/>
    <xf numFmtId="0" fontId="48" fillId="0" borderId="5"/>
    <xf numFmtId="0" fontId="48" fillId="0" borderId="5"/>
    <xf numFmtId="0" fontId="48" fillId="0" borderId="5"/>
    <xf numFmtId="0" fontId="48" fillId="0" borderId="5"/>
    <xf numFmtId="0" fontId="48" fillId="0" borderId="5"/>
    <xf numFmtId="0" fontId="48" fillId="0" borderId="5"/>
    <xf numFmtId="0" fontId="48" fillId="37" borderId="5"/>
    <xf numFmtId="0" fontId="48" fillId="37" borderId="5"/>
    <xf numFmtId="0" fontId="48" fillId="37" borderId="5"/>
    <xf numFmtId="0" fontId="48" fillId="37" borderId="5"/>
    <xf numFmtId="0" fontId="48" fillId="37" borderId="5"/>
    <xf numFmtId="0" fontId="48" fillId="37" borderId="5"/>
    <xf numFmtId="0" fontId="48" fillId="37" borderId="5"/>
    <xf numFmtId="0" fontId="48" fillId="37" borderId="5"/>
    <xf numFmtId="0" fontId="48" fillId="37" borderId="5"/>
    <xf numFmtId="0" fontId="48" fillId="37" borderId="5"/>
    <xf numFmtId="0" fontId="48" fillId="37" borderId="5"/>
    <xf numFmtId="0" fontId="48" fillId="37" borderId="5"/>
    <xf numFmtId="0" fontId="48" fillId="37" borderId="5"/>
    <xf numFmtId="0" fontId="48" fillId="37" borderId="5"/>
    <xf numFmtId="0" fontId="48" fillId="37" borderId="5"/>
    <xf numFmtId="0" fontId="5" fillId="0" borderId="98" applyNumberFormat="0" applyFill="0"/>
    <xf numFmtId="0" fontId="9" fillId="0" borderId="99" applyNumberFormat="0" applyFill="0" applyBorder="0">
      <alignment horizontal="center"/>
    </xf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121" fillId="60" borderId="0" applyNumberFormat="0" applyBorder="0" applyAlignment="0" applyProtection="0"/>
    <xf numFmtId="0" fontId="30" fillId="6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38" fontId="7" fillId="92" borderId="0" applyNumberFormat="0" applyBorder="0" applyAlignment="0" applyProtection="0"/>
    <xf numFmtId="222" fontId="99" fillId="0" borderId="0" applyFont="0" applyFill="0" applyBorder="0" applyAlignment="0" applyProtection="0">
      <alignment horizontal="right"/>
    </xf>
    <xf numFmtId="0" fontId="122" fillId="0" borderId="0" applyProtection="0">
      <alignment horizontal="right"/>
    </xf>
    <xf numFmtId="0" fontId="9" fillId="0" borderId="8">
      <alignment horizontal="left" vertical="center"/>
    </xf>
    <xf numFmtId="0" fontId="9" fillId="0" borderId="8">
      <alignment horizontal="left" vertical="center"/>
    </xf>
    <xf numFmtId="0" fontId="9" fillId="0" borderId="8">
      <alignment horizontal="left" vertical="center"/>
    </xf>
    <xf numFmtId="0" fontId="9" fillId="0" borderId="8">
      <alignment horizontal="left" vertical="center"/>
    </xf>
    <xf numFmtId="0" fontId="9" fillId="0" borderId="8">
      <alignment horizontal="left" vertical="center"/>
    </xf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124" fillId="0" borderId="81" applyNumberFormat="0" applyFill="0" applyAlignment="0" applyProtection="0"/>
    <xf numFmtId="0" fontId="123" fillId="0" borderId="100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3" fillId="0" borderId="100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26" fillId="0" borderId="82" applyNumberFormat="0" applyFill="0" applyAlignment="0" applyProtection="0"/>
    <xf numFmtId="0" fontId="125" fillId="0" borderId="101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5" fillId="0" borderId="101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128" fillId="0" borderId="83" applyNumberFormat="0" applyFill="0" applyAlignment="0" applyProtection="0"/>
    <xf numFmtId="0" fontId="127" fillId="0" borderId="102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102" applyNumberFormat="0" applyFill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213" fontId="4" fillId="0" borderId="0">
      <protection locked="0"/>
    </xf>
    <xf numFmtId="213" fontId="4" fillId="0" borderId="0"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31" fillId="0" borderId="0" applyNumberForma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10" fontId="7" fillId="96" borderId="17" applyNumberFormat="0" applyBorder="0" applyAlignment="0" applyProtection="0"/>
    <xf numFmtId="0" fontId="33" fillId="39" borderId="3" applyNumberFormat="0" applyAlignment="0" applyProtection="0"/>
    <xf numFmtId="0" fontId="33" fillId="39" borderId="3" applyNumberFormat="0" applyAlignment="0" applyProtection="0"/>
    <xf numFmtId="0" fontId="33" fillId="39" borderId="3" applyNumberFormat="0" applyAlignment="0" applyProtection="0"/>
    <xf numFmtId="0" fontId="33" fillId="39" borderId="3" applyNumberFormat="0" applyAlignment="0" applyProtection="0"/>
    <xf numFmtId="0" fontId="33" fillId="39" borderId="3" applyNumberFormat="0" applyAlignment="0" applyProtection="0"/>
    <xf numFmtId="0" fontId="33" fillId="39" borderId="3" applyNumberFormat="0" applyAlignment="0" applyProtection="0"/>
    <xf numFmtId="0" fontId="33" fillId="39" borderId="3" applyNumberFormat="0" applyAlignment="0" applyProtection="0"/>
    <xf numFmtId="0" fontId="33" fillId="39" borderId="3" applyNumberFormat="0" applyAlignment="0" applyProtection="0"/>
    <xf numFmtId="0" fontId="33" fillId="39" borderId="3" applyNumberFormat="0" applyAlignment="0" applyProtection="0"/>
    <xf numFmtId="0" fontId="33" fillId="39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133" fillId="63" borderId="84" applyNumberFormat="0" applyAlignment="0" applyProtection="0"/>
    <xf numFmtId="0" fontId="133" fillId="63" borderId="84" applyNumberFormat="0" applyAlignment="0" applyProtection="0"/>
    <xf numFmtId="0" fontId="133" fillId="63" borderId="84" applyNumberFormat="0" applyAlignment="0" applyProtection="0"/>
    <xf numFmtId="0" fontId="133" fillId="63" borderId="84" applyNumberFormat="0" applyAlignment="0" applyProtection="0"/>
    <xf numFmtId="0" fontId="133" fillId="63" borderId="84" applyNumberFormat="0" applyAlignment="0" applyProtection="0"/>
    <xf numFmtId="0" fontId="133" fillId="63" borderId="84" applyNumberFormat="0" applyAlignment="0" applyProtection="0"/>
    <xf numFmtId="0" fontId="133" fillId="63" borderId="84" applyNumberFormat="0" applyAlignment="0" applyProtection="0"/>
    <xf numFmtId="0" fontId="33" fillId="39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39" borderId="3" applyNumberFormat="0" applyAlignment="0" applyProtection="0"/>
    <xf numFmtId="0" fontId="33" fillId="39" borderId="3" applyNumberFormat="0" applyAlignment="0" applyProtection="0"/>
    <xf numFmtId="0" fontId="33" fillId="39" borderId="3" applyNumberFormat="0" applyAlignment="0" applyProtection="0"/>
    <xf numFmtId="0" fontId="33" fillId="39" borderId="3" applyNumberFormat="0" applyAlignment="0" applyProtection="0"/>
    <xf numFmtId="0" fontId="33" fillId="39" borderId="3" applyNumberFormat="0" applyAlignment="0" applyProtection="0"/>
    <xf numFmtId="0" fontId="33" fillId="39" borderId="3" applyNumberFormat="0" applyAlignment="0" applyProtection="0"/>
    <xf numFmtId="0" fontId="4" fillId="0" borderId="52" applyFont="0" applyFill="0" applyBorder="0" applyAlignment="0" applyProtection="0">
      <alignment horizontal="center"/>
    </xf>
    <xf numFmtId="0" fontId="5" fillId="0" borderId="29" applyNumberFormat="0" applyFill="0" applyBorder="0"/>
    <xf numFmtId="223" fontId="9" fillId="0" borderId="29" applyFill="0" applyBorder="0"/>
    <xf numFmtId="0" fontId="5" fillId="0" borderId="0" applyNumberFormat="0" applyFill="0" applyBorder="0">
      <alignment horizontal="center"/>
    </xf>
    <xf numFmtId="38" fontId="134" fillId="0" borderId="0"/>
    <xf numFmtId="38" fontId="135" fillId="0" borderId="0"/>
    <xf numFmtId="38" fontId="111" fillId="0" borderId="0"/>
    <xf numFmtId="38" fontId="136" fillId="0" borderId="0"/>
    <xf numFmtId="0" fontId="137" fillId="0" borderId="0"/>
    <xf numFmtId="0" fontId="137" fillId="0" borderId="0"/>
    <xf numFmtId="0" fontId="51" fillId="38" borderId="5"/>
    <xf numFmtId="0" fontId="51" fillId="38" borderId="5"/>
    <xf numFmtId="0" fontId="51" fillId="38" borderId="5"/>
    <xf numFmtId="0" fontId="51" fillId="38" borderId="5"/>
    <xf numFmtId="0" fontId="51" fillId="38" borderId="5"/>
    <xf numFmtId="0" fontId="51" fillId="38" borderId="5"/>
    <xf numFmtId="0" fontId="51" fillId="38" borderId="5"/>
    <xf numFmtId="0" fontId="51" fillId="38" borderId="5"/>
    <xf numFmtId="0" fontId="51" fillId="38" borderId="5"/>
    <xf numFmtId="0" fontId="51" fillId="38" borderId="5"/>
    <xf numFmtId="0" fontId="51" fillId="38" borderId="5"/>
    <xf numFmtId="0" fontId="51" fillId="38" borderId="5"/>
    <xf numFmtId="0" fontId="51" fillId="38" borderId="5"/>
    <xf numFmtId="0" fontId="51" fillId="38" borderId="5"/>
    <xf numFmtId="0" fontId="51" fillId="38" borderId="5"/>
    <xf numFmtId="0" fontId="5" fillId="0" borderId="0" applyNumberFormat="0" applyFill="0" applyBorder="0">
      <alignment horizontal="right"/>
    </xf>
    <xf numFmtId="0" fontId="4" fillId="0" borderId="103" applyNumberFormat="0" applyFill="0" applyBorder="0">
      <alignment horizontal="center"/>
    </xf>
    <xf numFmtId="0" fontId="4" fillId="0" borderId="0" applyFill="0" applyBorder="0" applyAlignment="0"/>
    <xf numFmtId="192" fontId="101" fillId="0" borderId="0" applyFill="0" applyBorder="0" applyAlignment="0"/>
    <xf numFmtId="0" fontId="4" fillId="0" borderId="0" applyFill="0" applyBorder="0" applyAlignment="0"/>
    <xf numFmtId="197" fontId="4" fillId="0" borderId="0" applyFill="0" applyBorder="0" applyAlignment="0"/>
    <xf numFmtId="192" fontId="101" fillId="0" borderId="0" applyFill="0" applyBorder="0" applyAlignment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6" fillId="0" borderId="12" applyNumberFormat="0" applyFill="0" applyAlignment="0" applyProtection="0"/>
    <xf numFmtId="0" fontId="36" fillId="0" borderId="12" applyNumberFormat="0" applyFill="0" applyAlignment="0" applyProtection="0"/>
    <xf numFmtId="0" fontId="36" fillId="0" borderId="12" applyNumberFormat="0" applyFill="0" applyAlignment="0" applyProtection="0"/>
    <xf numFmtId="0" fontId="138" fillId="0" borderId="86" applyNumberFormat="0" applyFill="0" applyAlignment="0" applyProtection="0"/>
    <xf numFmtId="0" fontId="38" fillId="0" borderId="104" applyNumberFormat="0" applyFill="0" applyAlignment="0" applyProtection="0"/>
    <xf numFmtId="0" fontId="36" fillId="0" borderId="12" applyNumberFormat="0" applyFill="0" applyAlignment="0" applyProtection="0"/>
    <xf numFmtId="0" fontId="36" fillId="0" borderId="12" applyNumberFormat="0" applyFill="0" applyAlignment="0" applyProtection="0"/>
    <xf numFmtId="0" fontId="36" fillId="0" borderId="12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224" fontId="139" fillId="0" borderId="56">
      <alignment horizontal="right"/>
    </xf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9" fontId="89" fillId="0" borderId="0" applyFont="0" applyFill="0" applyBorder="0" applyAlignment="0" applyProtection="0"/>
    <xf numFmtId="0" fontId="141" fillId="0" borderId="0"/>
    <xf numFmtId="225" fontId="4" fillId="0" borderId="0" applyFont="0" applyFill="0" applyBorder="0" applyAlignment="0" applyProtection="0"/>
    <xf numFmtId="226" fontId="4" fillId="0" borderId="0" applyFont="0" applyFill="0" applyBorder="0" applyAlignment="0" applyProtection="0"/>
    <xf numFmtId="227" fontId="16" fillId="0" borderId="0" applyFont="0" applyFill="0" applyBorder="0" applyProtection="0">
      <alignment horizontal="right"/>
    </xf>
    <xf numFmtId="38" fontId="43" fillId="0" borderId="0" applyFont="0" applyFill="0" applyBorder="0" applyAlignment="0" applyProtection="0"/>
    <xf numFmtId="40" fontId="43" fillId="0" borderId="0" applyFont="0" applyFill="0" applyBorder="0" applyAlignment="0" applyProtection="0"/>
    <xf numFmtId="228" fontId="4" fillId="0" borderId="0" applyFill="0" applyBorder="0" applyAlignment="0" applyProtection="0"/>
    <xf numFmtId="229" fontId="4" fillId="0" borderId="0" applyFont="0" applyFill="0" applyBorder="0" applyAlignment="0" applyProtection="0"/>
    <xf numFmtId="230" fontId="4" fillId="0" borderId="0" applyFont="0" applyFill="0" applyBorder="0" applyAlignment="0" applyProtection="0"/>
    <xf numFmtId="231" fontId="43" fillId="0" borderId="0" applyFont="0" applyFill="0" applyBorder="0" applyAlignment="0" applyProtection="0"/>
    <xf numFmtId="232" fontId="43" fillId="0" borderId="0" applyFont="0" applyFill="0" applyBorder="0" applyAlignment="0" applyProtection="0"/>
    <xf numFmtId="233" fontId="114" fillId="0" borderId="0">
      <protection locked="0"/>
    </xf>
    <xf numFmtId="0" fontId="142" fillId="0" borderId="0" applyFont="0" applyFill="0" applyBorder="0" applyAlignment="0" applyProtection="0">
      <alignment horizontal="right"/>
    </xf>
    <xf numFmtId="234" fontId="99" fillId="0" borderId="0" applyFont="0" applyFill="0" applyBorder="0" applyAlignment="0" applyProtection="0">
      <alignment horizontal="right"/>
    </xf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144" fillId="62" borderId="0" applyNumberFormat="0" applyBorder="0" applyAlignment="0" applyProtection="0"/>
    <xf numFmtId="0" fontId="143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0" fontId="143" fillId="39" borderId="0" applyNumberFormat="0" applyBorder="0" applyAlignment="0" applyProtection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37" fontId="52" fillId="0" borderId="0"/>
    <xf numFmtId="0" fontId="46" fillId="0" borderId="0"/>
    <xf numFmtId="0" fontId="4" fillId="0" borderId="0"/>
    <xf numFmtId="0" fontId="4" fillId="0" borderId="0"/>
    <xf numFmtId="0" fontId="46" fillId="0" borderId="0"/>
    <xf numFmtId="185" fontId="145" fillId="0" borderId="0"/>
    <xf numFmtId="0" fontId="146" fillId="0" borderId="0"/>
    <xf numFmtId="172" fontId="53" fillId="0" borderId="0"/>
    <xf numFmtId="185" fontId="145" fillId="0" borderId="0"/>
    <xf numFmtId="0" fontId="83" fillId="0" borderId="0"/>
    <xf numFmtId="0" fontId="44" fillId="0" borderId="0" applyNumberFormat="0" applyFill="0" applyBorder="0" applyAlignment="0" applyProtection="0"/>
    <xf numFmtId="0" fontId="4" fillId="0" borderId="0"/>
    <xf numFmtId="0" fontId="3" fillId="0" borderId="0"/>
    <xf numFmtId="0" fontId="2" fillId="0" borderId="0"/>
    <xf numFmtId="0" fontId="2" fillId="0" borderId="0"/>
    <xf numFmtId="0" fontId="89" fillId="0" borderId="0" applyNumberFormat="0" applyFill="0" applyBorder="0" applyAlignment="0" applyProtection="0"/>
    <xf numFmtId="0" fontId="3" fillId="0" borderId="0"/>
    <xf numFmtId="0" fontId="2" fillId="0" borderId="0"/>
    <xf numFmtId="175" fontId="4" fillId="0" borderId="0"/>
    <xf numFmtId="0" fontId="2" fillId="0" borderId="0"/>
    <xf numFmtId="0" fontId="2" fillId="0" borderId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44" fillId="0" borderId="0" applyNumberForma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top"/>
    </xf>
    <xf numFmtId="0" fontId="4" fillId="0" borderId="0">
      <alignment vertical="top"/>
    </xf>
    <xf numFmtId="0" fontId="4" fillId="0" borderId="0">
      <alignment vertical="top"/>
    </xf>
    <xf numFmtId="0" fontId="2" fillId="0" borderId="0"/>
    <xf numFmtId="0" fontId="2" fillId="0" borderId="0"/>
    <xf numFmtId="0" fontId="4" fillId="0" borderId="0"/>
    <xf numFmtId="0" fontId="3" fillId="0" borderId="0"/>
    <xf numFmtId="0" fontId="4" fillId="0" borderId="0"/>
    <xf numFmtId="0" fontId="89" fillId="0" borderId="0" applyNumberFormat="0" applyFill="0" applyBorder="0" applyAlignment="0" applyProtection="0"/>
    <xf numFmtId="0" fontId="2" fillId="0" borderId="0"/>
    <xf numFmtId="0" fontId="2" fillId="0" borderId="0"/>
    <xf numFmtId="0" fontId="89" fillId="0" borderId="0" applyNumberFormat="0" applyFill="0" applyBorder="0" applyAlignment="0" applyProtection="0"/>
    <xf numFmtId="0" fontId="3" fillId="0" borderId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" fillId="0" borderId="0"/>
    <xf numFmtId="0" fontId="89" fillId="0" borderId="0" applyNumberFormat="0" applyFill="0" applyBorder="0" applyAlignment="0" applyProtection="0"/>
    <xf numFmtId="0" fontId="2" fillId="0" borderId="0"/>
    <xf numFmtId="0" fontId="2" fillId="0" borderId="0"/>
    <xf numFmtId="0" fontId="147" fillId="0" borderId="0"/>
    <xf numFmtId="0" fontId="89" fillId="0" borderId="0"/>
    <xf numFmtId="0" fontId="44" fillId="0" borderId="0" applyNumberFormat="0" applyFill="0" applyBorder="0" applyAlignment="0" applyProtection="0"/>
    <xf numFmtId="0" fontId="4" fillId="0" borderId="0"/>
    <xf numFmtId="0" fontId="2" fillId="0" borderId="0"/>
    <xf numFmtId="0" fontId="14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 applyNumberFormat="0" applyFill="0" applyBorder="0" applyAlignment="0" applyProtection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1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 applyNumberFormat="0" applyFill="0" applyBorder="0" applyAlignment="0" applyProtection="0"/>
    <xf numFmtId="0" fontId="4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 applyNumberFormat="0" applyFill="0" applyBorder="0" applyAlignment="0" applyProtection="0"/>
    <xf numFmtId="0" fontId="4" fillId="0" borderId="0"/>
    <xf numFmtId="0" fontId="4" fillId="0" borderId="0" applyNumberFormat="0" applyFill="0" applyBorder="0" applyAlignment="0" applyProtection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75" fontId="4" fillId="0" borderId="0"/>
    <xf numFmtId="0" fontId="4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9" fillId="0" borderId="0"/>
    <xf numFmtId="0" fontId="4" fillId="0" borderId="0" applyNumberFormat="0" applyFill="0" applyBorder="0" applyAlignment="0" applyProtection="0"/>
    <xf numFmtId="0" fontId="2" fillId="0" borderId="0"/>
    <xf numFmtId="0" fontId="4" fillId="0" borderId="0"/>
    <xf numFmtId="0" fontId="2" fillId="0" borderId="0"/>
    <xf numFmtId="0" fontId="106" fillId="0" borderId="0"/>
    <xf numFmtId="0" fontId="73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89" fillId="0" borderId="0" applyNumberFormat="0" applyFill="0" applyBorder="0" applyAlignment="0" applyProtection="0"/>
    <xf numFmtId="0" fontId="3" fillId="0" borderId="0"/>
    <xf numFmtId="0" fontId="4" fillId="0" borderId="0"/>
    <xf numFmtId="0" fontId="2" fillId="0" borderId="0"/>
    <xf numFmtId="0" fontId="3" fillId="0" borderId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4" fillId="40" borderId="13" applyNumberFormat="0" applyFont="0" applyAlignment="0" applyProtection="0"/>
    <xf numFmtId="0" fontId="4" fillId="40" borderId="13" applyNumberFormat="0" applyFont="0" applyAlignment="0" applyProtection="0"/>
    <xf numFmtId="0" fontId="4" fillId="40" borderId="13" applyNumberFormat="0" applyFont="0" applyAlignment="0" applyProtection="0"/>
    <xf numFmtId="0" fontId="4" fillId="40" borderId="13" applyNumberFormat="0" applyFont="0" applyAlignment="0" applyProtection="0"/>
    <xf numFmtId="0" fontId="4" fillId="40" borderId="13" applyNumberFormat="0" applyFont="0" applyAlignment="0" applyProtection="0"/>
    <xf numFmtId="0" fontId="4" fillId="40" borderId="13" applyNumberFormat="0" applyFont="0" applyAlignment="0" applyProtection="0"/>
    <xf numFmtId="0" fontId="4" fillId="40" borderId="13" applyNumberFormat="0" applyFont="0" applyAlignment="0" applyProtection="0"/>
    <xf numFmtId="0" fontId="4" fillId="40" borderId="13" applyNumberFormat="0" applyFont="0" applyAlignment="0" applyProtection="0"/>
    <xf numFmtId="0" fontId="4" fillId="40" borderId="13" applyNumberFormat="0" applyFont="0" applyAlignment="0" applyProtection="0"/>
    <xf numFmtId="0" fontId="4" fillId="40" borderId="13" applyNumberFormat="0" applyFont="0" applyAlignment="0" applyProtection="0"/>
    <xf numFmtId="0" fontId="4" fillId="40" borderId="13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150" fillId="66" borderId="88" applyNumberFormat="0" applyFont="0" applyAlignment="0" applyProtection="0"/>
    <xf numFmtId="0" fontId="150" fillId="66" borderId="88" applyNumberFormat="0" applyFont="0" applyAlignment="0" applyProtection="0"/>
    <xf numFmtId="0" fontId="150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0" fontId="2" fillId="66" borderId="88" applyNumberFormat="0" applyFont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7" fillId="0" borderId="0">
      <alignment horizontal="left" vertical="center" wrapText="1"/>
    </xf>
    <xf numFmtId="0" fontId="34" fillId="46" borderId="14" applyNumberFormat="0" applyAlignment="0" applyProtection="0"/>
    <xf numFmtId="0" fontId="34" fillId="46" borderId="14" applyNumberFormat="0" applyAlignment="0" applyProtection="0"/>
    <xf numFmtId="0" fontId="34" fillId="46" borderId="14" applyNumberFormat="0" applyAlignment="0" applyProtection="0"/>
    <xf numFmtId="0" fontId="34" fillId="46" borderId="14" applyNumberFormat="0" applyAlignment="0" applyProtection="0"/>
    <xf numFmtId="0" fontId="34" fillId="46" borderId="14" applyNumberFormat="0" applyAlignment="0" applyProtection="0"/>
    <xf numFmtId="0" fontId="34" fillId="46" borderId="14" applyNumberFormat="0" applyAlignment="0" applyProtection="0"/>
    <xf numFmtId="0" fontId="34" fillId="46" borderId="14" applyNumberFormat="0" applyAlignment="0" applyProtection="0"/>
    <xf numFmtId="0" fontId="34" fillId="46" borderId="14" applyNumberFormat="0" applyAlignment="0" applyProtection="0"/>
    <xf numFmtId="0" fontId="34" fillId="46" borderId="14" applyNumberFormat="0" applyAlignment="0" applyProtection="0"/>
    <xf numFmtId="0" fontId="34" fillId="46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151" fillId="64" borderId="85" applyNumberFormat="0" applyAlignment="0" applyProtection="0"/>
    <xf numFmtId="0" fontId="34" fillId="46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31" borderId="14" applyNumberFormat="0" applyAlignment="0" applyProtection="0"/>
    <xf numFmtId="0" fontId="34" fillId="46" borderId="14" applyNumberFormat="0" applyAlignment="0" applyProtection="0"/>
    <xf numFmtId="0" fontId="34" fillId="46" borderId="14" applyNumberFormat="0" applyAlignment="0" applyProtection="0"/>
    <xf numFmtId="0" fontId="34" fillId="46" borderId="14" applyNumberFormat="0" applyAlignment="0" applyProtection="0"/>
    <xf numFmtId="0" fontId="34" fillId="46" borderId="14" applyNumberFormat="0" applyAlignment="0" applyProtection="0"/>
    <xf numFmtId="0" fontId="34" fillId="46" borderId="14" applyNumberFormat="0" applyAlignment="0" applyProtection="0"/>
    <xf numFmtId="0" fontId="34" fillId="46" borderId="14" applyNumberFormat="0" applyAlignment="0" applyProtection="0"/>
    <xf numFmtId="1" fontId="5" fillId="0" borderId="17" applyFill="0" applyProtection="0">
      <alignment horizontal="center" vertical="top" wrapText="1"/>
    </xf>
    <xf numFmtId="1" fontId="152" fillId="0" borderId="0" applyProtection="0">
      <alignment horizontal="right" vertical="center"/>
    </xf>
    <xf numFmtId="41" fontId="89" fillId="0" borderId="0" applyFont="0" applyFill="0" applyBorder="0" applyAlignment="0" applyProtection="0"/>
    <xf numFmtId="196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43" fillId="0" borderId="27" applyNumberFormat="0" applyBorder="0"/>
    <xf numFmtId="192" fontId="9" fillId="0" borderId="79" applyNumberFormat="0" applyFill="0">
      <alignment horizontal="center"/>
    </xf>
    <xf numFmtId="0" fontId="153" fillId="0" borderId="0" applyFont="0"/>
    <xf numFmtId="235" fontId="114" fillId="0" borderId="0">
      <protection locked="0"/>
    </xf>
    <xf numFmtId="0" fontId="4" fillId="0" borderId="0" applyFill="0" applyBorder="0" applyAlignment="0"/>
    <xf numFmtId="192" fontId="101" fillId="0" borderId="0" applyFill="0" applyBorder="0" applyAlignment="0"/>
    <xf numFmtId="0" fontId="4" fillId="0" borderId="0" applyFill="0" applyBorder="0" applyAlignment="0"/>
    <xf numFmtId="197" fontId="4" fillId="0" borderId="0" applyFill="0" applyBorder="0" applyAlignment="0"/>
    <xf numFmtId="192" fontId="101" fillId="0" borderId="0" applyFill="0" applyBorder="0" applyAlignment="0"/>
    <xf numFmtId="0" fontId="43" fillId="0" borderId="0" applyNumberFormat="0" applyFont="0" applyFill="0" applyBorder="0" applyAlignment="0" applyProtection="0">
      <alignment horizontal="left"/>
    </xf>
    <xf numFmtId="15" fontId="43" fillId="0" borderId="0" applyFont="0" applyFill="0" applyBorder="0" applyAlignment="0" applyProtection="0"/>
    <xf numFmtId="4" fontId="43" fillId="0" borderId="0" applyFont="0" applyFill="0" applyBorder="0" applyAlignment="0" applyProtection="0"/>
    <xf numFmtId="0" fontId="154" fillId="0" borderId="29">
      <alignment horizontal="center"/>
    </xf>
    <xf numFmtId="3" fontId="43" fillId="0" borderId="0" applyFont="0" applyFill="0" applyBorder="0" applyAlignment="0" applyProtection="0"/>
    <xf numFmtId="0" fontId="43" fillId="100" borderId="0" applyNumberFormat="0" applyFont="0" applyBorder="0" applyAlignment="0" applyProtection="0"/>
    <xf numFmtId="1" fontId="4" fillId="0" borderId="52" applyNumberFormat="0" applyFill="0" applyAlignment="0" applyProtection="0">
      <alignment horizontal="center" vertical="center"/>
    </xf>
    <xf numFmtId="0" fontId="155" fillId="0" borderId="0" applyNumberFormat="0" applyFill="0" applyBorder="0">
      <alignment vertical="center"/>
    </xf>
    <xf numFmtId="14" fontId="156" fillId="0" borderId="0" applyNumberFormat="0" applyFill="0" applyBorder="0" applyAlignment="0" applyProtection="0">
      <alignment horizontal="left"/>
    </xf>
    <xf numFmtId="38" fontId="156" fillId="0" borderId="0"/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5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6" fillId="39" borderId="15" applyNumberFormat="0" applyProtection="0">
      <alignment vertical="center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4" fontId="55" fillId="39" borderId="15" applyNumberFormat="0" applyProtection="0">
      <alignment horizontal="left" vertical="center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0" fontId="55" fillId="39" borderId="15" applyNumberFormat="0" applyProtection="0">
      <alignment horizontal="left" vertical="top" indent="1"/>
    </xf>
    <xf numFmtId="4" fontId="55" fillId="41" borderId="0" applyNumberFormat="0" applyProtection="0">
      <alignment horizontal="left" vertical="center" indent="1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3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9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20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1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15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8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24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42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7" fillId="10" borderId="15" applyNumberFormat="0" applyProtection="0">
      <alignment horizontal="right" vertical="center"/>
    </xf>
    <xf numFmtId="4" fontId="55" fillId="43" borderId="16" applyNumberFormat="0" applyProtection="0">
      <alignment horizontal="left" vertical="center" indent="1"/>
    </xf>
    <xf numFmtId="4" fontId="57" fillId="44" borderId="0" applyNumberFormat="0" applyProtection="0">
      <alignment horizontal="left" vertical="center" indent="1"/>
    </xf>
    <xf numFmtId="4" fontId="58" fillId="45" borderId="0" applyNumberFormat="0" applyProtection="0">
      <alignment horizontal="left" vertical="center" indent="1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1" borderId="15" applyNumberFormat="0" applyProtection="0">
      <alignment horizontal="right" vertical="center"/>
    </xf>
    <xf numFmtId="4" fontId="57" fillId="44" borderId="0" applyNumberFormat="0" applyProtection="0">
      <alignment horizontal="left" vertical="center" indent="1"/>
    </xf>
    <xf numFmtId="4" fontId="57" fillId="41" borderId="0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center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5" borderId="15" applyNumberFormat="0" applyProtection="0">
      <alignment horizontal="left" vertical="top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center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41" borderId="15" applyNumberFormat="0" applyProtection="0">
      <alignment horizontal="left" vertical="top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center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8" borderId="15" applyNumberFormat="0" applyProtection="0">
      <alignment horizontal="left" vertical="top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center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4" borderId="15" applyNumberFormat="0" applyProtection="0">
      <alignment horizontal="left" vertical="top" indent="1"/>
    </xf>
    <xf numFmtId="0" fontId="4" fillId="46" borderId="17" applyNumberFormat="0">
      <protection locked="0"/>
    </xf>
    <xf numFmtId="0" fontId="4" fillId="46" borderId="17" applyNumberFormat="0">
      <protection locked="0"/>
    </xf>
    <xf numFmtId="0" fontId="4" fillId="46" borderId="17" applyNumberFormat="0">
      <protection locked="0"/>
    </xf>
    <xf numFmtId="0" fontId="4" fillId="46" borderId="17" applyNumberFormat="0">
      <protection locked="0"/>
    </xf>
    <xf numFmtId="0" fontId="4" fillId="46" borderId="17" applyNumberFormat="0">
      <protection locked="0"/>
    </xf>
    <xf numFmtId="0" fontId="4" fillId="46" borderId="17" applyNumberFormat="0">
      <protection locked="0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7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9" fillId="40" borderId="15" applyNumberFormat="0" applyProtection="0">
      <alignment vertical="center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4" fontId="57" fillId="40" borderId="15" applyNumberFormat="0" applyProtection="0">
      <alignment horizontal="left" vertical="center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0" fontId="57" fillId="40" borderId="15" applyNumberFormat="0" applyProtection="0">
      <alignment horizontal="left" vertical="top" indent="1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7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9" fillId="44" borderId="15" applyNumberFormat="0" applyProtection="0">
      <alignment horizontal="right" vertical="center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4" fontId="57" fillId="41" borderId="15" applyNumberFormat="0" applyProtection="0">
      <alignment horizontal="left" vertical="center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0" fontId="57" fillId="41" borderId="15" applyNumberFormat="0" applyProtection="0">
      <alignment horizontal="left" vertical="top" indent="1"/>
    </xf>
    <xf numFmtId="4" fontId="60" fillId="47" borderId="0" applyNumberFormat="0" applyProtection="0">
      <alignment horizontal="left" vertical="center" indent="1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4" fontId="61" fillId="44" borderId="15" applyNumberFormat="0" applyProtection="0">
      <alignment horizontal="right" vertical="center"/>
    </xf>
    <xf numFmtId="0" fontId="4" fillId="40" borderId="0" applyNumberFormat="0" applyFont="0" applyBorder="0" applyAlignment="0" applyProtection="0"/>
    <xf numFmtId="0" fontId="4" fillId="46" borderId="0" applyNumberFormat="0" applyFont="0" applyBorder="0" applyAlignment="0" applyProtection="0"/>
    <xf numFmtId="0" fontId="4" fillId="31" borderId="0" applyNumberFormat="0" applyFont="0" applyBorder="0" applyAlignment="0" applyProtection="0"/>
    <xf numFmtId="0" fontId="4" fillId="0" borderId="0" applyNumberFormat="0" applyFont="0" applyFill="0" applyBorder="0" applyAlignment="0" applyProtection="0"/>
    <xf numFmtId="0" fontId="4" fillId="31" borderId="0" applyNumberFormat="0" applyFont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Border="0" applyAlignment="0" applyProtection="0"/>
    <xf numFmtId="0" fontId="4" fillId="0" borderId="0" applyNumberFormat="0" applyFill="0" applyBorder="0"/>
    <xf numFmtId="42" fontId="157" fillId="0" borderId="0" applyFill="0" applyBorder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159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43" fillId="0" borderId="17">
      <alignment horizontal="centerContinuous"/>
    </xf>
    <xf numFmtId="0" fontId="43" fillId="0" borderId="17">
      <alignment horizontal="centerContinuous"/>
    </xf>
    <xf numFmtId="0" fontId="43" fillId="0" borderId="17">
      <alignment horizontal="centerContinuous"/>
    </xf>
    <xf numFmtId="0" fontId="43" fillId="0" borderId="17">
      <alignment horizontal="centerContinuous"/>
    </xf>
    <xf numFmtId="0" fontId="43" fillId="0" borderId="17">
      <alignment horizontal="centerContinuous"/>
    </xf>
    <xf numFmtId="0" fontId="43" fillId="0" borderId="17">
      <alignment horizontal="centerContinuous"/>
    </xf>
    <xf numFmtId="40" fontId="160" fillId="0" borderId="0" applyBorder="0">
      <alignment horizontal="right"/>
    </xf>
    <xf numFmtId="192" fontId="161" fillId="0" borderId="64" applyNumberFormat="0" applyFill="0">
      <alignment horizontal="left"/>
    </xf>
    <xf numFmtId="37" fontId="162" fillId="46" borderId="0"/>
    <xf numFmtId="0" fontId="155" fillId="51" borderId="0" applyFont="0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45" fillId="0" borderId="5"/>
    <xf numFmtId="0" fontId="163" fillId="0" borderId="0" applyBorder="0" applyProtection="0">
      <alignment vertical="center"/>
    </xf>
    <xf numFmtId="217" fontId="99" fillId="0" borderId="62" applyBorder="0" applyProtection="0">
      <alignment horizontal="right" vertical="center"/>
    </xf>
    <xf numFmtId="0" fontId="164" fillId="101" borderId="0" applyBorder="0" applyProtection="0">
      <alignment horizontal="centerContinuous" vertical="center"/>
    </xf>
    <xf numFmtId="0" fontId="164" fillId="102" borderId="62" applyBorder="0" applyProtection="0">
      <alignment horizontal="centerContinuous" vertical="center"/>
    </xf>
    <xf numFmtId="0" fontId="165" fillId="0" borderId="0" applyFill="0" applyBorder="0" applyProtection="0">
      <alignment horizontal="left"/>
    </xf>
    <xf numFmtId="0" fontId="120" fillId="0" borderId="61" applyFill="0" applyBorder="0" applyProtection="0">
      <alignment horizontal="left" vertical="top"/>
    </xf>
    <xf numFmtId="0" fontId="139" fillId="0" borderId="0">
      <alignment horizontal="centerContinuous"/>
    </xf>
    <xf numFmtId="49" fontId="57" fillId="0" borderId="0" applyFill="0" applyBorder="0" applyAlignment="0"/>
    <xf numFmtId="190" fontId="4" fillId="0" borderId="0" applyFill="0" applyBorder="0" applyAlignment="0"/>
    <xf numFmtId="236" fontId="4" fillId="0" borderId="0" applyFill="0" applyBorder="0" applyAlignment="0"/>
    <xf numFmtId="0" fontId="4" fillId="0" borderId="0"/>
    <xf numFmtId="0" fontId="9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40" fontId="110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" fontId="5" fillId="0" borderId="48" applyNumberFormat="0" applyFill="0" applyProtection="0">
      <alignment horizontal="left" vertical="center"/>
    </xf>
    <xf numFmtId="1" fontId="5" fillId="0" borderId="52" applyNumberFormat="0" applyFill="0" applyProtection="0">
      <alignment horizontal="left" vertical="center"/>
    </xf>
    <xf numFmtId="0" fontId="40" fillId="0" borderId="105" applyNumberFormat="0" applyFill="0" applyAlignment="0" applyProtection="0"/>
    <xf numFmtId="0" fontId="40" fillId="0" borderId="105" applyNumberFormat="0" applyFill="0" applyAlignment="0" applyProtection="0"/>
    <xf numFmtId="0" fontId="40" fillId="0" borderId="105" applyNumberFormat="0" applyFill="0" applyAlignment="0" applyProtection="0"/>
    <xf numFmtId="0" fontId="40" fillId="0" borderId="105" applyNumberFormat="0" applyFill="0" applyAlignment="0" applyProtection="0"/>
    <xf numFmtId="0" fontId="40" fillId="0" borderId="105" applyNumberFormat="0" applyFill="0" applyAlignment="0" applyProtection="0"/>
    <xf numFmtId="0" fontId="40" fillId="0" borderId="105" applyNumberFormat="0" applyFill="0" applyAlignment="0" applyProtection="0"/>
    <xf numFmtId="0" fontId="40" fillId="0" borderId="105" applyNumberFormat="0" applyFill="0" applyAlignment="0" applyProtection="0"/>
    <xf numFmtId="0" fontId="40" fillId="0" borderId="105" applyNumberFormat="0" applyFill="0" applyAlignment="0" applyProtection="0"/>
    <xf numFmtId="0" fontId="40" fillId="0" borderId="105" applyNumberFormat="0" applyFill="0" applyAlignment="0" applyProtection="0"/>
    <xf numFmtId="0" fontId="40" fillId="0" borderId="105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166" fillId="0" borderId="89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05" applyNumberFormat="0" applyFill="0" applyAlignment="0" applyProtection="0"/>
    <xf numFmtId="0" fontId="40" fillId="0" borderId="105" applyNumberFormat="0" applyFill="0" applyAlignment="0" applyProtection="0"/>
    <xf numFmtId="0" fontId="40" fillId="0" borderId="105" applyNumberFormat="0" applyFill="0" applyAlignment="0" applyProtection="0"/>
    <xf numFmtId="0" fontId="40" fillId="0" borderId="105" applyNumberFormat="0" applyFill="0" applyAlignment="0" applyProtection="0"/>
    <xf numFmtId="0" fontId="40" fillId="0" borderId="105" applyNumberFormat="0" applyFill="0" applyAlignment="0" applyProtection="0"/>
    <xf numFmtId="0" fontId="40" fillId="0" borderId="105" applyNumberFormat="0" applyFill="0" applyAlignment="0" applyProtection="0"/>
    <xf numFmtId="0" fontId="51" fillId="0" borderId="5"/>
    <xf numFmtId="0" fontId="51" fillId="0" borderId="5"/>
    <xf numFmtId="0" fontId="51" fillId="0" borderId="5"/>
    <xf numFmtId="0" fontId="51" fillId="0" borderId="5"/>
    <xf numFmtId="0" fontId="51" fillId="0" borderId="5"/>
    <xf numFmtId="0" fontId="51" fillId="0" borderId="5"/>
    <xf numFmtId="0" fontId="51" fillId="0" borderId="5"/>
    <xf numFmtId="0" fontId="51" fillId="0" borderId="5"/>
    <xf numFmtId="0" fontId="51" fillId="0" borderId="5"/>
    <xf numFmtId="0" fontId="51" fillId="0" borderId="5"/>
    <xf numFmtId="0" fontId="51" fillId="0" borderId="5"/>
    <xf numFmtId="0" fontId="51" fillId="0" borderId="5"/>
    <xf numFmtId="0" fontId="51" fillId="0" borderId="5"/>
    <xf numFmtId="0" fontId="51" fillId="0" borderId="5"/>
    <xf numFmtId="0" fontId="51" fillId="0" borderId="5"/>
    <xf numFmtId="237" fontId="98" fillId="0" borderId="0" applyFont="0" applyFill="0" applyBorder="0" applyAlignment="0" applyProtection="0"/>
    <xf numFmtId="238" fontId="141" fillId="0" borderId="0" applyFont="0" applyFill="0" applyBorder="0" applyAlignment="0" applyProtection="0"/>
    <xf numFmtId="0" fontId="4" fillId="0" borderId="0" applyNumberFormat="0" applyFill="0" applyBorder="0"/>
    <xf numFmtId="0" fontId="167" fillId="0" borderId="0">
      <alignment horizontal="fill"/>
    </xf>
    <xf numFmtId="0" fontId="99" fillId="0" borderId="0"/>
    <xf numFmtId="239" fontId="141" fillId="0" borderId="0" applyFont="0" applyFill="0" applyBorder="0" applyAlignment="0" applyProtection="0"/>
    <xf numFmtId="240" fontId="141" fillId="0" borderId="0" applyFont="0" applyFill="0" applyBorder="0" applyAlignment="0" applyProtection="0"/>
    <xf numFmtId="1" fontId="168" fillId="0" borderId="52" applyNumberFormat="0" applyFill="0" applyAlignment="0" applyProtection="0">
      <alignment horizontal="left"/>
    </xf>
    <xf numFmtId="241" fontId="4" fillId="0" borderId="0" applyFont="0" applyFill="0" applyBorder="0" applyAlignment="0" applyProtection="0"/>
    <xf numFmtId="242" fontId="4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99" fillId="0" borderId="0"/>
    <xf numFmtId="0" fontId="170" fillId="92" borderId="0">
      <alignment horizontal="center"/>
    </xf>
    <xf numFmtId="0" fontId="171" fillId="0" borderId="106" applyNumberFormat="0" applyBorder="0">
      <alignment wrapText="1"/>
    </xf>
    <xf numFmtId="243" fontId="89" fillId="0" borderId="0" applyFont="0" applyFill="0" applyBorder="0" applyAlignment="0" applyProtection="0"/>
    <xf numFmtId="244" fontId="89" fillId="0" borderId="0" applyFont="0" applyFill="0" applyBorder="0" applyAlignment="0" applyProtection="0"/>
    <xf numFmtId="15" fontId="99" fillId="0" borderId="0" applyFont="0" applyFill="0" applyBorder="0" applyAlignment="0" applyProtection="0"/>
    <xf numFmtId="204" fontId="172" fillId="0" borderId="0"/>
    <xf numFmtId="245" fontId="173" fillId="0" borderId="0" applyFont="0" applyFill="0" applyBorder="0" applyAlignment="0" applyProtection="0"/>
    <xf numFmtId="246" fontId="173" fillId="0" borderId="0" applyFont="0" applyFill="0" applyBorder="0" applyAlignment="0" applyProtection="0"/>
    <xf numFmtId="0" fontId="173" fillId="0" borderId="0"/>
    <xf numFmtId="41" fontId="174" fillId="0" borderId="0" applyFont="0" applyFill="0" applyBorder="0" applyAlignment="0" applyProtection="0"/>
    <xf numFmtId="43" fontId="17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4" fillId="0" borderId="0"/>
    <xf numFmtId="247" fontId="4" fillId="0" borderId="0" applyFont="0" applyFill="0" applyBorder="0" applyAlignment="0" applyProtection="0"/>
    <xf numFmtId="248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0" fontId="4" fillId="0" borderId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68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2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76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0" fontId="1" fillId="66" borderId="88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76">
    <xf numFmtId="0" fontId="0" fillId="0" borderId="0" xfId="0"/>
    <xf numFmtId="0" fontId="5" fillId="0" borderId="0" xfId="0" applyFont="1"/>
    <xf numFmtId="0" fontId="0" fillId="0" borderId="0" xfId="0" applyFill="1" applyBorder="1"/>
    <xf numFmtId="0" fontId="5" fillId="0" borderId="0" xfId="0" applyFont="1" applyBorder="1"/>
    <xf numFmtId="0" fontId="0" fillId="0" borderId="0" xfId="0" applyFill="1"/>
    <xf numFmtId="0" fontId="9" fillId="0" borderId="17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/>
    </xf>
    <xf numFmtId="0" fontId="9" fillId="50" borderId="17" xfId="0" applyFont="1" applyFill="1" applyBorder="1"/>
    <xf numFmtId="0" fontId="10" fillId="0" borderId="17" xfId="0" applyFont="1" applyFill="1" applyBorder="1" applyAlignment="1">
      <alignment horizontal="center" vertical="center"/>
    </xf>
    <xf numFmtId="0" fontId="9" fillId="50" borderId="17" xfId="0" applyFont="1" applyFill="1" applyBorder="1" applyAlignment="1">
      <alignment horizontal="center"/>
    </xf>
    <xf numFmtId="9" fontId="9" fillId="50" borderId="17" xfId="732" applyFont="1" applyFill="1" applyBorder="1" applyAlignment="1">
      <alignment horizontal="center"/>
    </xf>
    <xf numFmtId="0" fontId="13" fillId="0" borderId="0" xfId="0" applyFont="1" applyBorder="1"/>
    <xf numFmtId="0" fontId="13" fillId="0" borderId="0" xfId="0" applyFont="1"/>
    <xf numFmtId="167" fontId="13" fillId="0" borderId="0" xfId="515" applyNumberFormat="1" applyFont="1"/>
    <xf numFmtId="167" fontId="9" fillId="0" borderId="17" xfId="515" applyNumberFormat="1" applyFont="1" applyBorder="1" applyAlignment="1">
      <alignment horizontal="center" vertical="center" wrapText="1"/>
    </xf>
    <xf numFmtId="17" fontId="9" fillId="0" borderId="17" xfId="0" applyNumberFormat="1" applyFont="1" applyBorder="1" applyAlignment="1">
      <alignment horizontal="center" vertical="center"/>
    </xf>
    <xf numFmtId="0" fontId="9" fillId="0" borderId="17" xfId="0" applyFont="1" applyBorder="1"/>
    <xf numFmtId="167" fontId="9" fillId="0" borderId="17" xfId="515" applyNumberFormat="1" applyFont="1" applyBorder="1" applyAlignment="1">
      <alignment horizontal="center"/>
    </xf>
    <xf numFmtId="9" fontId="9" fillId="0" borderId="17" xfId="732" applyFont="1" applyBorder="1" applyAlignment="1">
      <alignment horizontal="center"/>
    </xf>
    <xf numFmtId="167" fontId="9" fillId="50" borderId="17" xfId="515" applyNumberFormat="1" applyFont="1" applyFill="1" applyBorder="1" applyAlignment="1">
      <alignment horizontal="center"/>
    </xf>
    <xf numFmtId="0" fontId="8" fillId="51" borderId="0" xfId="0" applyFont="1" applyFill="1" applyBorder="1" applyAlignment="1">
      <alignment vertical="center"/>
    </xf>
    <xf numFmtId="0" fontId="0" fillId="51" borderId="0" xfId="0" applyFill="1"/>
    <xf numFmtId="1" fontId="0" fillId="51" borderId="0" xfId="0" applyNumberFormat="1" applyFill="1"/>
    <xf numFmtId="167" fontId="12" fillId="52" borderId="17" xfId="515" applyNumberFormat="1" applyFont="1" applyFill="1" applyBorder="1" applyAlignment="1">
      <alignment horizontal="left" readingOrder="1"/>
    </xf>
    <xf numFmtId="167" fontId="12" fillId="52" borderId="20" xfId="515" applyNumberFormat="1" applyFont="1" applyFill="1" applyBorder="1" applyAlignment="1">
      <alignment horizontal="left" readingOrder="1"/>
    </xf>
    <xf numFmtId="167" fontId="12" fillId="0" borderId="20" xfId="515" applyNumberFormat="1" applyFont="1" applyBorder="1" applyAlignment="1">
      <alignment horizontal="left" readingOrder="1"/>
    </xf>
    <xf numFmtId="167" fontId="12" fillId="52" borderId="25" xfId="515" applyNumberFormat="1" applyFont="1" applyFill="1" applyBorder="1" applyAlignment="1">
      <alignment horizontal="left" readingOrder="1"/>
    </xf>
    <xf numFmtId="167" fontId="12" fillId="52" borderId="26" xfId="515" applyNumberFormat="1" applyFont="1" applyFill="1" applyBorder="1" applyAlignment="1">
      <alignment horizontal="left" readingOrder="1"/>
    </xf>
    <xf numFmtId="0" fontId="5" fillId="51" borderId="0" xfId="0" applyFont="1" applyFill="1" applyBorder="1"/>
    <xf numFmtId="0" fontId="6" fillId="0" borderId="0" xfId="0" applyFont="1"/>
    <xf numFmtId="0" fontId="9" fillId="0" borderId="17" xfId="0" applyFont="1" applyFill="1" applyBorder="1"/>
    <xf numFmtId="0" fontId="5" fillId="0" borderId="0" xfId="0" applyFont="1" applyFill="1"/>
    <xf numFmtId="167" fontId="12" fillId="52" borderId="44" xfId="515" applyNumberFormat="1" applyFont="1" applyFill="1" applyBorder="1" applyAlignment="1">
      <alignment horizontal="left" readingOrder="1"/>
    </xf>
    <xf numFmtId="167" fontId="12" fillId="52" borderId="45" xfId="515" applyNumberFormat="1" applyFont="1" applyFill="1" applyBorder="1" applyAlignment="1">
      <alignment horizontal="left" readingOrder="1"/>
    </xf>
    <xf numFmtId="0" fontId="12" fillId="0" borderId="24" xfId="0" applyFont="1" applyBorder="1"/>
    <xf numFmtId="0" fontId="12" fillId="0" borderId="39" xfId="0" applyFont="1" applyBorder="1"/>
    <xf numFmtId="167" fontId="11" fillId="54" borderId="47" xfId="515" applyNumberFormat="1" applyFont="1" applyFill="1" applyBorder="1" applyAlignment="1">
      <alignment horizontal="left" readingOrder="1"/>
    </xf>
    <xf numFmtId="167" fontId="11" fillId="54" borderId="48" xfId="515" applyNumberFormat="1" applyFont="1" applyFill="1" applyBorder="1" applyAlignment="1">
      <alignment horizontal="left" readingOrder="1"/>
    </xf>
    <xf numFmtId="0" fontId="12" fillId="0" borderId="50" xfId="0" applyFont="1" applyBorder="1"/>
    <xf numFmtId="167" fontId="12" fillId="52" borderId="19" xfId="515" applyNumberFormat="1" applyFont="1" applyFill="1" applyBorder="1" applyAlignment="1">
      <alignment horizontal="left" readingOrder="1"/>
    </xf>
    <xf numFmtId="17" fontId="11" fillId="0" borderId="20" xfId="0" applyNumberFormat="1" applyFont="1" applyFill="1" applyBorder="1" applyAlignment="1">
      <alignment horizontal="center" vertical="center"/>
    </xf>
    <xf numFmtId="43" fontId="11" fillId="54" borderId="48" xfId="515" applyFont="1" applyFill="1" applyBorder="1" applyAlignment="1">
      <alignment horizontal="left" readingOrder="1"/>
    </xf>
    <xf numFmtId="43" fontId="11" fillId="54" borderId="49" xfId="515" applyFont="1" applyFill="1" applyBorder="1" applyAlignment="1">
      <alignment horizontal="left" readingOrder="1"/>
    </xf>
    <xf numFmtId="0" fontId="12" fillId="0" borderId="51" xfId="0" applyFont="1" applyBorder="1"/>
    <xf numFmtId="0" fontId="12" fillId="0" borderId="52" xfId="0" applyFont="1" applyBorder="1"/>
    <xf numFmtId="167" fontId="12" fillId="0" borderId="52" xfId="515" applyNumberFormat="1" applyFont="1" applyBorder="1" applyAlignment="1">
      <alignment horizontal="left" readingOrder="1"/>
    </xf>
    <xf numFmtId="167" fontId="12" fillId="52" borderId="54" xfId="515" applyNumberFormat="1" applyFont="1" applyFill="1" applyBorder="1" applyAlignment="1">
      <alignment horizontal="left" readingOrder="1"/>
    </xf>
    <xf numFmtId="167" fontId="11" fillId="54" borderId="55" xfId="515" applyNumberFormat="1" applyFont="1" applyFill="1" applyBorder="1" applyAlignment="1">
      <alignment horizontal="left" readingOrder="1"/>
    </xf>
    <xf numFmtId="17" fontId="11" fillId="0" borderId="44" xfId="0" applyNumberFormat="1" applyFont="1" applyFill="1" applyBorder="1" applyAlignment="1">
      <alignment horizontal="center" vertical="center"/>
    </xf>
    <xf numFmtId="0" fontId="12" fillId="0" borderId="56" xfId="0" applyFont="1" applyBorder="1"/>
    <xf numFmtId="0" fontId="11" fillId="0" borderId="57" xfId="0" applyFont="1" applyFill="1" applyBorder="1" applyAlignment="1">
      <alignment horizontal="left" vertical="center"/>
    </xf>
    <xf numFmtId="0" fontId="12" fillId="0" borderId="57" xfId="0" applyFont="1" applyBorder="1"/>
    <xf numFmtId="0" fontId="5" fillId="0" borderId="0" xfId="0" applyFont="1" applyFill="1" applyBorder="1"/>
    <xf numFmtId="0" fontId="6" fillId="51" borderId="0" xfId="0" applyFont="1" applyFill="1" applyBorder="1"/>
    <xf numFmtId="17" fontId="11" fillId="54" borderId="41" xfId="0" applyNumberFormat="1" applyFont="1" applyFill="1" applyBorder="1" applyAlignment="1">
      <alignment horizontal="center" vertical="center" wrapText="1"/>
    </xf>
    <xf numFmtId="17" fontId="11" fillId="54" borderId="43" xfId="0" applyNumberFormat="1" applyFont="1" applyFill="1" applyBorder="1" applyAlignment="1">
      <alignment horizontal="center" vertical="center" wrapText="1"/>
    </xf>
    <xf numFmtId="17" fontId="11" fillId="54" borderId="60" xfId="0" applyNumberFormat="1" applyFont="1" applyFill="1" applyBorder="1" applyAlignment="1">
      <alignment horizontal="center" vertical="center" wrapText="1"/>
    </xf>
    <xf numFmtId="17" fontId="11" fillId="54" borderId="40" xfId="0" applyNumberFormat="1" applyFont="1" applyFill="1" applyBorder="1" applyAlignment="1">
      <alignment horizontal="center" vertical="center" wrapText="1"/>
    </xf>
    <xf numFmtId="17" fontId="11" fillId="0" borderId="25" xfId="0" applyNumberFormat="1" applyFont="1" applyFill="1" applyBorder="1" applyAlignment="1">
      <alignment horizontal="center" vertical="center"/>
    </xf>
    <xf numFmtId="167" fontId="12" fillId="0" borderId="25" xfId="515" applyNumberFormat="1" applyFont="1" applyBorder="1" applyAlignment="1">
      <alignment horizontal="left" readingOrder="1"/>
    </xf>
    <xf numFmtId="167" fontId="12" fillId="0" borderId="51" xfId="515" applyNumberFormat="1" applyFont="1" applyBorder="1" applyAlignment="1">
      <alignment horizontal="left" readingOrder="1"/>
    </xf>
    <xf numFmtId="0" fontId="13" fillId="51" borderId="0" xfId="0" applyFont="1" applyFill="1" applyBorder="1"/>
    <xf numFmtId="0" fontId="13" fillId="51" borderId="0" xfId="0" applyFont="1" applyFill="1"/>
    <xf numFmtId="167" fontId="13" fillId="51" borderId="0" xfId="515" applyNumberFormat="1" applyFont="1" applyFill="1"/>
    <xf numFmtId="0" fontId="9" fillId="51" borderId="0" xfId="0" applyFont="1" applyFill="1" applyBorder="1" applyAlignment="1">
      <alignment vertical="center"/>
    </xf>
    <xf numFmtId="0" fontId="9" fillId="51" borderId="0" xfId="0" applyFont="1" applyFill="1" applyBorder="1"/>
    <xf numFmtId="167" fontId="9" fillId="51" borderId="0" xfId="515" applyNumberFormat="1" applyFont="1" applyFill="1"/>
    <xf numFmtId="167" fontId="9" fillId="51" borderId="0" xfId="515" applyNumberFormat="1" applyFont="1" applyFill="1" applyBorder="1"/>
    <xf numFmtId="0" fontId="9" fillId="51" borderId="0" xfId="0" applyFont="1" applyFill="1"/>
    <xf numFmtId="0" fontId="10" fillId="51" borderId="0" xfId="0" applyFont="1" applyFill="1" applyBorder="1" applyAlignment="1">
      <alignment vertical="center"/>
    </xf>
    <xf numFmtId="0" fontId="10" fillId="51" borderId="0" xfId="0" applyFont="1" applyFill="1"/>
    <xf numFmtId="167" fontId="10" fillId="51" borderId="0" xfId="515" applyNumberFormat="1" applyFont="1" applyFill="1"/>
    <xf numFmtId="0" fontId="10" fillId="51" borderId="1" xfId="0" applyFont="1" applyFill="1" applyBorder="1" applyAlignment="1">
      <alignment horizontal="center" vertical="center"/>
    </xf>
    <xf numFmtId="0" fontId="9" fillId="51" borderId="1" xfId="0" applyFont="1" applyFill="1" applyBorder="1"/>
    <xf numFmtId="167" fontId="9" fillId="51" borderId="1" xfId="515" applyNumberFormat="1" applyFont="1" applyFill="1" applyBorder="1" applyAlignment="1">
      <alignment horizontal="center"/>
    </xf>
    <xf numFmtId="9" fontId="9" fillId="51" borderId="1" xfId="732" applyFont="1" applyFill="1" applyBorder="1" applyAlignment="1">
      <alignment horizontal="center"/>
    </xf>
    <xf numFmtId="167" fontId="9" fillId="51" borderId="1" xfId="515" applyNumberFormat="1" applyFont="1" applyFill="1" applyBorder="1"/>
    <xf numFmtId="0" fontId="9" fillId="51" borderId="1" xfId="0" applyFont="1" applyFill="1" applyBorder="1" applyAlignment="1"/>
    <xf numFmtId="1" fontId="9" fillId="51" borderId="1" xfId="0" applyNumberFormat="1" applyFont="1" applyFill="1" applyBorder="1" applyAlignment="1">
      <alignment horizontal="center"/>
    </xf>
    <xf numFmtId="167" fontId="9" fillId="51" borderId="0" xfId="515" applyNumberFormat="1" applyFont="1" applyFill="1" applyBorder="1" applyAlignment="1">
      <alignment horizontal="center"/>
    </xf>
    <xf numFmtId="9" fontId="9" fillId="51" borderId="0" xfId="732" applyFont="1" applyFill="1" applyBorder="1" applyAlignment="1">
      <alignment horizontal="center"/>
    </xf>
    <xf numFmtId="0" fontId="9" fillId="51" borderId="0" xfId="0" applyFont="1" applyFill="1" applyBorder="1" applyAlignment="1"/>
    <xf numFmtId="167" fontId="12" fillId="52" borderId="21" xfId="515" applyNumberFormat="1" applyFont="1" applyFill="1" applyBorder="1" applyAlignment="1">
      <alignment horizontal="left" readingOrder="1"/>
    </xf>
    <xf numFmtId="0" fontId="9" fillId="0" borderId="54" xfId="0" applyFont="1" applyBorder="1" applyAlignment="1">
      <alignment horizontal="center" vertical="center" wrapText="1"/>
    </xf>
    <xf numFmtId="0" fontId="15" fillId="0" borderId="17" xfId="0" applyFont="1" applyBorder="1"/>
    <xf numFmtId="0" fontId="5" fillId="51" borderId="52" xfId="0" applyFont="1" applyFill="1" applyBorder="1"/>
    <xf numFmtId="0" fontId="17" fillId="51" borderId="0" xfId="0" applyFont="1" applyFill="1" applyBorder="1"/>
    <xf numFmtId="0" fontId="11" fillId="54" borderId="46" xfId="515" applyNumberFormat="1" applyFont="1" applyFill="1" applyBorder="1" applyAlignment="1">
      <alignment horizontal="left" readingOrder="1"/>
    </xf>
    <xf numFmtId="0" fontId="6" fillId="51" borderId="17" xfId="0" applyFont="1" applyFill="1" applyBorder="1"/>
    <xf numFmtId="167" fontId="9" fillId="0" borderId="17" xfId="515" applyNumberFormat="1" applyFont="1" applyFill="1" applyBorder="1" applyAlignment="1">
      <alignment horizontal="center"/>
    </xf>
    <xf numFmtId="0" fontId="18" fillId="51" borderId="0" xfId="0" applyFont="1" applyFill="1"/>
    <xf numFmtId="0" fontId="18" fillId="0" borderId="0" xfId="0" applyFont="1"/>
    <xf numFmtId="43" fontId="9" fillId="0" borderId="17" xfId="515" applyFont="1" applyBorder="1" applyAlignment="1"/>
    <xf numFmtId="0" fontId="10" fillId="51" borderId="62" xfId="0" applyFont="1" applyFill="1" applyBorder="1" applyAlignment="1">
      <alignment vertical="center"/>
    </xf>
    <xf numFmtId="0" fontId="9" fillId="53" borderId="17" xfId="0" applyFont="1" applyFill="1" applyBorder="1" applyAlignment="1"/>
    <xf numFmtId="43" fontId="9" fillId="0" borderId="17" xfId="515" applyFont="1" applyBorder="1" applyAlignment="1">
      <alignment horizontal="center"/>
    </xf>
    <xf numFmtId="43" fontId="9" fillId="50" borderId="17" xfId="515" applyFont="1" applyFill="1" applyBorder="1" applyAlignment="1">
      <alignment horizontal="center"/>
    </xf>
    <xf numFmtId="43" fontId="9" fillId="0" borderId="17" xfId="515" applyFont="1" applyFill="1" applyBorder="1" applyAlignment="1">
      <alignment horizontal="center"/>
    </xf>
    <xf numFmtId="43" fontId="9" fillId="51" borderId="0" xfId="515" applyFont="1" applyFill="1" applyBorder="1"/>
    <xf numFmtId="43" fontId="9" fillId="51" borderId="1" xfId="515" applyFont="1" applyFill="1" applyBorder="1"/>
    <xf numFmtId="43" fontId="9" fillId="51" borderId="0" xfId="515" applyFont="1" applyFill="1"/>
    <xf numFmtId="43" fontId="13" fillId="51" borderId="0" xfId="515" applyFont="1" applyFill="1"/>
    <xf numFmtId="43" fontId="16" fillId="0" borderId="17" xfId="515" applyFont="1" applyBorder="1" applyAlignment="1">
      <alignment horizontal="center"/>
    </xf>
    <xf numFmtId="43" fontId="9" fillId="51" borderId="1" xfId="515" applyFont="1" applyFill="1" applyBorder="1" applyAlignment="1">
      <alignment horizontal="center"/>
    </xf>
    <xf numFmtId="43" fontId="9" fillId="51" borderId="0" xfId="515" applyFont="1" applyFill="1" applyBorder="1" applyAlignment="1">
      <alignment horizontal="center"/>
    </xf>
    <xf numFmtId="167" fontId="9" fillId="0" borderId="17" xfId="515" applyNumberFormat="1" applyFont="1" applyBorder="1" applyAlignment="1"/>
    <xf numFmtId="167" fontId="16" fillId="0" borderId="17" xfId="515" applyNumberFormat="1" applyFont="1" applyBorder="1" applyAlignment="1">
      <alignment horizontal="center"/>
    </xf>
    <xf numFmtId="9" fontId="16" fillId="0" borderId="17" xfId="732" applyFont="1" applyBorder="1" applyAlignment="1">
      <alignment horizontal="center"/>
    </xf>
    <xf numFmtId="0" fontId="16" fillId="53" borderId="17" xfId="0" applyFont="1" applyFill="1" applyBorder="1" applyAlignment="1"/>
    <xf numFmtId="0" fontId="10" fillId="53" borderId="17" xfId="0" applyFont="1" applyFill="1" applyBorder="1" applyAlignment="1"/>
    <xf numFmtId="0" fontId="16" fillId="51" borderId="17" xfId="0" applyFont="1" applyFill="1" applyBorder="1"/>
    <xf numFmtId="0" fontId="16" fillId="49" borderId="17" xfId="0" applyFont="1" applyFill="1" applyBorder="1"/>
    <xf numFmtId="43" fontId="12" fillId="52" borderId="20" xfId="515" applyFont="1" applyFill="1" applyBorder="1" applyAlignment="1">
      <alignment horizontal="left" readingOrder="1"/>
    </xf>
    <xf numFmtId="43" fontId="12" fillId="52" borderId="36" xfId="515" applyFont="1" applyFill="1" applyBorder="1" applyAlignment="1">
      <alignment horizontal="left" readingOrder="1"/>
    </xf>
    <xf numFmtId="43" fontId="11" fillId="0" borderId="20" xfId="515" applyFont="1" applyFill="1" applyBorder="1" applyAlignment="1">
      <alignment horizontal="center" vertical="center"/>
    </xf>
    <xf numFmtId="43" fontId="11" fillId="0" borderId="36" xfId="515" applyFont="1" applyFill="1" applyBorder="1" applyAlignment="1">
      <alignment horizontal="center" vertical="center"/>
    </xf>
    <xf numFmtId="43" fontId="12" fillId="0" borderId="52" xfId="515" applyFont="1" applyBorder="1"/>
    <xf numFmtId="43" fontId="12" fillId="0" borderId="53" xfId="515" applyFont="1" applyBorder="1"/>
    <xf numFmtId="43" fontId="12" fillId="0" borderId="20" xfId="515" applyFont="1" applyBorder="1" applyAlignment="1">
      <alignment horizontal="left" readingOrder="1"/>
    </xf>
    <xf numFmtId="43" fontId="12" fillId="0" borderId="36" xfId="515" applyFont="1" applyBorder="1" applyAlignment="1">
      <alignment horizontal="left" readingOrder="1"/>
    </xf>
    <xf numFmtId="43" fontId="0" fillId="0" borderId="0" xfId="515" applyFont="1"/>
    <xf numFmtId="43" fontId="12" fillId="0" borderId="52" xfId="515" applyFont="1" applyBorder="1" applyAlignment="1">
      <alignment horizontal="left" readingOrder="1"/>
    </xf>
    <xf numFmtId="43" fontId="12" fillId="0" borderId="53" xfId="515" applyFont="1" applyBorder="1" applyAlignment="1">
      <alignment horizontal="left" readingOrder="1"/>
    </xf>
    <xf numFmtId="43" fontId="16" fillId="0" borderId="17" xfId="515" applyFont="1" applyBorder="1"/>
    <xf numFmtId="167" fontId="16" fillId="0" borderId="17" xfId="515" applyNumberFormat="1" applyFont="1" applyBorder="1"/>
    <xf numFmtId="167" fontId="0" fillId="51" borderId="0" xfId="0" applyNumberFormat="1" applyFill="1"/>
    <xf numFmtId="0" fontId="16" fillId="55" borderId="0" xfId="0" applyFont="1" applyFill="1" applyBorder="1"/>
    <xf numFmtId="167" fontId="16" fillId="49" borderId="17" xfId="515" applyNumberFormat="1" applyFont="1" applyFill="1" applyBorder="1" applyAlignment="1" applyProtection="1">
      <alignment horizontal="center"/>
      <protection locked="0"/>
    </xf>
    <xf numFmtId="43" fontId="16" fillId="49" borderId="17" xfId="515" applyFont="1" applyFill="1" applyBorder="1" applyAlignment="1" applyProtection="1">
      <alignment horizontal="center"/>
      <protection locked="0"/>
    </xf>
    <xf numFmtId="167" fontId="12" fillId="49" borderId="17" xfId="515" applyNumberFormat="1" applyFont="1" applyFill="1" applyBorder="1" applyAlignment="1" applyProtection="1">
      <alignment horizontal="left" readingOrder="1"/>
      <protection locked="0"/>
    </xf>
    <xf numFmtId="167" fontId="10" fillId="51" borderId="0" xfId="515" applyNumberFormat="1" applyFont="1" applyFill="1" applyBorder="1" applyAlignment="1">
      <alignment vertical="center"/>
    </xf>
    <xf numFmtId="0" fontId="11" fillId="54" borderId="64" xfId="0" applyFont="1" applyFill="1" applyBorder="1" applyAlignment="1">
      <alignment horizontal="left" vertical="center"/>
    </xf>
    <xf numFmtId="0" fontId="12" fillId="0" borderId="65" xfId="0" applyFont="1" applyBorder="1"/>
    <xf numFmtId="0" fontId="11" fillId="0" borderId="65" xfId="0" applyFont="1" applyFill="1" applyBorder="1" applyAlignment="1">
      <alignment horizontal="left" vertical="center"/>
    </xf>
    <xf numFmtId="0" fontId="12" fillId="0" borderId="22" xfId="0" applyFont="1" applyBorder="1"/>
    <xf numFmtId="167" fontId="12" fillId="0" borderId="66" xfId="0" applyNumberFormat="1" applyFont="1" applyBorder="1"/>
    <xf numFmtId="0" fontId="11" fillId="54" borderId="67" xfId="0" applyFont="1" applyFill="1" applyBorder="1" applyAlignment="1">
      <alignment horizontal="center" vertical="center"/>
    </xf>
    <xf numFmtId="0" fontId="11" fillId="54" borderId="64" xfId="0" applyFont="1" applyFill="1" applyBorder="1" applyAlignment="1">
      <alignment horizontal="center" vertical="center"/>
    </xf>
    <xf numFmtId="17" fontId="11" fillId="54" borderId="42" xfId="0" applyNumberFormat="1" applyFont="1" applyFill="1" applyBorder="1" applyAlignment="1">
      <alignment horizontal="center" vertical="center" wrapText="1"/>
    </xf>
    <xf numFmtId="0" fontId="10" fillId="56" borderId="17" xfId="0" applyFont="1" applyFill="1" applyBorder="1"/>
    <xf numFmtId="167" fontId="9" fillId="56" borderId="17" xfId="515" applyNumberFormat="1" applyFont="1" applyFill="1" applyBorder="1" applyAlignment="1">
      <alignment horizontal="center"/>
    </xf>
    <xf numFmtId="9" fontId="9" fillId="56" borderId="17" xfId="732" applyFont="1" applyFill="1" applyBorder="1" applyAlignment="1">
      <alignment horizontal="center"/>
    </xf>
    <xf numFmtId="0" fontId="10" fillId="0" borderId="17" xfId="0" applyFont="1" applyFill="1" applyBorder="1"/>
    <xf numFmtId="9" fontId="9" fillId="0" borderId="17" xfId="732" applyFont="1" applyFill="1" applyBorder="1" applyAlignment="1">
      <alignment horizontal="center"/>
    </xf>
    <xf numFmtId="43" fontId="9" fillId="56" borderId="17" xfId="515" applyFont="1" applyFill="1" applyBorder="1" applyAlignment="1">
      <alignment horizontal="center"/>
    </xf>
    <xf numFmtId="0" fontId="12" fillId="0" borderId="39" xfId="0" applyFont="1" applyFill="1" applyBorder="1"/>
    <xf numFmtId="43" fontId="12" fillId="0" borderId="22" xfId="0" applyNumberFormat="1" applyFont="1" applyBorder="1"/>
    <xf numFmtId="167" fontId="11" fillId="54" borderId="68" xfId="515" applyNumberFormat="1" applyFont="1" applyFill="1" applyBorder="1" applyAlignment="1">
      <alignment horizontal="left" readingOrder="1"/>
    </xf>
    <xf numFmtId="167" fontId="12" fillId="0" borderId="69" xfId="0" applyNumberFormat="1" applyFont="1" applyBorder="1"/>
    <xf numFmtId="167" fontId="12" fillId="0" borderId="65" xfId="0" applyNumberFormat="1" applyFont="1" applyBorder="1"/>
    <xf numFmtId="9" fontId="12" fillId="0" borderId="65" xfId="732" applyFont="1" applyBorder="1" applyAlignment="1">
      <alignment horizontal="center"/>
    </xf>
    <xf numFmtId="9" fontId="12" fillId="0" borderId="66" xfId="732" applyFont="1" applyBorder="1" applyAlignment="1">
      <alignment horizontal="center"/>
    </xf>
    <xf numFmtId="9" fontId="12" fillId="0" borderId="69" xfId="732" applyFont="1" applyBorder="1" applyAlignment="1">
      <alignment horizontal="center"/>
    </xf>
    <xf numFmtId="9" fontId="11" fillId="54" borderId="68" xfId="732" applyFont="1" applyFill="1" applyBorder="1" applyAlignment="1">
      <alignment horizontal="center"/>
    </xf>
    <xf numFmtId="9" fontId="12" fillId="0" borderId="22" xfId="732" applyFont="1" applyBorder="1" applyAlignment="1">
      <alignment horizontal="center"/>
    </xf>
    <xf numFmtId="9" fontId="11" fillId="54" borderId="68" xfId="732" applyFont="1" applyFill="1" applyBorder="1" applyAlignment="1">
      <alignment horizontal="center" readingOrder="1"/>
    </xf>
    <xf numFmtId="167" fontId="12" fillId="57" borderId="65" xfId="0" applyNumberFormat="1" applyFont="1" applyFill="1" applyBorder="1"/>
    <xf numFmtId="167" fontId="12" fillId="57" borderId="66" xfId="0" applyNumberFormat="1" applyFont="1" applyFill="1" applyBorder="1"/>
    <xf numFmtId="167" fontId="12" fillId="57" borderId="69" xfId="0" applyNumberFormat="1" applyFont="1" applyFill="1" applyBorder="1"/>
    <xf numFmtId="167" fontId="11" fillId="57" borderId="68" xfId="515" applyNumberFormat="1" applyFont="1" applyFill="1" applyBorder="1" applyAlignment="1">
      <alignment horizontal="left" readingOrder="1"/>
    </xf>
    <xf numFmtId="0" fontId="7" fillId="0" borderId="39" xfId="0" applyFont="1" applyBorder="1"/>
    <xf numFmtId="43" fontId="11" fillId="54" borderId="70" xfId="515" applyFont="1" applyFill="1" applyBorder="1" applyAlignment="1">
      <alignment horizontal="left" readingOrder="1"/>
    </xf>
    <xf numFmtId="0" fontId="0" fillId="51" borderId="27" xfId="0" applyFill="1" applyBorder="1"/>
    <xf numFmtId="0" fontId="5" fillId="51" borderId="28" xfId="0" applyFont="1" applyFill="1" applyBorder="1"/>
    <xf numFmtId="0" fontId="11" fillId="54" borderId="33" xfId="515" applyNumberFormat="1" applyFont="1" applyFill="1" applyBorder="1" applyAlignment="1">
      <alignment horizontal="left" readingOrder="1"/>
    </xf>
    <xf numFmtId="167" fontId="11" fillId="54" borderId="30" xfId="515" applyNumberFormat="1" applyFont="1" applyFill="1" applyBorder="1" applyAlignment="1">
      <alignment horizontal="left" readingOrder="1"/>
    </xf>
    <xf numFmtId="9" fontId="11" fillId="54" borderId="34" xfId="732" applyFont="1" applyFill="1" applyBorder="1" applyAlignment="1">
      <alignment horizontal="center"/>
    </xf>
    <xf numFmtId="9" fontId="11" fillId="54" borderId="34" xfId="732" applyFont="1" applyFill="1" applyBorder="1" applyAlignment="1">
      <alignment horizontal="left" readingOrder="1"/>
    </xf>
    <xf numFmtId="167" fontId="11" fillId="54" borderId="31" xfId="515" applyNumberFormat="1" applyFont="1" applyFill="1" applyBorder="1" applyAlignment="1">
      <alignment horizontal="left" readingOrder="1"/>
    </xf>
    <xf numFmtId="43" fontId="11" fillId="54" borderId="31" xfId="515" applyFont="1" applyFill="1" applyBorder="1" applyAlignment="1">
      <alignment horizontal="left" readingOrder="1"/>
    </xf>
    <xf numFmtId="43" fontId="11" fillId="54" borderId="32" xfId="515" applyFont="1" applyFill="1" applyBorder="1" applyAlignment="1">
      <alignment horizontal="left" readingOrder="1"/>
    </xf>
    <xf numFmtId="43" fontId="11" fillId="54" borderId="71" xfId="515" applyFont="1" applyFill="1" applyBorder="1" applyAlignment="1">
      <alignment horizontal="left" readingOrder="1"/>
    </xf>
    <xf numFmtId="0" fontId="6" fillId="51" borderId="27" xfId="0" applyFont="1" applyFill="1" applyBorder="1"/>
    <xf numFmtId="0" fontId="12" fillId="0" borderId="33" xfId="0" applyFont="1" applyBorder="1"/>
    <xf numFmtId="0" fontId="12" fillId="0" borderId="34" xfId="0" applyFont="1" applyBorder="1"/>
    <xf numFmtId="9" fontId="12" fillId="0" borderId="34" xfId="732" applyFont="1" applyBorder="1" applyAlignment="1">
      <alignment horizontal="center"/>
    </xf>
    <xf numFmtId="167" fontId="12" fillId="0" borderId="30" xfId="515" applyNumberFormat="1" applyFont="1" applyBorder="1" applyAlignment="1">
      <alignment horizontal="left" readingOrder="1"/>
    </xf>
    <xf numFmtId="167" fontId="12" fillId="0" borderId="31" xfId="515" applyNumberFormat="1" applyFont="1" applyBorder="1" applyAlignment="1">
      <alignment horizontal="left" readingOrder="1"/>
    </xf>
    <xf numFmtId="43" fontId="12" fillId="0" borderId="31" xfId="515" applyFont="1" applyBorder="1" applyAlignment="1">
      <alignment horizontal="left" readingOrder="1"/>
    </xf>
    <xf numFmtId="43" fontId="12" fillId="0" borderId="32" xfId="515" applyFont="1" applyBorder="1" applyAlignment="1">
      <alignment horizontal="left" readingOrder="1"/>
    </xf>
    <xf numFmtId="0" fontId="7" fillId="0" borderId="24" xfId="0" applyFont="1" applyBorder="1"/>
    <xf numFmtId="0" fontId="6" fillId="51" borderId="27" xfId="611" applyFill="1" applyBorder="1"/>
    <xf numFmtId="167" fontId="6" fillId="51" borderId="0" xfId="611" applyNumberFormat="1" applyFill="1" applyBorder="1"/>
    <xf numFmtId="0" fontId="6" fillId="0" borderId="0" xfId="611" applyBorder="1"/>
    <xf numFmtId="0" fontId="6" fillId="0" borderId="0" xfId="611" applyFill="1" applyBorder="1"/>
    <xf numFmtId="0" fontId="6" fillId="0" borderId="72" xfId="611" applyBorder="1"/>
    <xf numFmtId="0" fontId="6" fillId="51" borderId="0" xfId="611" applyFill="1" applyBorder="1"/>
    <xf numFmtId="0" fontId="6" fillId="51" borderId="29" xfId="611" applyFill="1" applyBorder="1"/>
    <xf numFmtId="0" fontId="6" fillId="0" borderId="29" xfId="611" applyBorder="1"/>
    <xf numFmtId="0" fontId="6" fillId="0" borderId="73" xfId="611" applyBorder="1"/>
    <xf numFmtId="0" fontId="6" fillId="51" borderId="22" xfId="611" applyFill="1" applyBorder="1"/>
    <xf numFmtId="0" fontId="6" fillId="51" borderId="22" xfId="611" applyFont="1" applyFill="1" applyBorder="1"/>
    <xf numFmtId="0" fontId="6" fillId="51" borderId="34" xfId="611" applyFill="1" applyBorder="1"/>
    <xf numFmtId="0" fontId="7" fillId="0" borderId="28" xfId="611" applyFont="1" applyFill="1" applyBorder="1"/>
    <xf numFmtId="167" fontId="6" fillId="51" borderId="27" xfId="611" applyNumberFormat="1" applyFill="1" applyBorder="1"/>
    <xf numFmtId="0" fontId="6" fillId="0" borderId="27" xfId="611" applyFill="1" applyBorder="1"/>
    <xf numFmtId="0" fontId="6" fillId="0" borderId="74" xfId="611" applyFill="1" applyBorder="1"/>
    <xf numFmtId="167" fontId="6" fillId="0" borderId="0" xfId="611" applyNumberFormat="1" applyBorder="1"/>
    <xf numFmtId="0" fontId="5" fillId="51" borderId="22" xfId="611" applyFont="1" applyFill="1" applyBorder="1"/>
    <xf numFmtId="43" fontId="0" fillId="51" borderId="0" xfId="0" applyNumberFormat="1" applyFill="1"/>
    <xf numFmtId="43" fontId="7" fillId="52" borderId="20" xfId="515" applyFont="1" applyFill="1" applyBorder="1" applyAlignment="1">
      <alignment horizontal="left" readingOrder="1"/>
    </xf>
    <xf numFmtId="167" fontId="0" fillId="0" borderId="0" xfId="0" applyNumberFormat="1"/>
    <xf numFmtId="167" fontId="7" fillId="49" borderId="17" xfId="520" applyNumberFormat="1" applyFont="1" applyFill="1" applyBorder="1" applyAlignment="1" applyProtection="1">
      <alignment horizontal="left" readingOrder="1"/>
      <protection locked="0"/>
    </xf>
    <xf numFmtId="1" fontId="0" fillId="0" borderId="0" xfId="0" applyNumberFormat="1"/>
    <xf numFmtId="43" fontId="0" fillId="0" borderId="0" xfId="0" applyNumberFormat="1"/>
    <xf numFmtId="167" fontId="11" fillId="0" borderId="25" xfId="0" applyNumberFormat="1" applyFont="1" applyFill="1" applyBorder="1" applyAlignment="1">
      <alignment horizontal="center" vertical="center"/>
    </xf>
    <xf numFmtId="167" fontId="12" fillId="0" borderId="51" xfId="0" applyNumberFormat="1" applyFont="1" applyBorder="1"/>
    <xf numFmtId="167" fontId="7" fillId="52" borderId="25" xfId="515" applyNumberFormat="1" applyFont="1" applyFill="1" applyBorder="1" applyAlignment="1">
      <alignment horizontal="left" readingOrder="1"/>
    </xf>
    <xf numFmtId="167" fontId="7" fillId="52" borderId="20" xfId="515" applyNumberFormat="1" applyFont="1" applyFill="1" applyBorder="1" applyAlignment="1">
      <alignment horizontal="left" readingOrder="1"/>
    </xf>
    <xf numFmtId="43" fontId="7" fillId="52" borderId="36" xfId="515" applyFont="1" applyFill="1" applyBorder="1" applyAlignment="1">
      <alignment horizontal="left" readingOrder="1"/>
    </xf>
    <xf numFmtId="167" fontId="7" fillId="52" borderId="26" xfId="515" applyNumberFormat="1" applyFont="1" applyFill="1" applyBorder="1" applyAlignment="1">
      <alignment horizontal="left" readingOrder="1"/>
    </xf>
    <xf numFmtId="167" fontId="7" fillId="52" borderId="17" xfId="515" applyNumberFormat="1" applyFont="1" applyFill="1" applyBorder="1" applyAlignment="1">
      <alignment horizontal="left" readingOrder="1"/>
    </xf>
    <xf numFmtId="167" fontId="7" fillId="58" borderId="17" xfId="515" applyNumberFormat="1" applyFont="1" applyFill="1" applyBorder="1" applyAlignment="1">
      <alignment horizontal="left" readingOrder="1"/>
    </xf>
    <xf numFmtId="43" fontId="7" fillId="58" borderId="36" xfId="515" applyFont="1" applyFill="1" applyBorder="1" applyAlignment="1">
      <alignment horizontal="left" readingOrder="1"/>
    </xf>
    <xf numFmtId="167" fontId="7" fillId="58" borderId="26" xfId="515" applyNumberFormat="1" applyFont="1" applyFill="1" applyBorder="1" applyAlignment="1">
      <alignment horizontal="left" readingOrder="1"/>
    </xf>
    <xf numFmtId="43" fontId="7" fillId="58" borderId="20" xfId="515" applyFont="1" applyFill="1" applyBorder="1" applyAlignment="1">
      <alignment horizontal="left" readingOrder="1"/>
    </xf>
    <xf numFmtId="167" fontId="7" fillId="52" borderId="21" xfId="515" applyNumberFormat="1" applyFont="1" applyFill="1" applyBorder="1" applyAlignment="1">
      <alignment horizontal="left" readingOrder="1"/>
    </xf>
    <xf numFmtId="167" fontId="7" fillId="52" borderId="19" xfId="515" applyNumberFormat="1" applyFont="1" applyFill="1" applyBorder="1" applyAlignment="1">
      <alignment horizontal="left" readingOrder="1"/>
    </xf>
    <xf numFmtId="167" fontId="7" fillId="0" borderId="51" xfId="0" applyNumberFormat="1" applyFont="1" applyBorder="1"/>
    <xf numFmtId="0" fontId="7" fillId="0" borderId="52" xfId="0" applyFont="1" applyBorder="1"/>
    <xf numFmtId="43" fontId="7" fillId="0" borderId="52" xfId="515" applyFont="1" applyBorder="1"/>
    <xf numFmtId="43" fontId="7" fillId="0" borderId="53" xfId="515" applyFont="1" applyBorder="1"/>
    <xf numFmtId="167" fontId="7" fillId="0" borderId="25" xfId="515" applyNumberFormat="1" applyFont="1" applyBorder="1" applyAlignment="1">
      <alignment horizontal="left" readingOrder="1"/>
    </xf>
    <xf numFmtId="167" fontId="7" fillId="0" borderId="20" xfId="515" applyNumberFormat="1" applyFont="1" applyBorder="1" applyAlignment="1">
      <alignment horizontal="left" readingOrder="1"/>
    </xf>
    <xf numFmtId="43" fontId="7" fillId="0" borderId="20" xfId="515" applyFont="1" applyBorder="1" applyAlignment="1">
      <alignment horizontal="left" readingOrder="1"/>
    </xf>
    <xf numFmtId="43" fontId="7" fillId="0" borderId="36" xfId="515" applyFont="1" applyBorder="1" applyAlignment="1">
      <alignment horizontal="left" readingOrder="1"/>
    </xf>
    <xf numFmtId="167" fontId="7" fillId="0" borderId="51" xfId="515" applyNumberFormat="1" applyFont="1" applyBorder="1" applyAlignment="1">
      <alignment horizontal="left" readingOrder="1"/>
    </xf>
    <xf numFmtId="167" fontId="7" fillId="0" borderId="52" xfId="515" applyNumberFormat="1" applyFont="1" applyBorder="1" applyAlignment="1">
      <alignment horizontal="left" readingOrder="1"/>
    </xf>
    <xf numFmtId="43" fontId="7" fillId="0" borderId="52" xfId="515" applyFont="1" applyBorder="1" applyAlignment="1">
      <alignment horizontal="left" readingOrder="1"/>
    </xf>
    <xf numFmtId="43" fontId="7" fillId="0" borderId="53" xfId="515" applyFont="1" applyBorder="1" applyAlignment="1">
      <alignment horizontal="left" readingOrder="1"/>
    </xf>
    <xf numFmtId="167" fontId="7" fillId="0" borderId="30" xfId="515" applyNumberFormat="1" applyFont="1" applyBorder="1" applyAlignment="1">
      <alignment horizontal="left" readingOrder="1"/>
    </xf>
    <xf numFmtId="167" fontId="7" fillId="0" borderId="31" xfId="515" applyNumberFormat="1" applyFont="1" applyBorder="1" applyAlignment="1">
      <alignment horizontal="left" readingOrder="1"/>
    </xf>
    <xf numFmtId="43" fontId="7" fillId="0" borderId="31" xfId="515" applyFont="1" applyBorder="1" applyAlignment="1">
      <alignment horizontal="left" readingOrder="1"/>
    </xf>
    <xf numFmtId="43" fontId="7" fillId="0" borderId="32" xfId="515" applyFont="1" applyBorder="1" applyAlignment="1">
      <alignment horizontal="left" readingOrder="1"/>
    </xf>
    <xf numFmtId="167" fontId="7" fillId="51" borderId="0" xfId="515" applyNumberFormat="1" applyFont="1" applyFill="1" applyBorder="1" applyAlignment="1">
      <alignment horizontal="left" readingOrder="1"/>
    </xf>
    <xf numFmtId="43" fontId="7" fillId="51" borderId="0" xfId="515" applyFont="1" applyFill="1" applyBorder="1" applyAlignment="1">
      <alignment horizontal="left" readingOrder="1"/>
    </xf>
    <xf numFmtId="2" fontId="0" fillId="51" borderId="0" xfId="0" applyNumberFormat="1" applyFill="1"/>
    <xf numFmtId="171" fontId="12" fillId="0" borderId="32" xfId="515" applyNumberFormat="1" applyFont="1" applyBorder="1" applyAlignment="1">
      <alignment horizontal="left" readingOrder="1"/>
    </xf>
    <xf numFmtId="0" fontId="5" fillId="0" borderId="61" xfId="0" applyFont="1" applyBorder="1"/>
    <xf numFmtId="0" fontId="5" fillId="0" borderId="56" xfId="0" applyFont="1" applyBorder="1"/>
    <xf numFmtId="167" fontId="0" fillId="0" borderId="61" xfId="0" applyNumberFormat="1" applyBorder="1"/>
    <xf numFmtId="43" fontId="0" fillId="0" borderId="56" xfId="0" applyNumberFormat="1" applyBorder="1"/>
    <xf numFmtId="0" fontId="0" fillId="0" borderId="61" xfId="0" applyBorder="1"/>
    <xf numFmtId="0" fontId="0" fillId="0" borderId="56" xfId="0" applyBorder="1"/>
    <xf numFmtId="43" fontId="0" fillId="58" borderId="44" xfId="0" applyNumberFormat="1" applyFill="1" applyBorder="1"/>
    <xf numFmtId="43" fontId="0" fillId="0" borderId="44" xfId="0" applyNumberFormat="1" applyBorder="1"/>
    <xf numFmtId="43" fontId="0" fillId="0" borderId="0" xfId="0" applyNumberFormat="1" applyBorder="1"/>
    <xf numFmtId="167" fontId="0" fillId="0" borderId="56" xfId="0" applyNumberFormat="1" applyBorder="1"/>
    <xf numFmtId="0" fontId="0" fillId="0" borderId="44" xfId="0" applyBorder="1"/>
    <xf numFmtId="0" fontId="5" fillId="0" borderId="0" xfId="0" applyFont="1" applyBorder="1" applyAlignment="1">
      <alignment horizontal="center"/>
    </xf>
    <xf numFmtId="167" fontId="0" fillId="0" borderId="0" xfId="0" applyNumberFormat="1" applyBorder="1"/>
    <xf numFmtId="0" fontId="0" fillId="0" borderId="0" xfId="0" applyBorder="1"/>
    <xf numFmtId="167" fontId="0" fillId="0" borderId="35" xfId="0" applyNumberFormat="1" applyBorder="1"/>
    <xf numFmtId="43" fontId="0" fillId="0" borderId="52" xfId="0" applyNumberFormat="1" applyBorder="1"/>
    <xf numFmtId="0" fontId="12" fillId="0" borderId="17" xfId="0" applyFont="1" applyBorder="1"/>
    <xf numFmtId="43" fontId="12" fillId="52" borderId="25" xfId="515" applyFont="1" applyFill="1" applyBorder="1" applyAlignment="1">
      <alignment horizontal="left" readingOrder="1"/>
    </xf>
    <xf numFmtId="0" fontId="5" fillId="51" borderId="0" xfId="611" applyFont="1" applyFill="1" applyBorder="1"/>
    <xf numFmtId="43" fontId="12" fillId="52" borderId="17" xfId="515" applyFont="1" applyFill="1" applyBorder="1" applyAlignment="1">
      <alignment horizontal="left" readingOrder="1"/>
    </xf>
    <xf numFmtId="43" fontId="12" fillId="52" borderId="38" xfId="515" applyFont="1" applyFill="1" applyBorder="1" applyAlignment="1">
      <alignment horizontal="left" readingOrder="1"/>
    </xf>
    <xf numFmtId="43" fontId="10" fillId="51" borderId="0" xfId="515" applyFont="1" applyFill="1"/>
    <xf numFmtId="0" fontId="18" fillId="0" borderId="0" xfId="0" applyFont="1" applyFill="1"/>
    <xf numFmtId="0" fontId="15" fillId="0" borderId="17" xfId="0" applyFont="1" applyFill="1" applyBorder="1"/>
    <xf numFmtId="167" fontId="11" fillId="54" borderId="64" xfId="515" applyNumberFormat="1" applyFont="1" applyFill="1" applyBorder="1" applyAlignment="1">
      <alignment horizontal="center" vertical="center"/>
    </xf>
    <xf numFmtId="167" fontId="11" fillId="54" borderId="67" xfId="515" applyNumberFormat="1" applyFont="1" applyFill="1" applyBorder="1" applyAlignment="1">
      <alignment horizontal="center" vertical="center"/>
    </xf>
    <xf numFmtId="167" fontId="12" fillId="0" borderId="65" xfId="515" applyNumberFormat="1" applyFont="1" applyBorder="1"/>
    <xf numFmtId="167" fontId="0" fillId="51" borderId="0" xfId="515" applyNumberFormat="1" applyFont="1" applyFill="1"/>
    <xf numFmtId="167" fontId="0" fillId="0" borderId="0" xfId="515" applyNumberFormat="1" applyFont="1"/>
    <xf numFmtId="9" fontId="11" fillId="54" borderId="42" xfId="732" applyFont="1" applyFill="1" applyBorder="1" applyAlignment="1">
      <alignment horizontal="center" vertical="center" wrapText="1"/>
    </xf>
    <xf numFmtId="9" fontId="11" fillId="54" borderId="63" xfId="732" applyFont="1" applyFill="1" applyBorder="1" applyAlignment="1">
      <alignment horizontal="right" vertical="center"/>
    </xf>
    <xf numFmtId="0" fontId="13" fillId="51" borderId="17" xfId="0" applyFont="1" applyFill="1" applyBorder="1"/>
    <xf numFmtId="0" fontId="18" fillId="51" borderId="17" xfId="0" applyFont="1" applyFill="1" applyBorder="1"/>
    <xf numFmtId="0" fontId="18" fillId="0" borderId="17" xfId="0" applyFont="1" applyFill="1" applyBorder="1"/>
    <xf numFmtId="0" fontId="18" fillId="51" borderId="0" xfId="0" applyFont="1" applyFill="1" applyBorder="1"/>
    <xf numFmtId="0" fontId="18" fillId="0" borderId="0" xfId="0" applyFont="1" applyFill="1" applyBorder="1"/>
    <xf numFmtId="0" fontId="13" fillId="51" borderId="17" xfId="0" applyFont="1" applyFill="1" applyBorder="1" applyAlignment="1">
      <alignment wrapText="1"/>
    </xf>
    <xf numFmtId="43" fontId="11" fillId="54" borderId="75" xfId="515" applyFont="1" applyFill="1" applyBorder="1" applyAlignment="1">
      <alignment horizontal="left" readingOrder="1"/>
    </xf>
    <xf numFmtId="43" fontId="11" fillId="54" borderId="68" xfId="515" applyFont="1" applyFill="1" applyBorder="1" applyAlignment="1">
      <alignment horizontal="left" readingOrder="1"/>
    </xf>
    <xf numFmtId="167" fontId="12" fillId="0" borderId="44" xfId="515" applyNumberFormat="1" applyFont="1" applyBorder="1" applyAlignment="1">
      <alignment horizontal="left" readingOrder="1"/>
    </xf>
    <xf numFmtId="167" fontId="12" fillId="0" borderId="56" xfId="515" applyNumberFormat="1" applyFont="1" applyBorder="1" applyAlignment="1">
      <alignment horizontal="left" readingOrder="1"/>
    </xf>
    <xf numFmtId="167" fontId="12" fillId="0" borderId="78" xfId="515" applyNumberFormat="1" applyFont="1" applyBorder="1" applyAlignment="1">
      <alignment horizontal="left" readingOrder="1"/>
    </xf>
    <xf numFmtId="167" fontId="0" fillId="0" borderId="0" xfId="0" applyNumberFormat="1" applyFill="1" applyBorder="1"/>
    <xf numFmtId="43" fontId="18" fillId="51" borderId="17" xfId="0" applyNumberFormat="1" applyFont="1" applyFill="1" applyBorder="1"/>
    <xf numFmtId="167" fontId="18" fillId="51" borderId="17" xfId="0" applyNumberFormat="1" applyFont="1" applyFill="1" applyBorder="1"/>
    <xf numFmtId="0" fontId="6" fillId="51" borderId="22" xfId="611" applyFill="1" applyBorder="1" applyAlignment="1">
      <alignment horizontal="left"/>
    </xf>
    <xf numFmtId="43" fontId="11" fillId="54" borderId="46" xfId="515" applyFont="1" applyFill="1" applyBorder="1" applyAlignment="1">
      <alignment horizontal="left" readingOrder="1"/>
    </xf>
    <xf numFmtId="0" fontId="4" fillId="51" borderId="22" xfId="611" applyFont="1" applyFill="1" applyBorder="1" applyAlignment="1">
      <alignment horizontal="left"/>
    </xf>
    <xf numFmtId="0" fontId="7" fillId="0" borderId="80" xfId="0" applyFont="1" applyBorder="1"/>
    <xf numFmtId="0" fontId="7" fillId="0" borderId="39" xfId="0" applyFont="1" applyFill="1" applyBorder="1"/>
    <xf numFmtId="43" fontId="11" fillId="54" borderId="49" xfId="515" applyNumberFormat="1" applyFont="1" applyFill="1" applyBorder="1" applyAlignment="1">
      <alignment horizontal="left" readingOrder="1"/>
    </xf>
    <xf numFmtId="0" fontId="4" fillId="0" borderId="0" xfId="0" applyFont="1"/>
    <xf numFmtId="0" fontId="68" fillId="0" borderId="0" xfId="0" applyFont="1"/>
    <xf numFmtId="43" fontId="68" fillId="0" borderId="0" xfId="515" applyFont="1"/>
    <xf numFmtId="43" fontId="68" fillId="0" borderId="0" xfId="515" applyFont="1" applyAlignment="1">
      <alignment horizontal="right"/>
    </xf>
    <xf numFmtId="43" fontId="69" fillId="0" borderId="0" xfId="515" applyFont="1" applyAlignment="1">
      <alignment horizontal="left"/>
    </xf>
    <xf numFmtId="43" fontId="69" fillId="0" borderId="0" xfId="515" applyFont="1"/>
    <xf numFmtId="167" fontId="68" fillId="0" borderId="0" xfId="515" applyNumberFormat="1" applyFont="1" applyAlignment="1">
      <alignment horizontal="right"/>
    </xf>
    <xf numFmtId="43" fontId="70" fillId="0" borderId="0" xfId="515" applyFont="1" applyAlignment="1">
      <alignment horizontal="right"/>
    </xf>
    <xf numFmtId="43" fontId="71" fillId="0" borderId="0" xfId="515" applyFont="1" applyAlignment="1">
      <alignment horizontal="right"/>
    </xf>
    <xf numFmtId="0" fontId="72" fillId="0" borderId="0" xfId="0" applyFont="1"/>
    <xf numFmtId="167" fontId="70" fillId="0" borderId="0" xfId="515" applyNumberFormat="1" applyFont="1" applyAlignment="1">
      <alignment horizontal="right"/>
    </xf>
    <xf numFmtId="167" fontId="69" fillId="0" borderId="0" xfId="515" applyNumberFormat="1" applyFont="1" applyAlignment="1">
      <alignment horizontal="right"/>
    </xf>
    <xf numFmtId="167" fontId="69" fillId="0" borderId="62" xfId="515" applyNumberFormat="1" applyFont="1" applyBorder="1" applyAlignment="1">
      <alignment horizontal="right"/>
    </xf>
    <xf numFmtId="167" fontId="68" fillId="0" borderId="0" xfId="515" applyNumberFormat="1" applyFont="1"/>
    <xf numFmtId="167" fontId="71" fillId="0" borderId="0" xfId="515" applyNumberFormat="1" applyFont="1" applyAlignment="1">
      <alignment horizontal="right"/>
    </xf>
    <xf numFmtId="167" fontId="69" fillId="0" borderId="0" xfId="515" applyNumberFormat="1" applyFont="1"/>
    <xf numFmtId="43" fontId="6" fillId="51" borderId="27" xfId="515" applyFont="1" applyFill="1" applyBorder="1"/>
    <xf numFmtId="167" fontId="68" fillId="0" borderId="19" xfId="904" applyNumberFormat="1" applyFont="1" applyBorder="1"/>
    <xf numFmtId="167" fontId="68" fillId="0" borderId="0" xfId="904" applyNumberFormat="1" applyFont="1" applyBorder="1"/>
    <xf numFmtId="167" fontId="68" fillId="0" borderId="53" xfId="904" applyNumberFormat="1" applyFont="1" applyBorder="1"/>
    <xf numFmtId="167" fontId="68" fillId="0" borderId="51" xfId="904" applyNumberFormat="1" applyFont="1" applyBorder="1"/>
    <xf numFmtId="167" fontId="68" fillId="0" borderId="52" xfId="904" applyNumberFormat="1" applyFont="1" applyBorder="1"/>
    <xf numFmtId="167" fontId="68" fillId="0" borderId="61" xfId="904" applyNumberFormat="1" applyFont="1" applyBorder="1"/>
    <xf numFmtId="167" fontId="68" fillId="0" borderId="72" xfId="904" applyNumberFormat="1" applyFont="1" applyBorder="1"/>
    <xf numFmtId="167" fontId="68" fillId="0" borderId="22" xfId="904" applyNumberFormat="1" applyFont="1" applyBorder="1"/>
    <xf numFmtId="167" fontId="68" fillId="0" borderId="7" xfId="904" applyNumberFormat="1" applyFont="1" applyBorder="1"/>
    <xf numFmtId="167" fontId="68" fillId="0" borderId="29" xfId="904" applyNumberFormat="1" applyFont="1" applyBorder="1"/>
    <xf numFmtId="9" fontId="68" fillId="0" borderId="0" xfId="905" applyFont="1"/>
    <xf numFmtId="0" fontId="71" fillId="0" borderId="0" xfId="903" applyFont="1"/>
    <xf numFmtId="0" fontId="71" fillId="0" borderId="23" xfId="903" applyFont="1" applyBorder="1"/>
    <xf numFmtId="0" fontId="175" fillId="0" borderId="50" xfId="903" applyFont="1" applyBorder="1" applyAlignment="1">
      <alignment horizontal="center"/>
    </xf>
    <xf numFmtId="0" fontId="175" fillId="0" borderId="21" xfId="903" applyFont="1" applyBorder="1" applyAlignment="1">
      <alignment horizontal="center"/>
    </xf>
    <xf numFmtId="0" fontId="175" fillId="0" borderId="19" xfId="903" applyFont="1" applyBorder="1" applyAlignment="1">
      <alignment horizontal="center"/>
    </xf>
    <xf numFmtId="0" fontId="175" fillId="0" borderId="90" xfId="903" applyFont="1" applyBorder="1" applyAlignment="1">
      <alignment horizontal="center"/>
    </xf>
    <xf numFmtId="0" fontId="175" fillId="0" borderId="59" xfId="903" applyFont="1" applyBorder="1" applyAlignment="1">
      <alignment horizontal="center"/>
    </xf>
    <xf numFmtId="0" fontId="175" fillId="0" borderId="58" xfId="903" applyFont="1" applyBorder="1" applyAlignment="1">
      <alignment horizontal="center"/>
    </xf>
    <xf numFmtId="0" fontId="71" fillId="0" borderId="57" xfId="903" applyFont="1" applyBorder="1" applyAlignment="1">
      <alignment horizontal="center"/>
    </xf>
    <xf numFmtId="0" fontId="175" fillId="0" borderId="25" xfId="903" applyFont="1" applyBorder="1" applyAlignment="1">
      <alignment horizontal="center"/>
    </xf>
    <xf numFmtId="0" fontId="175" fillId="0" borderId="20" xfId="903" applyFont="1" applyBorder="1" applyAlignment="1">
      <alignment horizontal="center"/>
    </xf>
    <xf numFmtId="0" fontId="175" fillId="0" borderId="76" xfId="903" applyFont="1" applyBorder="1" applyAlignment="1">
      <alignment horizontal="center"/>
    </xf>
    <xf numFmtId="0" fontId="175" fillId="0" borderId="57" xfId="903" applyFont="1" applyBorder="1" applyAlignment="1">
      <alignment horizontal="center"/>
    </xf>
    <xf numFmtId="0" fontId="175" fillId="0" borderId="35" xfId="903" applyFont="1" applyBorder="1" applyAlignment="1">
      <alignment horizontal="center"/>
    </xf>
    <xf numFmtId="0" fontId="175" fillId="0" borderId="36" xfId="903" applyFont="1" applyBorder="1" applyAlignment="1">
      <alignment horizontal="center"/>
    </xf>
    <xf numFmtId="0" fontId="71" fillId="0" borderId="24" xfId="903" applyFont="1" applyBorder="1"/>
    <xf numFmtId="0" fontId="71" fillId="0" borderId="51" xfId="903" applyFont="1" applyBorder="1"/>
    <xf numFmtId="0" fontId="71" fillId="0" borderId="52" xfId="903" applyFont="1" applyBorder="1"/>
    <xf numFmtId="0" fontId="71" fillId="0" borderId="72" xfId="903" applyFont="1" applyBorder="1"/>
    <xf numFmtId="0" fontId="71" fillId="0" borderId="0" xfId="903" applyFont="1" applyBorder="1"/>
    <xf numFmtId="0" fontId="71" fillId="0" borderId="53" xfId="903" applyFont="1" applyBorder="1"/>
    <xf numFmtId="0" fontId="71" fillId="0" borderId="61" xfId="903" applyFont="1" applyBorder="1"/>
    <xf numFmtId="1" fontId="71" fillId="0" borderId="72" xfId="903" applyNumberFormat="1" applyFont="1" applyBorder="1"/>
    <xf numFmtId="1" fontId="71" fillId="0" borderId="52" xfId="903" applyNumberFormat="1" applyFont="1" applyBorder="1"/>
    <xf numFmtId="0" fontId="71" fillId="0" borderId="22" xfId="903" applyFont="1" applyBorder="1"/>
    <xf numFmtId="167" fontId="71" fillId="0" borderId="0" xfId="903" applyNumberFormat="1" applyFont="1"/>
    <xf numFmtId="1" fontId="71" fillId="0" borderId="0" xfId="903" applyNumberFormat="1" applyFont="1"/>
    <xf numFmtId="1" fontId="71" fillId="0" borderId="0" xfId="903" applyNumberFormat="1" applyFont="1" applyBorder="1"/>
    <xf numFmtId="0" fontId="71" fillId="0" borderId="37" xfId="903" applyFont="1" applyBorder="1"/>
    <xf numFmtId="43" fontId="71" fillId="0" borderId="0" xfId="903" applyNumberFormat="1" applyFont="1"/>
    <xf numFmtId="0" fontId="71" fillId="0" borderId="68" xfId="903" applyFont="1" applyBorder="1"/>
    <xf numFmtId="0" fontId="71" fillId="0" borderId="7" xfId="903" applyFont="1" applyBorder="1"/>
    <xf numFmtId="1" fontId="71" fillId="0" borderId="7" xfId="903" applyNumberFormat="1" applyFont="1" applyBorder="1"/>
    <xf numFmtId="0" fontId="71" fillId="0" borderId="34" xfId="903" applyFont="1" applyBorder="1"/>
    <xf numFmtId="0" fontId="71" fillId="0" borderId="29" xfId="903" applyFont="1" applyBorder="1"/>
    <xf numFmtId="1" fontId="71" fillId="0" borderId="29" xfId="903" applyNumberFormat="1" applyFont="1" applyBorder="1"/>
    <xf numFmtId="167" fontId="176" fillId="91" borderId="34" xfId="904" applyNumberFormat="1" applyFont="1" applyFill="1" applyBorder="1"/>
    <xf numFmtId="167" fontId="176" fillId="91" borderId="68" xfId="904" applyNumberFormat="1" applyFont="1" applyFill="1" applyBorder="1"/>
    <xf numFmtId="43" fontId="176" fillId="91" borderId="68" xfId="904" applyFont="1" applyFill="1" applyBorder="1"/>
    <xf numFmtId="1" fontId="71" fillId="0" borderId="0" xfId="903" applyNumberFormat="1" applyFont="1" applyFill="1" applyBorder="1"/>
    <xf numFmtId="0" fontId="71" fillId="0" borderId="28" xfId="903" applyFont="1" applyBorder="1"/>
    <xf numFmtId="0" fontId="71" fillId="0" borderId="27" xfId="903" applyFont="1" applyBorder="1"/>
    <xf numFmtId="167" fontId="71" fillId="0" borderId="74" xfId="903" applyNumberFormat="1" applyFont="1" applyBorder="1"/>
    <xf numFmtId="167" fontId="71" fillId="0" borderId="73" xfId="903" applyNumberFormat="1" applyFont="1" applyBorder="1"/>
    <xf numFmtId="167" fontId="71" fillId="0" borderId="0" xfId="515" applyNumberFormat="1" applyFont="1"/>
    <xf numFmtId="0" fontId="68" fillId="0" borderId="0" xfId="0" applyFont="1" applyAlignment="1">
      <alignment horizontal="center"/>
    </xf>
    <xf numFmtId="0" fontId="69" fillId="0" borderId="0" xfId="0" applyFont="1"/>
    <xf numFmtId="0" fontId="177" fillId="0" borderId="0" xfId="0" applyFont="1" applyAlignment="1">
      <alignment horizontal="center"/>
    </xf>
    <xf numFmtId="43" fontId="68" fillId="58" borderId="0" xfId="515" applyFont="1" applyFill="1" applyAlignment="1">
      <alignment horizontal="right"/>
    </xf>
    <xf numFmtId="0" fontId="68" fillId="58" borderId="0" xfId="0" applyFont="1" applyFill="1"/>
    <xf numFmtId="0" fontId="71" fillId="58" borderId="24" xfId="903" applyFont="1" applyFill="1" applyBorder="1"/>
    <xf numFmtId="0" fontId="71" fillId="0" borderId="0" xfId="0" applyFont="1"/>
    <xf numFmtId="43" fontId="68" fillId="0" borderId="0" xfId="515" applyFont="1" applyFill="1" applyAlignment="1">
      <alignment horizontal="right"/>
    </xf>
    <xf numFmtId="167" fontId="68" fillId="0" borderId="0" xfId="515" applyNumberFormat="1" applyFont="1" applyFill="1" applyAlignment="1">
      <alignment horizontal="right"/>
    </xf>
    <xf numFmtId="0" fontId="68" fillId="0" borderId="0" xfId="0" applyFont="1" applyFill="1"/>
    <xf numFmtId="0" fontId="71" fillId="58" borderId="51" xfId="903" applyFont="1" applyFill="1" applyBorder="1"/>
    <xf numFmtId="0" fontId="71" fillId="58" borderId="52" xfId="903" applyFont="1" applyFill="1" applyBorder="1"/>
    <xf numFmtId="1" fontId="71" fillId="58" borderId="72" xfId="903" applyNumberFormat="1" applyFont="1" applyFill="1" applyBorder="1"/>
    <xf numFmtId="0" fontId="71" fillId="58" borderId="22" xfId="903" applyFont="1" applyFill="1" applyBorder="1"/>
    <xf numFmtId="167" fontId="68" fillId="58" borderId="52" xfId="904" applyNumberFormat="1" applyFont="1" applyFill="1" applyBorder="1"/>
    <xf numFmtId="167" fontId="68" fillId="58" borderId="0" xfId="904" applyNumberFormat="1" applyFont="1" applyFill="1" applyBorder="1"/>
    <xf numFmtId="167" fontId="68" fillId="58" borderId="72" xfId="904" applyNumberFormat="1" applyFont="1" applyFill="1" applyBorder="1"/>
    <xf numFmtId="195" fontId="71" fillId="0" borderId="0" xfId="903" applyNumberFormat="1" applyFont="1"/>
    <xf numFmtId="43" fontId="68" fillId="58" borderId="0" xfId="515" applyFont="1" applyFill="1"/>
    <xf numFmtId="167" fontId="68" fillId="58" borderId="0" xfId="515" applyNumberFormat="1" applyFont="1" applyFill="1"/>
    <xf numFmtId="167" fontId="68" fillId="0" borderId="0" xfId="515" applyNumberFormat="1" applyFont="1" applyFill="1"/>
    <xf numFmtId="167" fontId="69" fillId="0" borderId="0" xfId="515" applyNumberFormat="1" applyFont="1" applyBorder="1" applyAlignment="1">
      <alignment horizontal="right"/>
    </xf>
    <xf numFmtId="167" fontId="68" fillId="0" borderId="0" xfId="515" applyNumberFormat="1" applyFont="1" applyAlignment="1">
      <alignment horizontal="center"/>
    </xf>
    <xf numFmtId="0" fontId="177" fillId="0" borderId="0" xfId="0" applyFont="1" applyAlignment="1">
      <alignment horizontal="center" vertical="top" wrapText="1"/>
    </xf>
    <xf numFmtId="43" fontId="71" fillId="58" borderId="0" xfId="515" applyFont="1" applyFill="1" applyAlignment="1">
      <alignment horizontal="right"/>
    </xf>
    <xf numFmtId="167" fontId="71" fillId="58" borderId="0" xfId="515" applyNumberFormat="1" applyFont="1" applyFill="1"/>
    <xf numFmtId="0" fontId="71" fillId="58" borderId="0" xfId="0" applyFont="1" applyFill="1"/>
    <xf numFmtId="167" fontId="68" fillId="0" borderId="0" xfId="0" applyNumberFormat="1" applyFont="1"/>
    <xf numFmtId="0" fontId="68" fillId="0" borderId="62" xfId="0" applyFont="1" applyBorder="1"/>
    <xf numFmtId="167" fontId="68" fillId="0" borderId="61" xfId="515" applyNumberFormat="1" applyFont="1" applyBorder="1"/>
    <xf numFmtId="167" fontId="71" fillId="0" borderId="0" xfId="515" applyNumberFormat="1" applyFont="1" applyFill="1"/>
    <xf numFmtId="0" fontId="69" fillId="0" borderId="0" xfId="0" applyFont="1" applyAlignment="1">
      <alignment horizontal="center"/>
    </xf>
    <xf numFmtId="0" fontId="180" fillId="91" borderId="0" xfId="0" applyFont="1" applyFill="1"/>
    <xf numFmtId="167" fontId="68" fillId="58" borderId="0" xfId="515" applyNumberFormat="1" applyFont="1" applyFill="1" applyAlignment="1">
      <alignment horizontal="right"/>
    </xf>
    <xf numFmtId="167" fontId="68" fillId="58" borderId="0" xfId="515" applyNumberFormat="1" applyFont="1" applyFill="1" applyAlignment="1">
      <alignment horizontal="center"/>
    </xf>
    <xf numFmtId="167" fontId="71" fillId="58" borderId="0" xfId="515" applyNumberFormat="1" applyFont="1" applyFill="1" applyAlignment="1">
      <alignment horizontal="right"/>
    </xf>
    <xf numFmtId="0" fontId="177" fillId="0" borderId="0" xfId="0" applyFont="1" applyFill="1" applyAlignment="1">
      <alignment horizontal="center"/>
    </xf>
    <xf numFmtId="43" fontId="68" fillId="0" borderId="0" xfId="0" applyNumberFormat="1" applyFont="1" applyFill="1"/>
    <xf numFmtId="0" fontId="71" fillId="0" borderId="0" xfId="0" applyFont="1" applyFill="1"/>
    <xf numFmtId="43" fontId="68" fillId="0" borderId="0" xfId="515" applyFont="1" applyFill="1"/>
    <xf numFmtId="0" fontId="177" fillId="0" borderId="0" xfId="0" applyFont="1" applyFill="1" applyAlignment="1">
      <alignment horizontal="center" vertical="top" wrapText="1"/>
    </xf>
    <xf numFmtId="0" fontId="69" fillId="0" borderId="0" xfId="0" applyFont="1" applyFill="1" applyAlignment="1">
      <alignment horizontal="center"/>
    </xf>
    <xf numFmtId="0" fontId="69" fillId="0" borderId="0" xfId="0" applyFont="1" applyFill="1" applyBorder="1" applyAlignment="1">
      <alignment horizontal="center"/>
    </xf>
    <xf numFmtId="0" fontId="175" fillId="0" borderId="0" xfId="0" applyFont="1" applyFill="1" applyBorder="1" applyAlignment="1">
      <alignment horizontal="center"/>
    </xf>
    <xf numFmtId="0" fontId="178" fillId="0" borderId="0" xfId="0" applyFont="1" applyFill="1"/>
    <xf numFmtId="0" fontId="179" fillId="0" borderId="0" xfId="0" applyFont="1" applyFill="1"/>
    <xf numFmtId="167" fontId="178" fillId="0" borderId="0" xfId="515" applyNumberFormat="1" applyFont="1" applyFill="1"/>
    <xf numFmtId="43" fontId="178" fillId="0" borderId="0" xfId="515" applyFont="1" applyFill="1"/>
    <xf numFmtId="167" fontId="179" fillId="0" borderId="0" xfId="515" applyNumberFormat="1" applyFont="1" applyFill="1"/>
    <xf numFmtId="0" fontId="68" fillId="103" borderId="0" xfId="0" applyFont="1" applyFill="1"/>
    <xf numFmtId="0" fontId="71" fillId="103" borderId="0" xfId="0" applyFont="1" applyFill="1"/>
    <xf numFmtId="167" fontId="68" fillId="0" borderId="0" xfId="0" applyNumberFormat="1" applyFont="1" applyFill="1"/>
    <xf numFmtId="167" fontId="69" fillId="0" borderId="0" xfId="0" applyNumberFormat="1" applyFont="1" applyBorder="1"/>
    <xf numFmtId="1" fontId="179" fillId="0" borderId="0" xfId="0" applyNumberFormat="1" applyFont="1" applyFill="1" applyBorder="1"/>
    <xf numFmtId="167" fontId="69" fillId="0" borderId="0" xfId="515" applyNumberFormat="1" applyFont="1" applyAlignment="1">
      <alignment horizontal="center"/>
    </xf>
    <xf numFmtId="0" fontId="0" fillId="0" borderId="0" xfId="0" applyAlignment="1">
      <alignment horizontal="center"/>
    </xf>
    <xf numFmtId="224" fontId="0" fillId="0" borderId="0" xfId="0" applyNumberFormat="1" applyAlignment="1">
      <alignment horizontal="center"/>
    </xf>
    <xf numFmtId="224" fontId="5" fillId="0" borderId="0" xfId="0" applyNumberFormat="1" applyFont="1" applyAlignment="1">
      <alignment horizontal="center"/>
    </xf>
    <xf numFmtId="0" fontId="178" fillId="104" borderId="0" xfId="0" applyFont="1" applyFill="1"/>
    <xf numFmtId="167" fontId="69" fillId="104" borderId="0" xfId="515" applyNumberFormat="1" applyFont="1" applyFill="1" applyAlignment="1">
      <alignment horizontal="right"/>
    </xf>
    <xf numFmtId="0" fontId="179" fillId="104" borderId="0" xfId="0" applyFont="1" applyFill="1"/>
    <xf numFmtId="167" fontId="69" fillId="104" borderId="62" xfId="515" applyNumberFormat="1" applyFont="1" applyFill="1" applyBorder="1" applyAlignment="1">
      <alignment horizontal="right"/>
    </xf>
    <xf numFmtId="167" fontId="179" fillId="104" borderId="62" xfId="515" applyNumberFormat="1" applyFont="1" applyFill="1" applyBorder="1" applyAlignment="1">
      <alignment horizontal="right"/>
    </xf>
    <xf numFmtId="167" fontId="68" fillId="104" borderId="0" xfId="515" applyNumberFormat="1" applyFont="1" applyFill="1" applyAlignment="1">
      <alignment horizontal="right"/>
    </xf>
    <xf numFmtId="167" fontId="178" fillId="104" borderId="0" xfId="0" applyNumberFormat="1" applyFont="1" applyFill="1"/>
    <xf numFmtId="167" fontId="178" fillId="104" borderId="0" xfId="515" applyNumberFormat="1" applyFont="1" applyFill="1"/>
    <xf numFmtId="167" fontId="68" fillId="104" borderId="0" xfId="515" applyNumberFormat="1" applyFont="1" applyFill="1"/>
    <xf numFmtId="167" fontId="0" fillId="104" borderId="0" xfId="515" applyNumberFormat="1" applyFont="1" applyFill="1"/>
    <xf numFmtId="167" fontId="69" fillId="104" borderId="0" xfId="515" applyNumberFormat="1" applyFont="1" applyFill="1"/>
    <xf numFmtId="167" fontId="71" fillId="104" borderId="0" xfId="515" applyNumberFormat="1" applyFont="1" applyFill="1" applyAlignment="1">
      <alignment horizontal="right"/>
    </xf>
    <xf numFmtId="0" fontId="68" fillId="104" borderId="0" xfId="0" applyFont="1" applyFill="1"/>
    <xf numFmtId="1" fontId="178" fillId="104" borderId="0" xfId="0" applyNumberFormat="1" applyFont="1" applyFill="1"/>
    <xf numFmtId="167" fontId="179" fillId="104" borderId="0" xfId="515" applyNumberFormat="1" applyFont="1" applyFill="1"/>
    <xf numFmtId="0" fontId="69" fillId="104" borderId="0" xfId="0" applyFont="1" applyFill="1"/>
    <xf numFmtId="167" fontId="68" fillId="104" borderId="0" xfId="0" applyNumberFormat="1" applyFont="1" applyFill="1"/>
    <xf numFmtId="1" fontId="68" fillId="104" borderId="0" xfId="0" applyNumberFormat="1" applyFont="1" applyFill="1"/>
    <xf numFmtId="169" fontId="69" fillId="104" borderId="1" xfId="515" applyNumberFormat="1" applyFont="1" applyFill="1" applyBorder="1" applyAlignment="1">
      <alignment horizontal="right"/>
    </xf>
    <xf numFmtId="169" fontId="69" fillId="104" borderId="0" xfId="515" applyNumberFormat="1" applyFont="1" applyFill="1" applyAlignment="1">
      <alignment horizontal="right"/>
    </xf>
    <xf numFmtId="169" fontId="68" fillId="104" borderId="0" xfId="515" applyNumberFormat="1" applyFont="1" applyFill="1" applyAlignment="1">
      <alignment horizontal="right"/>
    </xf>
    <xf numFmtId="169" fontId="69" fillId="104" borderId="62" xfId="515" applyNumberFormat="1" applyFont="1" applyFill="1" applyBorder="1" applyAlignment="1">
      <alignment horizontal="right"/>
    </xf>
    <xf numFmtId="169" fontId="71" fillId="104" borderId="0" xfId="515" applyNumberFormat="1" applyFont="1" applyFill="1" applyAlignment="1">
      <alignment horizontal="right"/>
    </xf>
    <xf numFmtId="169" fontId="0" fillId="104" borderId="0" xfId="515" applyNumberFormat="1" applyFont="1" applyFill="1"/>
    <xf numFmtId="0" fontId="179" fillId="104" borderId="19" xfId="0" applyFont="1" applyFill="1" applyBorder="1"/>
    <xf numFmtId="43" fontId="69" fillId="104" borderId="62" xfId="515" applyNumberFormat="1" applyFont="1" applyFill="1" applyBorder="1" applyAlignment="1">
      <alignment horizontal="right"/>
    </xf>
    <xf numFmtId="43" fontId="179" fillId="104" borderId="20" xfId="515" applyNumberFormat="1" applyFont="1" applyFill="1" applyBorder="1" applyAlignment="1">
      <alignment horizontal="right"/>
    </xf>
    <xf numFmtId="43" fontId="68" fillId="104" borderId="0" xfId="515" applyNumberFormat="1" applyFont="1" applyFill="1" applyAlignment="1">
      <alignment horizontal="right"/>
    </xf>
    <xf numFmtId="43" fontId="178" fillId="104" borderId="52" xfId="0" applyNumberFormat="1" applyFont="1" applyFill="1" applyBorder="1"/>
    <xf numFmtId="43" fontId="178" fillId="104" borderId="52" xfId="515" applyNumberFormat="1" applyFont="1" applyFill="1" applyBorder="1"/>
    <xf numFmtId="43" fontId="68" fillId="104" borderId="0" xfId="515" applyNumberFormat="1" applyFont="1" applyFill="1"/>
    <xf numFmtId="43" fontId="0" fillId="104" borderId="0" xfId="515" applyNumberFormat="1" applyFont="1" applyFill="1"/>
    <xf numFmtId="43" fontId="69" fillId="104" borderId="0" xfId="515" applyNumberFormat="1" applyFont="1" applyFill="1"/>
    <xf numFmtId="43" fontId="71" fillId="104" borderId="0" xfId="515" applyNumberFormat="1" applyFont="1" applyFill="1" applyAlignment="1">
      <alignment horizontal="right"/>
    </xf>
    <xf numFmtId="43" fontId="69" fillId="104" borderId="94" xfId="515" applyNumberFormat="1" applyFont="1" applyFill="1" applyBorder="1" applyAlignment="1">
      <alignment horizontal="right"/>
    </xf>
    <xf numFmtId="43" fontId="179" fillId="104" borderId="107" xfId="515" applyNumberFormat="1" applyFont="1" applyFill="1" applyBorder="1" applyAlignment="1">
      <alignment horizontal="right"/>
    </xf>
    <xf numFmtId="17" fontId="11" fillId="54" borderId="17" xfId="0" applyNumberFormat="1" applyFont="1" applyFill="1" applyBorder="1" applyAlignment="1">
      <alignment horizontal="center" vertical="center" wrapText="1"/>
    </xf>
    <xf numFmtId="167" fontId="11" fillId="54" borderId="17" xfId="515" applyNumberFormat="1" applyFont="1" applyFill="1" applyBorder="1" applyAlignment="1">
      <alignment horizontal="left" readingOrder="1"/>
    </xf>
    <xf numFmtId="43" fontId="11" fillId="54" borderId="17" xfId="515" applyFont="1" applyFill="1" applyBorder="1" applyAlignment="1">
      <alignment horizontal="left" readingOrder="1"/>
    </xf>
    <xf numFmtId="17" fontId="11" fillId="0" borderId="17" xfId="0" applyNumberFormat="1" applyFont="1" applyFill="1" applyBorder="1" applyAlignment="1">
      <alignment horizontal="center" vertical="center"/>
    </xf>
    <xf numFmtId="43" fontId="11" fillId="0" borderId="17" xfId="515" applyFont="1" applyFill="1" applyBorder="1" applyAlignment="1">
      <alignment horizontal="center" vertical="center"/>
    </xf>
    <xf numFmtId="43" fontId="12" fillId="0" borderId="17" xfId="515" applyFont="1" applyBorder="1"/>
    <xf numFmtId="167" fontId="12" fillId="0" borderId="17" xfId="515" applyNumberFormat="1" applyFont="1" applyBorder="1" applyAlignment="1">
      <alignment horizontal="left" readingOrder="1"/>
    </xf>
    <xf numFmtId="43" fontId="12" fillId="0" borderId="17" xfId="515" applyFont="1" applyBorder="1" applyAlignment="1">
      <alignment horizontal="left" readingOrder="1"/>
    </xf>
    <xf numFmtId="167" fontId="11" fillId="0" borderId="17" xfId="515" applyNumberFormat="1" applyFont="1" applyFill="1" applyBorder="1" applyAlignment="1">
      <alignment horizontal="left" readingOrder="1"/>
    </xf>
    <xf numFmtId="43" fontId="11" fillId="0" borderId="17" xfId="515" applyFont="1" applyFill="1" applyBorder="1" applyAlignment="1">
      <alignment horizontal="left" readingOrder="1"/>
    </xf>
    <xf numFmtId="9" fontId="12" fillId="52" borderId="17" xfId="732" applyFont="1" applyFill="1" applyBorder="1" applyAlignment="1">
      <alignment horizontal="center" readingOrder="1"/>
    </xf>
    <xf numFmtId="9" fontId="11" fillId="54" borderId="17" xfId="732" applyFont="1" applyFill="1" applyBorder="1" applyAlignment="1">
      <alignment horizontal="center" readingOrder="1"/>
    </xf>
    <xf numFmtId="9" fontId="11" fillId="0" borderId="17" xfId="732" applyFont="1" applyFill="1" applyBorder="1" applyAlignment="1">
      <alignment horizontal="center" vertical="center" readingOrder="1"/>
    </xf>
    <xf numFmtId="9" fontId="12" fillId="0" borderId="17" xfId="732" applyFont="1" applyBorder="1" applyAlignment="1">
      <alignment horizontal="center" readingOrder="1"/>
    </xf>
    <xf numFmtId="9" fontId="11" fillId="0" borderId="17" xfId="732" applyFont="1" applyFill="1" applyBorder="1" applyAlignment="1">
      <alignment horizontal="center" readingOrder="1"/>
    </xf>
    <xf numFmtId="0" fontId="5" fillId="0" borderId="17" xfId="0" applyFont="1" applyBorder="1"/>
    <xf numFmtId="0" fontId="0" fillId="0" borderId="17" xfId="0" applyBorder="1"/>
    <xf numFmtId="0" fontId="5" fillId="0" borderId="17" xfId="0" applyFont="1" applyFill="1" applyBorder="1"/>
    <xf numFmtId="0" fontId="0" fillId="51" borderId="17" xfId="0" applyFill="1" applyBorder="1"/>
    <xf numFmtId="0" fontId="17" fillId="0" borderId="17" xfId="0" applyFont="1" applyFill="1" applyBorder="1"/>
    <xf numFmtId="0" fontId="17" fillId="51" borderId="17" xfId="0" applyFont="1" applyFill="1" applyBorder="1"/>
    <xf numFmtId="0" fontId="0" fillId="0" borderId="17" xfId="0" applyFill="1" applyBorder="1"/>
    <xf numFmtId="1" fontId="0" fillId="0" borderId="17" xfId="0" applyNumberFormat="1" applyBorder="1"/>
    <xf numFmtId="43" fontId="12" fillId="51" borderId="17" xfId="515" applyFont="1" applyFill="1" applyBorder="1" applyAlignment="1">
      <alignment horizontal="left" readingOrder="1"/>
    </xf>
    <xf numFmtId="0" fontId="0" fillId="0" borderId="19" xfId="0" applyBorder="1"/>
    <xf numFmtId="0" fontId="0" fillId="0" borderId="19" xfId="0" applyFill="1" applyBorder="1"/>
    <xf numFmtId="0" fontId="11" fillId="54" borderId="17" xfId="515" applyNumberFormat="1" applyFont="1" applyFill="1" applyBorder="1" applyAlignment="1">
      <alignment horizontal="left" readingOrder="1"/>
    </xf>
    <xf numFmtId="9" fontId="11" fillId="54" borderId="17" xfId="732" applyFont="1" applyFill="1" applyBorder="1" applyAlignment="1">
      <alignment horizontal="center"/>
    </xf>
    <xf numFmtId="43" fontId="11" fillId="54" borderId="17" xfId="515" applyNumberFormat="1" applyFont="1" applyFill="1" applyBorder="1" applyAlignment="1">
      <alignment horizontal="left" readingOrder="1"/>
    </xf>
    <xf numFmtId="169" fontId="68" fillId="58" borderId="0" xfId="515" applyNumberFormat="1" applyFont="1" applyFill="1"/>
    <xf numFmtId="169" fontId="71" fillId="0" borderId="0" xfId="0" applyNumberFormat="1" applyFont="1"/>
    <xf numFmtId="169" fontId="71" fillId="58" borderId="0" xfId="0" applyNumberFormat="1" applyFont="1" applyFill="1"/>
    <xf numFmtId="169" fontId="68" fillId="58" borderId="0" xfId="0" applyNumberFormat="1" applyFont="1" applyFill="1"/>
    <xf numFmtId="169" fontId="68" fillId="0" borderId="0" xfId="515" applyNumberFormat="1" applyFont="1"/>
    <xf numFmtId="17" fontId="11" fillId="54" borderId="17" xfId="0" applyNumberFormat="1" applyFont="1" applyFill="1" applyBorder="1" applyAlignment="1">
      <alignment horizontal="center" vertical="center"/>
    </xf>
    <xf numFmtId="0" fontId="5" fillId="51" borderId="17" xfId="0" applyFont="1" applyFill="1" applyBorder="1"/>
    <xf numFmtId="167" fontId="11" fillId="0" borderId="17" xfId="515" applyNumberFormat="1" applyFont="1" applyFill="1" applyBorder="1" applyAlignment="1">
      <alignment horizontal="center" vertical="center"/>
    </xf>
    <xf numFmtId="43" fontId="11" fillId="0" borderId="17" xfId="0" applyNumberFormat="1" applyFont="1" applyFill="1" applyBorder="1" applyAlignment="1">
      <alignment horizontal="center" vertical="center"/>
    </xf>
    <xf numFmtId="167" fontId="0" fillId="51" borderId="17" xfId="0" applyNumberFormat="1" applyFill="1" applyBorder="1"/>
    <xf numFmtId="167" fontId="12" fillId="0" borderId="17" xfId="515" applyNumberFormat="1" applyFont="1" applyBorder="1"/>
    <xf numFmtId="43" fontId="12" fillId="0" borderId="17" xfId="0" applyNumberFormat="1" applyFont="1" applyBorder="1"/>
    <xf numFmtId="167" fontId="7" fillId="49" borderId="17" xfId="515" applyNumberFormat="1" applyFont="1" applyFill="1" applyBorder="1" applyAlignment="1" applyProtection="1">
      <alignment horizontal="left" readingOrder="1"/>
      <protection locked="0"/>
    </xf>
    <xf numFmtId="167" fontId="11" fillId="49" borderId="17" xfId="515" applyNumberFormat="1" applyFont="1" applyFill="1" applyBorder="1" applyAlignment="1" applyProtection="1">
      <alignment horizontal="left" readingOrder="1"/>
      <protection locked="0"/>
    </xf>
    <xf numFmtId="43" fontId="11" fillId="52" borderId="17" xfId="515" applyFont="1" applyFill="1" applyBorder="1" applyAlignment="1">
      <alignment horizontal="left" readingOrder="1"/>
    </xf>
    <xf numFmtId="167" fontId="11" fillId="52" borderId="17" xfId="515" applyNumberFormat="1" applyFont="1" applyFill="1" applyBorder="1" applyAlignment="1">
      <alignment horizontal="left" readingOrder="1"/>
    </xf>
    <xf numFmtId="43" fontId="12" fillId="0" borderId="17" xfId="515" applyNumberFormat="1" applyFont="1" applyBorder="1" applyAlignment="1">
      <alignment horizontal="left" readingOrder="1"/>
    </xf>
    <xf numFmtId="1" fontId="0" fillId="51" borderId="17" xfId="0" applyNumberFormat="1" applyFill="1" applyBorder="1"/>
    <xf numFmtId="0" fontId="7" fillId="0" borderId="17" xfId="0" applyFont="1" applyBorder="1"/>
    <xf numFmtId="0" fontId="11" fillId="0" borderId="17" xfId="0" applyFont="1" applyFill="1" applyBorder="1" applyAlignment="1">
      <alignment horizontal="left" vertical="center"/>
    </xf>
    <xf numFmtId="0" fontId="7" fillId="0" borderId="17" xfId="0" applyFont="1" applyFill="1" applyBorder="1"/>
    <xf numFmtId="0" fontId="12" fillId="0" borderId="17" xfId="0" applyFont="1" applyFill="1" applyBorder="1"/>
    <xf numFmtId="167" fontId="67" fillId="49" borderId="17" xfId="515" applyNumberFormat="1" applyFont="1" applyFill="1" applyBorder="1" applyAlignment="1" applyProtection="1">
      <alignment horizontal="left" readingOrder="1"/>
      <protection locked="0"/>
    </xf>
    <xf numFmtId="0" fontId="11" fillId="0" borderId="17" xfId="515" applyNumberFormat="1" applyFont="1" applyFill="1" applyBorder="1" applyAlignment="1">
      <alignment horizontal="left" readingOrder="1"/>
    </xf>
    <xf numFmtId="169" fontId="12" fillId="52" borderId="17" xfId="515" applyNumberFormat="1" applyFont="1" applyFill="1" applyBorder="1" applyAlignment="1">
      <alignment horizontal="left" readingOrder="1"/>
    </xf>
    <xf numFmtId="43" fontId="12" fillId="52" borderId="17" xfId="515" applyNumberFormat="1" applyFont="1" applyFill="1" applyBorder="1" applyAlignment="1">
      <alignment horizontal="left" readingOrder="1"/>
    </xf>
    <xf numFmtId="169" fontId="11" fillId="54" borderId="17" xfId="515" applyNumberFormat="1" applyFont="1" applyFill="1" applyBorder="1" applyAlignment="1">
      <alignment horizontal="left" readingOrder="1"/>
    </xf>
    <xf numFmtId="169" fontId="11" fillId="0" borderId="17" xfId="0" applyNumberFormat="1" applyFont="1" applyFill="1" applyBorder="1" applyAlignment="1">
      <alignment horizontal="center" vertical="center"/>
    </xf>
    <xf numFmtId="169" fontId="12" fillId="0" borderId="17" xfId="0" applyNumberFormat="1" applyFont="1" applyBorder="1"/>
    <xf numFmtId="169" fontId="11" fillId="49" borderId="17" xfId="515" applyNumberFormat="1" applyFont="1" applyFill="1" applyBorder="1" applyAlignment="1" applyProtection="1">
      <alignment horizontal="left" readingOrder="1"/>
      <protection locked="0"/>
    </xf>
    <xf numFmtId="169" fontId="12" fillId="0" borderId="17" xfId="515" applyNumberFormat="1" applyFont="1" applyBorder="1" applyAlignment="1">
      <alignment horizontal="left" readingOrder="1"/>
    </xf>
    <xf numFmtId="169" fontId="0" fillId="51" borderId="17" xfId="0" applyNumberFormat="1" applyFill="1" applyBorder="1"/>
    <xf numFmtId="0" fontId="12" fillId="55" borderId="17" xfId="0" applyFont="1" applyFill="1" applyBorder="1"/>
    <xf numFmtId="167" fontId="12" fillId="51" borderId="17" xfId="515" applyNumberFormat="1" applyFont="1" applyFill="1" applyBorder="1" applyAlignment="1">
      <alignment horizontal="left" readingOrder="1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67" fontId="12" fillId="0" borderId="17" xfId="0" applyNumberFormat="1" applyFont="1" applyBorder="1"/>
    <xf numFmtId="167" fontId="11" fillId="0" borderId="17" xfId="0" applyNumberFormat="1" applyFont="1" applyFill="1" applyBorder="1" applyAlignment="1">
      <alignment horizontal="center" vertical="center"/>
    </xf>
    <xf numFmtId="167" fontId="0" fillId="0" borderId="17" xfId="0" applyNumberFormat="1" applyFill="1" applyBorder="1"/>
    <xf numFmtId="17" fontId="11" fillId="54" borderId="17" xfId="4223" applyNumberFormat="1" applyFont="1" applyFill="1" applyBorder="1" applyAlignment="1">
      <alignment horizontal="center" vertical="center" wrapText="1"/>
    </xf>
    <xf numFmtId="9" fontId="11" fillId="54" borderId="17" xfId="732" applyFont="1" applyFill="1" applyBorder="1" applyAlignment="1">
      <alignment horizontal="center" readingOrder="1"/>
    </xf>
    <xf numFmtId="9" fontId="11" fillId="0" borderId="17" xfId="732" applyFont="1" applyFill="1" applyBorder="1" applyAlignment="1">
      <alignment horizontal="center" vertical="center" readingOrder="1"/>
    </xf>
    <xf numFmtId="9" fontId="11" fillId="0" borderId="17" xfId="732" applyFont="1" applyFill="1" applyBorder="1" applyAlignment="1">
      <alignment horizontal="center" readingOrder="1"/>
    </xf>
    <xf numFmtId="169" fontId="11" fillId="0" borderId="17" xfId="732" applyNumberFormat="1" applyFont="1" applyFill="1" applyBorder="1" applyAlignment="1">
      <alignment horizontal="center" vertical="center" readingOrder="1"/>
    </xf>
    <xf numFmtId="169" fontId="12" fillId="0" borderId="17" xfId="732" applyNumberFormat="1" applyFont="1" applyBorder="1" applyAlignment="1">
      <alignment horizontal="center" readingOrder="1"/>
    </xf>
    <xf numFmtId="169" fontId="11" fillId="54" borderId="17" xfId="515" applyNumberFormat="1" applyFont="1" applyFill="1" applyBorder="1" applyAlignment="1">
      <alignment horizontal="center" readingOrder="1"/>
    </xf>
    <xf numFmtId="169" fontId="12" fillId="0" borderId="17" xfId="515" applyNumberFormat="1" applyFont="1" applyBorder="1" applyAlignment="1">
      <alignment horizontal="center" readingOrder="1"/>
    </xf>
    <xf numFmtId="169" fontId="11" fillId="0" borderId="17" xfId="515" applyNumberFormat="1" applyFont="1" applyFill="1" applyBorder="1" applyAlignment="1">
      <alignment horizontal="center" readingOrder="1"/>
    </xf>
    <xf numFmtId="169" fontId="0" fillId="0" borderId="0" xfId="0" applyNumberFormat="1" applyBorder="1"/>
    <xf numFmtId="169" fontId="0" fillId="0" borderId="0" xfId="0" applyNumberFormat="1"/>
    <xf numFmtId="0" fontId="16" fillId="0" borderId="19" xfId="0" applyFont="1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 wrapText="1"/>
    </xf>
    <xf numFmtId="0" fontId="15" fillId="0" borderId="56" xfId="0" applyFont="1" applyBorder="1" applyAlignment="1">
      <alignment horizontal="center" vertical="center" wrapText="1"/>
    </xf>
    <xf numFmtId="0" fontId="15" fillId="0" borderId="44" xfId="0" applyFont="1" applyBorder="1" applyAlignment="1">
      <alignment horizontal="center" vertical="center" wrapText="1"/>
    </xf>
    <xf numFmtId="17" fontId="11" fillId="54" borderId="37" xfId="0" applyNumberFormat="1" applyFont="1" applyFill="1" applyBorder="1" applyAlignment="1">
      <alignment horizontal="center" vertical="center"/>
    </xf>
    <xf numFmtId="17" fontId="11" fillId="54" borderId="8" xfId="0" applyNumberFormat="1" applyFont="1" applyFill="1" applyBorder="1" applyAlignment="1">
      <alignment horizontal="center" vertical="center"/>
    </xf>
    <xf numFmtId="17" fontId="11" fillId="54" borderId="45" xfId="0" applyNumberFormat="1" applyFont="1" applyFill="1" applyBorder="1" applyAlignment="1">
      <alignment horizontal="center" vertical="center"/>
    </xf>
    <xf numFmtId="17" fontId="11" fillId="54" borderId="17" xfId="0" applyNumberFormat="1" applyFont="1" applyFill="1" applyBorder="1" applyAlignment="1">
      <alignment horizontal="center" vertical="center"/>
    </xf>
    <xf numFmtId="0" fontId="11" fillId="54" borderId="17" xfId="0" applyFont="1" applyFill="1" applyBorder="1" applyAlignment="1">
      <alignment horizontal="left" vertical="center"/>
    </xf>
    <xf numFmtId="17" fontId="11" fillId="54" borderId="64" xfId="0" applyNumberFormat="1" applyFont="1" applyFill="1" applyBorder="1" applyAlignment="1">
      <alignment horizontal="center" vertical="center"/>
    </xf>
    <xf numFmtId="17" fontId="11" fillId="54" borderId="79" xfId="0" applyNumberFormat="1" applyFont="1" applyFill="1" applyBorder="1" applyAlignment="1">
      <alignment horizontal="center" vertical="center"/>
    </xf>
    <xf numFmtId="17" fontId="11" fillId="54" borderId="77" xfId="0" applyNumberFormat="1" applyFont="1" applyFill="1" applyBorder="1" applyAlignment="1">
      <alignment horizontal="center" vertical="center"/>
    </xf>
    <xf numFmtId="0" fontId="5" fillId="59" borderId="68" xfId="0" applyFont="1" applyFill="1" applyBorder="1" applyAlignment="1">
      <alignment horizontal="center"/>
    </xf>
    <xf numFmtId="0" fontId="5" fillId="59" borderId="7" xfId="0" applyFont="1" applyFill="1" applyBorder="1" applyAlignment="1">
      <alignment horizontal="center"/>
    </xf>
    <xf numFmtId="0" fontId="5" fillId="59" borderId="75" xfId="0" applyFont="1" applyFill="1" applyBorder="1" applyAlignment="1">
      <alignment horizontal="center"/>
    </xf>
    <xf numFmtId="0" fontId="11" fillId="54" borderId="63" xfId="0" applyFont="1" applyFill="1" applyBorder="1" applyAlignment="1">
      <alignment horizontal="left" vertical="center"/>
    </xf>
    <xf numFmtId="0" fontId="11" fillId="54" borderId="42" xfId="0" applyFont="1" applyFill="1" applyBorder="1" applyAlignment="1">
      <alignment horizontal="left" vertical="center"/>
    </xf>
    <xf numFmtId="0" fontId="5" fillId="0" borderId="59" xfId="0" applyFont="1" applyBorder="1" applyAlignment="1">
      <alignment horizontal="center"/>
    </xf>
    <xf numFmtId="0" fontId="5" fillId="0" borderId="54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67" fontId="69" fillId="0" borderId="0" xfId="515" applyNumberFormat="1" applyFont="1" applyAlignment="1">
      <alignment horizontal="center"/>
    </xf>
    <xf numFmtId="0" fontId="69" fillId="0" borderId="62" xfId="0" applyFont="1" applyBorder="1" applyAlignment="1">
      <alignment horizontal="center"/>
    </xf>
    <xf numFmtId="0" fontId="69" fillId="104" borderId="62" xfId="0" applyFont="1" applyFill="1" applyBorder="1" applyAlignment="1">
      <alignment horizontal="center"/>
    </xf>
    <xf numFmtId="0" fontId="180" fillId="91" borderId="62" xfId="0" applyFont="1" applyFill="1" applyBorder="1" applyAlignment="1">
      <alignment horizontal="center"/>
    </xf>
    <xf numFmtId="0" fontId="181" fillId="91" borderId="0" xfId="0" applyFont="1" applyFill="1" applyAlignment="1">
      <alignment horizontal="center" vertical="center"/>
    </xf>
    <xf numFmtId="0" fontId="175" fillId="0" borderId="64" xfId="903" applyFont="1" applyBorder="1" applyAlignment="1">
      <alignment horizontal="center" wrapText="1"/>
    </xf>
    <xf numFmtId="0" fontId="175" fillId="0" borderId="79" xfId="903" applyFont="1" applyBorder="1" applyAlignment="1">
      <alignment horizontal="center" wrapText="1"/>
    </xf>
    <xf numFmtId="0" fontId="175" fillId="0" borderId="28" xfId="903" applyFont="1" applyBorder="1" applyAlignment="1">
      <alignment horizontal="center"/>
    </xf>
    <xf numFmtId="0" fontId="175" fillId="0" borderId="27" xfId="903" applyFont="1" applyBorder="1" applyAlignment="1">
      <alignment horizontal="center"/>
    </xf>
    <xf numFmtId="0" fontId="175" fillId="0" borderId="74" xfId="903" applyFont="1" applyBorder="1" applyAlignment="1">
      <alignment horizontal="center"/>
    </xf>
    <xf numFmtId="0" fontId="175" fillId="0" borderId="64" xfId="903" applyFont="1" applyBorder="1" applyAlignment="1">
      <alignment horizontal="center"/>
    </xf>
    <xf numFmtId="0" fontId="175" fillId="0" borderId="79" xfId="903" applyFont="1" applyBorder="1" applyAlignment="1">
      <alignment horizontal="center"/>
    </xf>
    <xf numFmtId="0" fontId="175" fillId="0" borderId="77" xfId="903" applyFont="1" applyBorder="1" applyAlignment="1">
      <alignment horizontal="center"/>
    </xf>
    <xf numFmtId="2" fontId="175" fillId="0" borderId="64" xfId="903" applyNumberFormat="1" applyFont="1" applyBorder="1" applyAlignment="1">
      <alignment horizontal="center" wrapText="1"/>
    </xf>
    <xf numFmtId="2" fontId="175" fillId="0" borderId="79" xfId="903" applyNumberFormat="1" applyFont="1" applyBorder="1" applyAlignment="1">
      <alignment horizontal="center" wrapText="1"/>
    </xf>
    <xf numFmtId="2" fontId="175" fillId="0" borderId="77" xfId="903" applyNumberFormat="1" applyFont="1" applyBorder="1" applyAlignment="1">
      <alignment horizontal="center" wrapText="1"/>
    </xf>
    <xf numFmtId="0" fontId="175" fillId="0" borderId="77" xfId="903" applyFont="1" applyBorder="1" applyAlignment="1">
      <alignment horizontal="center" wrapText="1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4605">
    <cellStyle name="%" xfId="906"/>
    <cellStyle name="% 10" xfId="907"/>
    <cellStyle name="% 10 2" xfId="908"/>
    <cellStyle name="% 10_TBZ - COI Final" xfId="909"/>
    <cellStyle name="% 11" xfId="910"/>
    <cellStyle name="% 12" xfId="911"/>
    <cellStyle name="% 13" xfId="912"/>
    <cellStyle name="% 14" xfId="913"/>
    <cellStyle name="% 15" xfId="914"/>
    <cellStyle name="% 16" xfId="915"/>
    <cellStyle name="% 17" xfId="916"/>
    <cellStyle name="% 18" xfId="917"/>
    <cellStyle name="% 19" xfId="918"/>
    <cellStyle name="% 2" xfId="919"/>
    <cellStyle name="% 2 2" xfId="920"/>
    <cellStyle name="% 2_43 B TBZ Ltd 31.3.2011" xfId="921"/>
    <cellStyle name="% 20" xfId="922"/>
    <cellStyle name="% 21" xfId="923"/>
    <cellStyle name="% 22" xfId="924"/>
    <cellStyle name="% 23" xfId="925"/>
    <cellStyle name="% 24" xfId="926"/>
    <cellStyle name="% 25" xfId="927"/>
    <cellStyle name="% 26" xfId="928"/>
    <cellStyle name="% 27" xfId="929"/>
    <cellStyle name="% 28" xfId="930"/>
    <cellStyle name="% 29" xfId="931"/>
    <cellStyle name="% 3" xfId="932"/>
    <cellStyle name="% 3 2" xfId="933"/>
    <cellStyle name="% 30" xfId="934"/>
    <cellStyle name="% 31" xfId="935"/>
    <cellStyle name="% 32" xfId="936"/>
    <cellStyle name="% 33" xfId="937"/>
    <cellStyle name="% 34" xfId="938"/>
    <cellStyle name="% 35" xfId="939"/>
    <cellStyle name="% 36" xfId="940"/>
    <cellStyle name="% 37" xfId="941"/>
    <cellStyle name="% 4" xfId="942"/>
    <cellStyle name="% 5" xfId="943"/>
    <cellStyle name="% 6" xfId="944"/>
    <cellStyle name="% 7" xfId="945"/>
    <cellStyle name="% 8" xfId="946"/>
    <cellStyle name="% 9" xfId="947"/>
    <cellStyle name="%_amd" xfId="948"/>
    <cellStyle name="%_bs sh" xfId="949"/>
    <cellStyle name="%_bs sh_FIXED ASSETS" xfId="950"/>
    <cellStyle name="%_bs sh_MARCH CASH FLOW GROUPING AS ON 31.12.2010" xfId="951"/>
    <cellStyle name="%_bs sh_P&amp;LMFG EXP wk" xfId="952"/>
    <cellStyle name="%_bs sh_P&amp;LWK" xfId="953"/>
    <cellStyle name="%_bs sh_TBZ - COI Final" xfId="954"/>
    <cellStyle name="%_bs sh_TBZ BS Sept  2010 27112010 " xfId="955"/>
    <cellStyle name="%_bs sh_TBZ BS Sept  2010 30112010 " xfId="956"/>
    <cellStyle name="%_bs sh_TBZ BS Sept  2010 30112010nishi " xfId="957"/>
    <cellStyle name="%_bs sh_TBZ Financials March'11 12052011" xfId="958"/>
    <cellStyle name="%_bs sh_Trial Balance" xfId="959"/>
    <cellStyle name="%_COCHIN" xfId="960"/>
    <cellStyle name="%_dep as per co in books of account " xfId="961"/>
    <cellStyle name="%_DEP as per kpmg for deferred tax" xfId="962"/>
    <cellStyle name="%_FINAL TBZ (BOMBAY) 251209" xfId="963"/>
    <cellStyle name="%_ho" xfId="964"/>
    <cellStyle name="%_Ho " xfId="965"/>
    <cellStyle name="%_Ho _FIXED ASSETS" xfId="966"/>
    <cellStyle name="%_Ho _MARCH CASH FLOW GROUPING AS ON 31.12.2010" xfId="967"/>
    <cellStyle name="%_Ho _P&amp;LMFG EXP wk" xfId="968"/>
    <cellStyle name="%_Ho _P&amp;LWK" xfId="969"/>
    <cellStyle name="%_Ho _TBZ - COI Final" xfId="970"/>
    <cellStyle name="%_Ho _TBZ BS Sept  2010 27112010 " xfId="971"/>
    <cellStyle name="%_Ho _TBZ BS Sept  2010 30112010 " xfId="972"/>
    <cellStyle name="%_Ho _TBZ BS Sept  2010 30112010nishi " xfId="973"/>
    <cellStyle name="%_Ho _TBZ Financials March'11 12052011" xfId="974"/>
    <cellStyle name="%_Ho _Trial Balance" xfId="975"/>
    <cellStyle name="%_ho 14092010" xfId="976"/>
    <cellStyle name="%_hyd" xfId="977"/>
    <cellStyle name="%_MARCH CASH FLOW GROUPING AS ON 31.12.2010" xfId="978"/>
    <cellStyle name="%_Schedule" xfId="979"/>
    <cellStyle name="%_Schedule_FIXED ASSETS" xfId="980"/>
    <cellStyle name="%_Schedule_MARCH CASH FLOW GROUPING AS ON 31.12.2010" xfId="981"/>
    <cellStyle name="%_Schedule_P&amp;LMFG EXP wk" xfId="982"/>
    <cellStyle name="%_Schedule_P&amp;LWK" xfId="983"/>
    <cellStyle name="%_Schedule_TBZ - COI Final" xfId="984"/>
    <cellStyle name="%_Schedule_TBZ BS Sept  2010 27112010 " xfId="985"/>
    <cellStyle name="%_Schedule_TBZ BS Sept  2010 30112010 " xfId="986"/>
    <cellStyle name="%_Schedule_TBZ BS Sept  2010 30112010nishi " xfId="987"/>
    <cellStyle name="%_Schedule_TBZ Financials March'11 12052011" xfId="988"/>
    <cellStyle name="%_Schedule_Trial Balance" xfId="989"/>
    <cellStyle name="%_Sheet1" xfId="990"/>
    <cellStyle name="%_Sheet2" xfId="991"/>
    <cellStyle name="%_Sheet2_FIXED ASSETS" xfId="992"/>
    <cellStyle name="%_Sheet2_MARCH CASH FLOW GROUPING AS ON 31.12.2010" xfId="993"/>
    <cellStyle name="%_Sheet2_P&amp;LMFG EXP wk" xfId="994"/>
    <cellStyle name="%_Sheet2_P&amp;LWK" xfId="995"/>
    <cellStyle name="%_Sheet2_TBZ - COI Final" xfId="996"/>
    <cellStyle name="%_Sheet2_TBZ BS Sept  2010 27112010 " xfId="997"/>
    <cellStyle name="%_Sheet2_TBZ BS Sept  2010 30112010 " xfId="998"/>
    <cellStyle name="%_Sheet2_TBZ BS Sept  2010 30112010nishi " xfId="999"/>
    <cellStyle name="%_Sheet2_TBZ Financials March'11 12052011" xfId="1000"/>
    <cellStyle name="%_Sheet2_Trial Balance" xfId="1001"/>
    <cellStyle name="%_Sheet3" xfId="1002"/>
    <cellStyle name="%_Sheet3_FIXED ASSETS" xfId="1003"/>
    <cellStyle name="%_Sheet3_MARCH CASH FLOW GROUPING AS ON 31.12.2010" xfId="1004"/>
    <cellStyle name="%_Sheet3_P&amp;LMFG EXP wk" xfId="1005"/>
    <cellStyle name="%_Sheet3_P&amp;LWK" xfId="1006"/>
    <cellStyle name="%_Sheet3_TBZ - COI Final" xfId="1007"/>
    <cellStyle name="%_Sheet3_TBZ BS Sept  2010 27112010 " xfId="1008"/>
    <cellStyle name="%_Sheet3_TBZ BS Sept  2010 30112010 " xfId="1009"/>
    <cellStyle name="%_Sheet3_TBZ BS Sept  2010 30112010nishi " xfId="1010"/>
    <cellStyle name="%_Sheet3_TBZ Financials March'11 12052011" xfId="1011"/>
    <cellStyle name="%_Sheet3_Trial Balance" xfId="1012"/>
    <cellStyle name="%_Trial Balance" xfId="1013"/>
    <cellStyle name="%_Trial Balance_FIXED ASSETS" xfId="1014"/>
    <cellStyle name="%_Trial Balance_MARCH CASH FLOW GROUPING AS ON 31.12.2010" xfId="1015"/>
    <cellStyle name="%_Trial Balance_P&amp;LMFG EXP wk" xfId="1016"/>
    <cellStyle name="%_Trial Balance_P&amp;LWK" xfId="1017"/>
    <cellStyle name="%_Trial Balance_TBZ - COI Final" xfId="1018"/>
    <cellStyle name="%_Trial Balance_TBZ BS Sept  2010 27112010 " xfId="1019"/>
    <cellStyle name="%_Trial Balance_TBZ BS Sept  2010 30112010 " xfId="1020"/>
    <cellStyle name="%_Trial Balance_TBZ BS Sept  2010 30112010nishi " xfId="1021"/>
    <cellStyle name="%_Trial Balance_TBZ Financials March'11 12052011" xfId="1022"/>
    <cellStyle name="%_Trial Balance_Trial Balance" xfId="1023"/>
    <cellStyle name="??" xfId="1024"/>
    <cellStyle name="?? [0.00]_PRODUCT DETAIL Q1" xfId="1025"/>
    <cellStyle name="?? [0]" xfId="1026"/>
    <cellStyle name="???? [0.00]_PRODUCT DETAIL Q1" xfId="1027"/>
    <cellStyle name="????_PRODUCT DETAIL Q1" xfId="1028"/>
    <cellStyle name="???_07069.74ID10.0925" xfId="1029"/>
    <cellStyle name="??_(????)??????" xfId="1030"/>
    <cellStyle name="_%(SignOnly)" xfId="1031"/>
    <cellStyle name="_%(SignSpaceOnly)" xfId="1032"/>
    <cellStyle name="_ABIRM Financials-March'06_17.10.2006" xfId="1033"/>
    <cellStyle name="_ABIRM Financials-March'06_25.10.2006 - Final" xfId="1034"/>
    <cellStyle name="_ABIRM Financials-March'06_Draft" xfId="1035"/>
    <cellStyle name="_ABIRM Financials-March'07_26_07_07" xfId="1036"/>
    <cellStyle name="_ABIRM_Annual_FBT_03_10_07" xfId="1037"/>
    <cellStyle name="_ABIRM_India_Form3Cd_Annx_15.10.07_Final" xfId="1038"/>
    <cellStyle name="_ABIRM_India_Form3Cd_Annx_Draft1" xfId="1039"/>
    <cellStyle name="_ABIRM_India_Mar 08_Tax Depreciation" xfId="1040"/>
    <cellStyle name="_ABIRM_Revised Financial_Statement_March08_11_09_08_Revised" xfId="1041"/>
    <cellStyle name="_Acam Financials-Mar 06" xfId="1042"/>
    <cellStyle name="_Acam Financials-Mar 06_Final" xfId="1043"/>
    <cellStyle name="_Acam Financials-Mar 06_Final_Minteq Financials March-09" xfId="1044"/>
    <cellStyle name="_Acam Financials-Mar 06_Minteq Financials March-09" xfId="1045"/>
    <cellStyle name="_Apax_India_FBT_F.Y. 2007-08_Final_Revised_05_05_08" xfId="1046"/>
    <cellStyle name="_APAX_India_FBT_F.Y.2007-08" xfId="1047"/>
    <cellStyle name="_APAX_India_Fianancial_Reporting_Q4_Jan 08 to Mar 08" xfId="1048"/>
    <cellStyle name="_APAX_Mar 08_Financial_Final_06_07_08_v1" xfId="1049"/>
    <cellStyle name="_APAX_Mar07_ Revised_June_16_07( Period 13 entires)" xfId="1050"/>
    <cellStyle name="_APAX_Mar07_ Revised_June_16_07( Period 13 entires)_Minteq Financials March-09" xfId="1051"/>
    <cellStyle name="_APAX_Mar07_Revised_Apr_07_07" xfId="1052"/>
    <cellStyle name="_APAX_Mar07_Revised_Apr_07_07_Minteq Financials March-09" xfId="1053"/>
    <cellStyle name="_April - GRO Financial Reporting v4" xfId="1054"/>
    <cellStyle name="_April - GRO Financial Reporting v4_Sheet2" xfId="1055"/>
    <cellStyle name="_APX_India_Mar 08_Tax Depreciation" xfId="1056"/>
    <cellStyle name="_AR Ageing Sep-06 V.2" xfId="1057"/>
    <cellStyle name="_AR Ageing Sep-06 V.2_Sheet2" xfId="1058"/>
    <cellStyle name="_Attachment I - September MDA Schedule v1.1" xfId="1059"/>
    <cellStyle name="_Attachment I - September MDA Schedule v1.1_Sheet2" xfId="1060"/>
    <cellStyle name="_AUG 10 KPI sheet" xfId="1"/>
    <cellStyle name="_AUG 10 KPI sheet 2" xfId="1061"/>
    <cellStyle name="_Aug-10" xfId="2"/>
    <cellStyle name="_Aug-10 2" xfId="1062"/>
    <cellStyle name="_Blackheath April Reporting Package 5 23 06 final" xfId="1063"/>
    <cellStyle name="_Blackheath April Reporting Package 5 23 06 final_Sheet2" xfId="1064"/>
    <cellStyle name="_Book1" xfId="3"/>
    <cellStyle name="_Book1 (11)" xfId="4"/>
    <cellStyle name="_Book1 (11) 2" xfId="1065"/>
    <cellStyle name="_Book1 (3) (2) (2) (2)" xfId="5"/>
    <cellStyle name="_Book1 (3) (2) (2) (2) 2" xfId="1066"/>
    <cellStyle name="_Book1 (32)" xfId="6"/>
    <cellStyle name="_Book1 (32) 2" xfId="1067"/>
    <cellStyle name="_Book1 2" xfId="1068"/>
    <cellStyle name="_Book2" xfId="7"/>
    <cellStyle name="_Book2 2" xfId="1069"/>
    <cellStyle name="_Book2_Sheet2" xfId="1070"/>
    <cellStyle name="_Book3" xfId="1071"/>
    <cellStyle name="_Book3_Sheet2" xfId="1072"/>
    <cellStyle name="_capvar" xfId="1073"/>
    <cellStyle name="_capvar_Sheet2" xfId="1074"/>
    <cellStyle name="_CIP Mar'11" xfId="8"/>
    <cellStyle name="_CIP Mar'11 2" xfId="1075"/>
    <cellStyle name="_CIP statement for June 2010" xfId="9"/>
    <cellStyle name="_CIP statement for June 2010 2" xfId="1076"/>
    <cellStyle name="_CMB ABP 2009-10_23.02.2009" xfId="1077"/>
    <cellStyle name="_CMB Sales ABP 2009-10(30.4.09)" xfId="10"/>
    <cellStyle name="_CMB Sales ABP 2009-10(30.4.09) 2" xfId="11"/>
    <cellStyle name="_COB Sales- Apr 08-Sept 08(Net)v3" xfId="1078"/>
    <cellStyle name="_COB_revised" xfId="12"/>
    <cellStyle name="_COB_revised 2" xfId="13"/>
    <cellStyle name="_Collection PL" xfId="1079"/>
    <cellStyle name="_Collection PL_Sheet2" xfId="1080"/>
    <cellStyle name="_Column1" xfId="1081"/>
    <cellStyle name="_Column2" xfId="1082"/>
    <cellStyle name="_Column3" xfId="1083"/>
    <cellStyle name="_Column4" xfId="1084"/>
    <cellStyle name="_Column5" xfId="1085"/>
    <cellStyle name="_Column6" xfId="1086"/>
    <cellStyle name="_Column7" xfId="1087"/>
    <cellStyle name="_Column7_Debtors analysis_June 2010" xfId="1088"/>
    <cellStyle name="_Column7_FINAL - Analytical Review FAL - Mar2010" xfId="1089"/>
    <cellStyle name="_Column7_final creditors" xfId="1090"/>
    <cellStyle name="_Comma" xfId="1091"/>
    <cellStyle name="_Computation final" xfId="1092"/>
    <cellStyle name="_Copy of Aug10_MRP (2)" xfId="14"/>
    <cellStyle name="_Copy of Aug10_MRP (2) 2" xfId="1093"/>
    <cellStyle name="_Copy of RCCP_Sept_25.09" xfId="15"/>
    <cellStyle name="_Copy of RCCP_Sept_25.09 2" xfId="1094"/>
    <cellStyle name="_Copy of SOP Variance Report_ May 10 (2)" xfId="16"/>
    <cellStyle name="_Copy of SOP Variance Report_ May 10 (2) 2" xfId="1095"/>
    <cellStyle name="_Copy of Zenta Normalization- Feb 06 Update-Final" xfId="1096"/>
    <cellStyle name="_Copy of Zenta Normalization- Feb 06 Update-Final V.1" xfId="1097"/>
    <cellStyle name="_Copy of Zenta Normalization- Feb 06 Update-Final V.1_Sheet2" xfId="1098"/>
    <cellStyle name="_Copy of Zenta Normalization- Feb 06 Update-Final_Sheet2" xfId="1099"/>
    <cellStyle name="_covenant calc" xfId="1100"/>
    <cellStyle name="_covenant calc_Sheet2" xfId="1101"/>
    <cellStyle name="_Currency" xfId="1102"/>
    <cellStyle name="_CurrencySpace" xfId="1103"/>
    <cellStyle name="_Current Liabilites &amp; Provision" xfId="1104"/>
    <cellStyle name="_Daily update_Jan" xfId="17"/>
    <cellStyle name="_Daily update_Jan 2" xfId="1105"/>
    <cellStyle name="_Data" xfId="1106"/>
    <cellStyle name="_Deferred Tax_FY 0506" xfId="1107"/>
    <cellStyle name="_Defrred tax   IT Depreciation(Statutory audit Satya)fINAL" xfId="1108"/>
    <cellStyle name="_Delivery" xfId="18"/>
    <cellStyle name="_Delivery 2" xfId="1109"/>
    <cellStyle name="_Delivery on time report format DECEMBER 10" xfId="19"/>
    <cellStyle name="_Delivery on time report format DECEMBER 10 2" xfId="1110"/>
    <cellStyle name="_Delivery schedules - JAN'11" xfId="20"/>
    <cellStyle name="_Delivery schedules - JAN'11 2" xfId="1111"/>
    <cellStyle name="_Deviation report-May'10" xfId="21"/>
    <cellStyle name="_Deviation report-May'10 2" xfId="1112"/>
    <cellStyle name="_Employee Cost" xfId="1113"/>
    <cellStyle name="_Eq_Research Advisory Fees_Working" xfId="1114"/>
    <cellStyle name="_Eq_Research Advisory Fees_Working_Minteq Financials March-09" xfId="1115"/>
    <cellStyle name="_Euro" xfId="1116"/>
    <cellStyle name="_FBT" xfId="1117"/>
    <cellStyle name="_FBT Working - Final" xfId="1118"/>
    <cellStyle name="_FBT_Minteq Financials March-09" xfId="1119"/>
    <cellStyle name="_FBT-16.03.06-31.03.06 break up incl" xfId="1120"/>
    <cellStyle name="_FBT-16.03.06-31.03.06 break up incl_Minteq Financials March-09" xfId="1121"/>
    <cellStyle name="_February - GRO Financial Reporting v5" xfId="1122"/>
    <cellStyle name="_February - GRO Financial Reporting v5_Sheet2" xfId="1123"/>
    <cellStyle name="_Financial Model vers 42006- ZENTA" xfId="1124"/>
    <cellStyle name="_Financial Model vers 42006- ZENTA (3)" xfId="1125"/>
    <cellStyle name="_Financial Model vers 42006- ZENTA GD Final" xfId="1126"/>
    <cellStyle name="_Financial Model vers 42006- ZENTA GD Final-3 (2)" xfId="1127"/>
    <cellStyle name="_Financial Model vers 42006- ZENTA GD Final-3 (3)" xfId="1128"/>
    <cellStyle name="_Financial Model vers 42006- ZENTA GD Final-3 (4)" xfId="1129"/>
    <cellStyle name="_Financial Model vers 42006- ZENTA GD Final-3 (5)" xfId="1130"/>
    <cellStyle name="_Financial Model vers 42006- ZENTA GD Final-ACS" xfId="1131"/>
    <cellStyle name="_Financials_Dec_06_Audit_May_21_2007_Final" xfId="1132"/>
    <cellStyle name="_First page" xfId="1133"/>
    <cellStyle name="_Fixed asset addition (Final)" xfId="1134"/>
    <cellStyle name="_Fixed asset addition Sparsh &amp; other" xfId="1135"/>
    <cellStyle name="_FY 2007  FY 2006 Quarterly Budget with Metrics" xfId="1136"/>
    <cellStyle name="_FY 2007  FY 2006 Quarterly Budget with Metrics_Sheet2" xfId="1137"/>
    <cellStyle name="_FY07 consolidated v2" xfId="1138"/>
    <cellStyle name="_FY07 consolidated v2_Sheet2" xfId="1139"/>
    <cellStyle name="_FY07 consolidated v3 FINAL ACS" xfId="1140"/>
    <cellStyle name="_FY07 consolidated v3 FINAL ACS_Sheet2" xfId="1141"/>
    <cellStyle name="_FY07 consolidated v4 FINAL ACS" xfId="1142"/>
    <cellStyle name="_FY07 consolidated v4 FINAL ACS_Sheet2" xfId="1143"/>
    <cellStyle name="_Header" xfId="1144"/>
    <cellStyle name="_Heading" xfId="1145"/>
    <cellStyle name="_Heading_prestemp" xfId="1146"/>
    <cellStyle name="_Heading_prestemp_FA" xfId="1147"/>
    <cellStyle name="_Heading_prestemp_Fixed Assets -HDPL-April07 May07June07  July07 revised" xfId="1148"/>
    <cellStyle name="_Heading_prestemp_Sheet2" xfId="1149"/>
    <cellStyle name="_Heading_prestemp_Sheet4" xfId="1150"/>
    <cellStyle name="_Healthcare PL" xfId="1151"/>
    <cellStyle name="_Healthcare PL_Sheet2" xfId="1152"/>
    <cellStyle name="_Highlight" xfId="1153"/>
    <cellStyle name="_IGAAP_STANDALONE_Q3 08_21.10.08_08.39 pm" xfId="1154"/>
    <cellStyle name="_Interest 234C" xfId="1155"/>
    <cellStyle name="_Interest Workings-TRIL  08- Husain Mar09- Final" xfId="1156"/>
    <cellStyle name="_JULY 10 KPI sheet" xfId="22"/>
    <cellStyle name="_JULY 10 KPI sheet 2" xfId="1157"/>
    <cellStyle name="_July deviation report" xfId="23"/>
    <cellStyle name="_July deviation report 2" xfId="1158"/>
    <cellStyle name="_June deviation report" xfId="24"/>
    <cellStyle name="_June deviation report 2" xfId="1159"/>
    <cellStyle name="_June week 4" xfId="25"/>
    <cellStyle name="_June week 4 2" xfId="1160"/>
    <cellStyle name="_MAR 10 KPI sheet" xfId="26"/>
    <cellStyle name="_MAR 10 KPI sheet 2" xfId="1161"/>
    <cellStyle name="_MAY 10 KPI sheet" xfId="27"/>
    <cellStyle name="_MAY 10 KPI sheet 2" xfId="1162"/>
    <cellStyle name="_May 2006 A_R Agings with comments 6 22 06" xfId="1163"/>
    <cellStyle name="_May 2006 A_R Agings with comments 6 22 06_Sheet2" xfId="1164"/>
    <cellStyle name="_Mfg MIS_Apr 10" xfId="28"/>
    <cellStyle name="_Mfg MIS_Apr 10 2" xfId="1165"/>
    <cellStyle name="_Mfg MIS_August 10" xfId="29"/>
    <cellStyle name="_Mfg MIS_August 10 2" xfId="1166"/>
    <cellStyle name="_Mfg MIS_Mar 10" xfId="30"/>
    <cellStyle name="_Mfg MIS_Mar 10 2" xfId="1167"/>
    <cellStyle name="_Mfg MIS_October 10" xfId="31"/>
    <cellStyle name="_Mfg MIS_October 10 2" xfId="1168"/>
    <cellStyle name="_Mfg MIS_September 10" xfId="32"/>
    <cellStyle name="_Mfg MIS_September 10 2" xfId="1169"/>
    <cellStyle name="_MFR Data Dec'05 V 7 (2)" xfId="1170"/>
    <cellStyle name="_MFR Data Dec'05 V 7 (2)_Sheet2" xfId="1171"/>
    <cellStyle name="_MFR Data Dec'05 V 7 (4)" xfId="1172"/>
    <cellStyle name="_MFR Data Dec'05 V 7 (4)_Sheet2" xfId="1173"/>
    <cellStyle name="_MFR Data Mar06 V 5" xfId="1174"/>
    <cellStyle name="_MFR Data Mar06 V 5_Sheet2" xfId="1175"/>
    <cellStyle name="_MFR Data Oct'05 V 11" xfId="1176"/>
    <cellStyle name="_MFR Data Oct'05 V 11_Sheet2" xfId="1177"/>
    <cellStyle name="_Minteq India_31.03.08_Summary - Calculation for Gratuity" xfId="1178"/>
    <cellStyle name="_MIS APR 10" xfId="33"/>
    <cellStyle name="_MIS APR 10 2" xfId="1179"/>
    <cellStyle name="_MIS AUG 10" xfId="34"/>
    <cellStyle name="_MIS AUG 10 2" xfId="1180"/>
    <cellStyle name="_MIS JULY 10" xfId="35"/>
    <cellStyle name="_MIS JULY 10 2" xfId="1181"/>
    <cellStyle name="_MIS JUNE 10" xfId="36"/>
    <cellStyle name="_MIS JUNE 10 2" xfId="1182"/>
    <cellStyle name="_MIS MAY 10" xfId="37"/>
    <cellStyle name="_MIS MAY 10 2" xfId="1183"/>
    <cellStyle name="_MIS OCT 10" xfId="38"/>
    <cellStyle name="_MIS OCT 10 2" xfId="1184"/>
    <cellStyle name="_MIS SEPT 10" xfId="39"/>
    <cellStyle name="_MIS SEPT 10 2" xfId="1185"/>
    <cellStyle name="_Miscellaneous Exp" xfId="1186"/>
    <cellStyle name="_MNTHLYJV (2)(from Harshe)" xfId="1187"/>
    <cellStyle name="_MNTHLYJV (2)(from Harshe)_. PROVISION Dec-2011" xfId="1188"/>
    <cellStyle name="_MNTHLYJV (2)(from Harshe)_Book1" xfId="1189"/>
    <cellStyle name="_MNTHLYJV (2)(from Harshe)_Book1_Kutch Stock Entry" xfId="1190"/>
    <cellStyle name="_MNTHLYJV (2)(from Harshe)_BS_PL_Nov 2011 v2" xfId="1191"/>
    <cellStyle name="_MNTHLYJV (2)(from Harshe)_Charges on Corporate Guarantee_June,11" xfId="1192"/>
    <cellStyle name="_MNTHLYJV (2)(from Harshe)_Consolidated provision for March,11 as on 31.12.2011" xfId="1193"/>
    <cellStyle name="_MNTHLYJV (2)(from Harshe)_Current liabilities &amp; Provisions_v7" xfId="1194"/>
    <cellStyle name="_MNTHLYJV (2)(from Harshe)_Interest on ICD" xfId="1195"/>
    <cellStyle name="_MNTHLYJV (2)(from Harshe)_Interest on Loans  Advances to Subsidiary companies Nov, 11" xfId="1196"/>
    <cellStyle name="_MNTHLYJV (2)(from Harshe)_Interest on Loans  Advances to Subsidiary companies Nov, 11_Interest on ICD" xfId="1197"/>
    <cellStyle name="_MNTHLYJV (2)(from Harshe)_Interest on Loans  Advances to Subsidiary companies Sept, 11" xfId="1198"/>
    <cellStyle name="_MNTHLYJV (2)(from Harshe)_Interest on Loans  Advances to Subsidiary companies Sept, 11_Kutch Stock Entry" xfId="1199"/>
    <cellStyle name="_MNTHLYJV (2)(from Harshe)_Kutch Stock Entry" xfId="1200"/>
    <cellStyle name="_MNTHLYJV (2)(from Harshe)_List of Journal entries for the month of june,2011" xfId="1201"/>
    <cellStyle name="_MNTHLYJV (2)(from Harshe)_List of JV for the month of Oct,2011" xfId="1202"/>
    <cellStyle name="_MNTHLYJV (2)(from Harshe)_Manual(stock) Accounts as on 31 03 2011" xfId="1203"/>
    <cellStyle name="_MNTHLYJV (2)(from Harshe)_Manual(stock) Accounts as on 31.10.2011" xfId="1204"/>
    <cellStyle name="_MNTHLYJV (2)(from Harshe)_Manual(stock) Accounts as on 31.10.2011_BS_PL_Nov 2011 v2" xfId="1205"/>
    <cellStyle name="_MNTHLYJV (2)(from Harshe)_Manual(stock) Accounts as on 31.10.2011_Interest on ICD" xfId="1206"/>
    <cellStyle name="_MNTHLYJV (2)(from Harshe)_Manual(stock) Accounts as on 31.10.2011_SCHEDULE NOV 2011" xfId="1207"/>
    <cellStyle name="_MNTHLYJV (2)(from Harshe)_Manual(stock) Accounts as on 31.12.2011" xfId="1208"/>
    <cellStyle name="_MNTHLYJV (2)(from Harshe)_Quantity Mismatch" xfId="1209"/>
    <cellStyle name="_MNTHLYJV (2)(from Harshe)_Quantity Mismatch_Kutch Stock Entry" xfId="1210"/>
    <cellStyle name="_MNTHLYJV (2)(from Harshe)_revaluation GPI   SP Zoo" xfId="1211"/>
    <cellStyle name="_MNTHLYJV (2)(from Harshe)_revaluation GPI   SP Zoo_Kutch Stock Entry" xfId="1212"/>
    <cellStyle name="_MNTHLYJV (2)(from Harshe)_Revaluation of CG charges" xfId="1213"/>
    <cellStyle name="_MNTHLYJV (2)(from Harshe)_Revaluation of CG charges_Kutch Stock Entry" xfId="1214"/>
    <cellStyle name="_MNTHLYJV (2)(from Harshe)_Schedule 8(d)-Loans &amp; Advances" xfId="1215"/>
    <cellStyle name="_MNTHLYJV (2)(from Harshe)_SCHEDULE NOV 2011" xfId="1216"/>
    <cellStyle name="_Monthly" xfId="1217"/>
    <cellStyle name="_Monthly_Sheet2" xfId="1218"/>
    <cellStyle name="_Multiple" xfId="1219"/>
    <cellStyle name="_MultipleSpace" xfId="1220"/>
    <cellStyle name="_New Microsoft Excel Worksheet" xfId="1221"/>
    <cellStyle name="_Non moving items stock statement as on 31st March (4)" xfId="40"/>
    <cellStyle name="_Non moving items stock statement as on 31st March (4) 2" xfId="1222"/>
    <cellStyle name="_Non Moving Material consumption Plan for Sept 10" xfId="41"/>
    <cellStyle name="_Non Moving Material consumption Plan for Sept 10 2" xfId="1223"/>
    <cellStyle name="_NOV_KPIs_Sheet_" xfId="42"/>
    <cellStyle name="_NOV_KPIs_Sheet_ 2" xfId="1224"/>
    <cellStyle name="_NPI II Financial report June 2006-Revised" xfId="1225"/>
    <cellStyle name="_NPI II Financial report November-06 revised (13-12-06)" xfId="1226"/>
    <cellStyle name="_NPI Tax-Audit-Form3CD 2005-06_F" xfId="1227"/>
    <cellStyle name="_NPI TDS FY 2006-2007" xfId="1228"/>
    <cellStyle name="_NPI TDS FY 2006-2007_Minteq Financials March-09" xfId="1229"/>
    <cellStyle name="_NPI_March'06_Financials_Audited Final" xfId="1230"/>
    <cellStyle name="_Oct plan" xfId="43"/>
    <cellStyle name="_Oct plan 10" xfId="44"/>
    <cellStyle name="_Oct plan 11" xfId="45"/>
    <cellStyle name="_Oct plan 12" xfId="46"/>
    <cellStyle name="_Oct plan 13" xfId="47"/>
    <cellStyle name="_Oct plan 14" xfId="48"/>
    <cellStyle name="_Oct plan 15" xfId="49"/>
    <cellStyle name="_Oct plan 16" xfId="50"/>
    <cellStyle name="_Oct plan 17" xfId="51"/>
    <cellStyle name="_Oct plan 18" xfId="52"/>
    <cellStyle name="_Oct plan 19" xfId="53"/>
    <cellStyle name="_Oct plan 2" xfId="54"/>
    <cellStyle name="_Oct plan 20" xfId="55"/>
    <cellStyle name="_Oct plan 21" xfId="56"/>
    <cellStyle name="_Oct plan 22" xfId="57"/>
    <cellStyle name="_Oct plan 23" xfId="58"/>
    <cellStyle name="_Oct plan 24" xfId="59"/>
    <cellStyle name="_Oct plan 25" xfId="60"/>
    <cellStyle name="_Oct plan 26" xfId="61"/>
    <cellStyle name="_Oct plan 27" xfId="62"/>
    <cellStyle name="_Oct plan 28" xfId="63"/>
    <cellStyle name="_Oct plan 29" xfId="64"/>
    <cellStyle name="_Oct plan 3" xfId="65"/>
    <cellStyle name="_Oct plan 30" xfId="66"/>
    <cellStyle name="_Oct plan 31" xfId="67"/>
    <cellStyle name="_Oct plan 32" xfId="68"/>
    <cellStyle name="_Oct plan 4" xfId="69"/>
    <cellStyle name="_Oct plan 5" xfId="70"/>
    <cellStyle name="_Oct plan 6" xfId="71"/>
    <cellStyle name="_Oct plan 7" xfId="72"/>
    <cellStyle name="_Oct plan 8" xfId="73"/>
    <cellStyle name="_Oct plan 9" xfId="74"/>
    <cellStyle name="_Oct plan_LC availability- Jan'11" xfId="75"/>
    <cellStyle name="_Oct plan_Oleo cost sheet for ABP 2010-11_Revised" xfId="76"/>
    <cellStyle name="_Oct plan_Oleo cost sheet for ABP 2010-11_Revised 2" xfId="77"/>
    <cellStyle name="_Oct plan_Volumes Sales Forecast-ABP_2011-12" xfId="78"/>
    <cellStyle name="_Oct plan_Xl0000012" xfId="79"/>
    <cellStyle name="_Oleo Cost Sheets MAy 14 updated with year costs" xfId="80"/>
    <cellStyle name="_Oleo Cost Sheets MAy 14 updated with year costs 2" xfId="81"/>
    <cellStyle name="_Oleo Cost Sheets MAy 14 updated with year costs_Noodle requirement" xfId="82"/>
    <cellStyle name="_Oleo Cost Sheets MAy 14 updated with year costs_Noodle requirement 10" xfId="83"/>
    <cellStyle name="_Oleo Cost Sheets MAy 14 updated with year costs_Noodle requirement 11" xfId="84"/>
    <cellStyle name="_Oleo Cost Sheets MAy 14 updated with year costs_Noodle requirement 12" xfId="85"/>
    <cellStyle name="_Oleo Cost Sheets MAy 14 updated with year costs_Noodle requirement 13" xfId="86"/>
    <cellStyle name="_Oleo Cost Sheets MAy 14 updated with year costs_Noodle requirement 14" xfId="87"/>
    <cellStyle name="_Oleo Cost Sheets MAy 14 updated with year costs_Noodle requirement 15" xfId="88"/>
    <cellStyle name="_Oleo Cost Sheets MAy 14 updated with year costs_Noodle requirement 16" xfId="89"/>
    <cellStyle name="_Oleo Cost Sheets MAy 14 updated with year costs_Noodle requirement 17" xfId="90"/>
    <cellStyle name="_Oleo Cost Sheets MAy 14 updated with year costs_Noodle requirement 18" xfId="91"/>
    <cellStyle name="_Oleo Cost Sheets MAy 14 updated with year costs_Noodle requirement 19" xfId="92"/>
    <cellStyle name="_Oleo Cost Sheets MAy 14 updated with year costs_Noodle requirement 2" xfId="93"/>
    <cellStyle name="_Oleo Cost Sheets MAy 14 updated with year costs_Noodle requirement 20" xfId="94"/>
    <cellStyle name="_Oleo Cost Sheets MAy 14 updated with year costs_Noodle requirement 21" xfId="95"/>
    <cellStyle name="_Oleo Cost Sheets MAy 14 updated with year costs_Noodle requirement 22" xfId="96"/>
    <cellStyle name="_Oleo Cost Sheets MAy 14 updated with year costs_Noodle requirement 23" xfId="97"/>
    <cellStyle name="_Oleo Cost Sheets MAy 14 updated with year costs_Noodle requirement 24" xfId="98"/>
    <cellStyle name="_Oleo Cost Sheets MAy 14 updated with year costs_Noodle requirement 25" xfId="99"/>
    <cellStyle name="_Oleo Cost Sheets MAy 14 updated with year costs_Noodle requirement 26" xfId="100"/>
    <cellStyle name="_Oleo Cost Sheets MAy 14 updated with year costs_Noodle requirement 27" xfId="101"/>
    <cellStyle name="_Oleo Cost Sheets MAy 14 updated with year costs_Noodle requirement 28" xfId="102"/>
    <cellStyle name="_Oleo Cost Sheets MAy 14 updated with year costs_Noodle requirement 29" xfId="103"/>
    <cellStyle name="_Oleo Cost Sheets MAy 14 updated with year costs_Noodle requirement 3" xfId="104"/>
    <cellStyle name="_Oleo Cost Sheets MAy 14 updated with year costs_Noodle requirement 30" xfId="105"/>
    <cellStyle name="_Oleo Cost Sheets MAy 14 updated with year costs_Noodle requirement 31" xfId="106"/>
    <cellStyle name="_Oleo Cost Sheets MAy 14 updated with year costs_Noodle requirement 4" xfId="107"/>
    <cellStyle name="_Oleo Cost Sheets MAy 14 updated with year costs_Noodle requirement 5" xfId="108"/>
    <cellStyle name="_Oleo Cost Sheets MAy 14 updated with year costs_Noodle requirement 6" xfId="109"/>
    <cellStyle name="_Oleo Cost Sheets MAy 14 updated with year costs_Noodle requirement 7" xfId="110"/>
    <cellStyle name="_Oleo Cost Sheets MAy 14 updated with year costs_Noodle requirement 8" xfId="111"/>
    <cellStyle name="_Oleo Cost Sheets MAy 14 updated with year costs_Noodle requirement 9" xfId="112"/>
    <cellStyle name="_Oleo Cost Sheets MAy 14 updated with year costs_Oleo cost sheet for ABP 2010-11_Revised" xfId="113"/>
    <cellStyle name="_Oleo Cost Sheets MAy 14 updated with year costs_Oleo cost sheet for ABP 2010-11_Revised 2" xfId="114"/>
    <cellStyle name="_Oleo Cost Sheets MAy 14 updated with year costs_VVF May 10" xfId="115"/>
    <cellStyle name="_Oleo Cost Sheets MAy 14 updated with year costs_VVF May 10 2" xfId="116"/>
    <cellStyle name="_Oleo Cost Sheets MAy_30_ updated ABP costs_ver01" xfId="1231"/>
    <cellStyle name="_Other Financial Charges_LC Interest_monthly p&amp;l version v02" xfId="117"/>
    <cellStyle name="_Overhead Var_Dec'09" xfId="118"/>
    <cellStyle name="_Overhead Var_Dec'09 2" xfId="1232"/>
    <cellStyle name="_OVERHEAD Var_Feb'10" xfId="119"/>
    <cellStyle name="_OVERHEAD Var_Feb'10 2" xfId="1233"/>
    <cellStyle name="_OVERHEAD Var_Jan'10" xfId="120"/>
    <cellStyle name="_OVERHEAD Var_Jan'10 2" xfId="1234"/>
    <cellStyle name="_Overhead Var_Nov'09" xfId="121"/>
    <cellStyle name="_Overhead Var_Nov'09 2" xfId="1235"/>
    <cellStyle name="_Overhead Var_Oct'09" xfId="122"/>
    <cellStyle name="_Overhead Var_Oct'09 2" xfId="1236"/>
    <cellStyle name="_PBC" xfId="1237"/>
    <cellStyle name="_PBC_form 3cd tds schedule" xfId="1238"/>
    <cellStyle name="_PCP cost sheets ABP costs May 25thv2" xfId="123"/>
    <cellStyle name="_PCP cost sheets ABP costs May 25thv2 2" xfId="124"/>
    <cellStyle name="_Period 13 entires" xfId="1239"/>
    <cellStyle name="_Period 13 entires Mar 08" xfId="1240"/>
    <cellStyle name="_Pl-07Sales Comparison" xfId="1241"/>
    <cellStyle name="_Pl-07Sales Comparison_Privi BS 2009 3.0" xfId="1242"/>
    <cellStyle name="_Production plan" xfId="125"/>
    <cellStyle name="_Production plan 2" xfId="1243"/>
    <cellStyle name="_Production Plan vs actual deviation report" xfId="126"/>
    <cellStyle name="_Production Plan vs actual deviation report 2" xfId="1244"/>
    <cellStyle name="_Production Plan Vs Actual till 13th Jan 10" xfId="127"/>
    <cellStyle name="_Production Plan Vs Actual till 13th Jan 10 2" xfId="1245"/>
    <cellStyle name="_Profit  Loss Account  ABIRM_March 08_Revised" xfId="1246"/>
    <cellStyle name="_Profit_and_Loss_Statement_VVF_Consolidated_Final_with_New_Price_Realizationv 8" xfId="128"/>
    <cellStyle name="_Profit_and_Loss_Statement_VVF_Consolidated_Final_with_New_Price_Realizationv 8 2" xfId="129"/>
    <cellStyle name="_Proforma Rev   EBITDA TTM-9" xfId="1247"/>
    <cellStyle name="_Proforma Rev   EBITDA TTM-9_Sheet2" xfId="1248"/>
    <cellStyle name="_Q1 Board Meeting - Prospect List v2 (4)" xfId="1249"/>
    <cellStyle name="_Q1 Board Meeting - Prospect List v2 (4)_Sheet2" xfId="1250"/>
    <cellStyle name="_RCCP_abp" xfId="130"/>
    <cellStyle name="_RCCP_abp 2" xfId="1251"/>
    <cellStyle name="_RCCP_abp_LC availability- Jan'11" xfId="131"/>
    <cellStyle name="_RCCP_abp_v3" xfId="132"/>
    <cellStyle name="_RCCP_abp_Xl0000012" xfId="133"/>
    <cellStyle name="_RCCP_Aug_v1_26.08" xfId="134"/>
    <cellStyle name="_RCCP_Aug_v1_26.08 2" xfId="1252"/>
    <cellStyle name="_RCCP_Oct_25.10_final" xfId="135"/>
    <cellStyle name="_RCCP_Oct_25.10_final 2" xfId="1253"/>
    <cellStyle name="_RCCP_Oct_28.10" xfId="136"/>
    <cellStyle name="_RCCP_Oct_28.10 2" xfId="1254"/>
    <cellStyle name="_RCCP_Oleo_ABP_v3" xfId="137"/>
    <cellStyle name="_RCCP_Oleo_ABP_v3 2" xfId="138"/>
    <cellStyle name="_RCCP_Oleo_ABP_v3_LC availability- Jan'11" xfId="139"/>
    <cellStyle name="_RCCP_Oleo_ABP_v3_Noodle requirement" xfId="140"/>
    <cellStyle name="_RCCP_Oleo_ABP_v3_Noodle requirement 10" xfId="141"/>
    <cellStyle name="_RCCP_Oleo_ABP_v3_Noodle requirement 11" xfId="142"/>
    <cellStyle name="_RCCP_Oleo_ABP_v3_Noodle requirement 12" xfId="143"/>
    <cellStyle name="_RCCP_Oleo_ABP_v3_Noodle requirement 13" xfId="144"/>
    <cellStyle name="_RCCP_Oleo_ABP_v3_Noodle requirement 14" xfId="145"/>
    <cellStyle name="_RCCP_Oleo_ABP_v3_Noodle requirement 15" xfId="146"/>
    <cellStyle name="_RCCP_Oleo_ABP_v3_Noodle requirement 16" xfId="147"/>
    <cellStyle name="_RCCP_Oleo_ABP_v3_Noodle requirement 17" xfId="148"/>
    <cellStyle name="_RCCP_Oleo_ABP_v3_Noodle requirement 18" xfId="149"/>
    <cellStyle name="_RCCP_Oleo_ABP_v3_Noodle requirement 19" xfId="150"/>
    <cellStyle name="_RCCP_Oleo_ABP_v3_Noodle requirement 2" xfId="151"/>
    <cellStyle name="_RCCP_Oleo_ABP_v3_Noodle requirement 20" xfId="152"/>
    <cellStyle name="_RCCP_Oleo_ABP_v3_Noodle requirement 21" xfId="153"/>
    <cellStyle name="_RCCP_Oleo_ABP_v3_Noodle requirement 22" xfId="154"/>
    <cellStyle name="_RCCP_Oleo_ABP_v3_Noodle requirement 23" xfId="155"/>
    <cellStyle name="_RCCP_Oleo_ABP_v3_Noodle requirement 24" xfId="156"/>
    <cellStyle name="_RCCP_Oleo_ABP_v3_Noodle requirement 25" xfId="157"/>
    <cellStyle name="_RCCP_Oleo_ABP_v3_Noodle requirement 26" xfId="158"/>
    <cellStyle name="_RCCP_Oleo_ABP_v3_Noodle requirement 27" xfId="159"/>
    <cellStyle name="_RCCP_Oleo_ABP_v3_Noodle requirement 28" xfId="160"/>
    <cellStyle name="_RCCP_Oleo_ABP_v3_Noodle requirement 29" xfId="161"/>
    <cellStyle name="_RCCP_Oleo_ABP_v3_Noodle requirement 3" xfId="162"/>
    <cellStyle name="_RCCP_Oleo_ABP_v3_Noodle requirement 30" xfId="163"/>
    <cellStyle name="_RCCP_Oleo_ABP_v3_Noodle requirement 31" xfId="164"/>
    <cellStyle name="_RCCP_Oleo_ABP_v3_Noodle requirement 4" xfId="165"/>
    <cellStyle name="_RCCP_Oleo_ABP_v3_Noodle requirement 5" xfId="166"/>
    <cellStyle name="_RCCP_Oleo_ABP_v3_Noodle requirement 6" xfId="167"/>
    <cellStyle name="_RCCP_Oleo_ABP_v3_Noodle requirement 7" xfId="168"/>
    <cellStyle name="_RCCP_Oleo_ABP_v3_Noodle requirement 8" xfId="169"/>
    <cellStyle name="_RCCP_Oleo_ABP_v3_Noodle requirement 9" xfId="170"/>
    <cellStyle name="_RCCP_Oleo_ABP_v3_Oleo cost sheet for ABP 2010-11_Revised" xfId="171"/>
    <cellStyle name="_RCCP_Oleo_ABP_v3_Oleo cost sheet for ABP 2010-11_Revised 2" xfId="172"/>
    <cellStyle name="_RCCP_Oleo_ABP_v3_Xl0000012" xfId="173"/>
    <cellStyle name="_RCCP_Sept_29.09" xfId="174"/>
    <cellStyle name="_RCCP_Sept_29.09 2" xfId="1255"/>
    <cellStyle name="_Related party3" xfId="1256"/>
    <cellStyle name="_Revenue Analysis (Projected vs Actual) Apr'06 New Format V.2" xfId="1257"/>
    <cellStyle name="_Revenue Schedule" xfId="1258"/>
    <cellStyle name="_Revenue Schedule_Sheet2" xfId="1259"/>
    <cellStyle name="_RM_Inventory_Days_FY08" xfId="175"/>
    <cellStyle name="_RM_Inventory_Days_FY08 2" xfId="1260"/>
    <cellStyle name="_Row1" xfId="1261"/>
    <cellStyle name="_Row2" xfId="1262"/>
    <cellStyle name="_Row3" xfId="1263"/>
    <cellStyle name="_Row4" xfId="1264"/>
    <cellStyle name="_Row5" xfId="1265"/>
    <cellStyle name="_Row6" xfId="1266"/>
    <cellStyle name="_Row7" xfId="1267"/>
    <cellStyle name="_Row7_Debtors analysis_June 2010" xfId="1268"/>
    <cellStyle name="_Row7_FINAL - Analytical Review FAL - Mar2010" xfId="1269"/>
    <cellStyle name="_Row7_final creditors" xfId="1270"/>
    <cellStyle name="_S&amp;OP Variance Report_ May 10" xfId="176"/>
    <cellStyle name="_S&amp;OP Variance Report_ May 10 2" xfId="1271"/>
    <cellStyle name="_S&amp;OP Variance Report_April 11" xfId="177"/>
    <cellStyle name="_S&amp;OP Variance Report_April 11 2" xfId="1272"/>
    <cellStyle name="_Sept deviation report" xfId="178"/>
    <cellStyle name="_Sept deviation report 2" xfId="1273"/>
    <cellStyle name="_Sept plan" xfId="179"/>
    <cellStyle name="_Sept plan 2" xfId="1274"/>
    <cellStyle name="_SGA Salary Cuts" xfId="1275"/>
    <cellStyle name="_SGA Salary Cuts_Sheet2" xfId="1276"/>
    <cellStyle name="_SGA Salary Cuts-2" xfId="1277"/>
    <cellStyle name="_SGA Salary Cuts-2_Sheet2" xfId="1278"/>
    <cellStyle name="_Sl GL- Final-Done" xfId="1279"/>
    <cellStyle name="_Sl GL- Final-Done_form 3cd tds schedule" xfId="1280"/>
    <cellStyle name="_Slow Moving Inventory Plan Vs Actual augest (2)" xfId="180"/>
    <cellStyle name="_Slow Moving Inventory Plan Vs Actual augest (2) 2" xfId="1281"/>
    <cellStyle name="_Slow Moving stock consumpiton plan for July 2010" xfId="181"/>
    <cellStyle name="_Slow Moving stock consumpiton plan for July 2010 2" xfId="1282"/>
    <cellStyle name="_Slow moving-June" xfId="182"/>
    <cellStyle name="_Slow moving-June 2" xfId="1283"/>
    <cellStyle name="_SNOP (Mar-June)" xfId="183"/>
    <cellStyle name="_SNOP (Mar-June) 2" xfId="1284"/>
    <cellStyle name="_SNOP plan-June" xfId="184"/>
    <cellStyle name="_SNOP plan-June 2" xfId="1285"/>
    <cellStyle name="_SOP Variance Report_ August 10" xfId="185"/>
    <cellStyle name="_SOP Variance Report_ August 10 2" xfId="1286"/>
    <cellStyle name="_SOP Variance Report_ July 10_Rev 14 08 10" xfId="186"/>
    <cellStyle name="_SOP Variance Report_ July 10_Rev 14 08 10 2" xfId="1287"/>
    <cellStyle name="_SOP Variance Report_ June 10" xfId="187"/>
    <cellStyle name="_SOP Variance Report_ June 10 2" xfId="1288"/>
    <cellStyle name="_SOP Variance Report_ May 10 (2)" xfId="188"/>
    <cellStyle name="_SOP Variance Report_ May 10 (2) 2" xfId="1289"/>
    <cellStyle name="_SOP Variance Report_ Oct 10" xfId="189"/>
    <cellStyle name="_SOP Variance Report_ Oct 10 2" xfId="1290"/>
    <cellStyle name="_SOP Variance Report_ Sept 10" xfId="190"/>
    <cellStyle name="_SOP Variance Report_ Sept 10 2" xfId="1291"/>
    <cellStyle name="_Stk_270510" xfId="191"/>
    <cellStyle name="_Stk_270510 2" xfId="1292"/>
    <cellStyle name="_Stock tally_v2" xfId="192"/>
    <cellStyle name="_Stock tally_v2 10" xfId="193"/>
    <cellStyle name="_Stock tally_v2 11" xfId="194"/>
    <cellStyle name="_Stock tally_v2 12" xfId="195"/>
    <cellStyle name="_Stock tally_v2 13" xfId="196"/>
    <cellStyle name="_Stock tally_v2 14" xfId="197"/>
    <cellStyle name="_Stock tally_v2 15" xfId="198"/>
    <cellStyle name="_Stock tally_v2 16" xfId="199"/>
    <cellStyle name="_Stock tally_v2 17" xfId="200"/>
    <cellStyle name="_Stock tally_v2 18" xfId="201"/>
    <cellStyle name="_Stock tally_v2 19" xfId="202"/>
    <cellStyle name="_Stock tally_v2 2" xfId="203"/>
    <cellStyle name="_Stock tally_v2 20" xfId="204"/>
    <cellStyle name="_Stock tally_v2 21" xfId="205"/>
    <cellStyle name="_Stock tally_v2 22" xfId="206"/>
    <cellStyle name="_Stock tally_v2 23" xfId="207"/>
    <cellStyle name="_Stock tally_v2 24" xfId="208"/>
    <cellStyle name="_Stock tally_v2 25" xfId="209"/>
    <cellStyle name="_Stock tally_v2 26" xfId="210"/>
    <cellStyle name="_Stock tally_v2 27" xfId="211"/>
    <cellStyle name="_Stock tally_v2 28" xfId="212"/>
    <cellStyle name="_Stock tally_v2 29" xfId="213"/>
    <cellStyle name="_Stock tally_v2 3" xfId="214"/>
    <cellStyle name="_Stock tally_v2 30" xfId="215"/>
    <cellStyle name="_Stock tally_v2 31" xfId="216"/>
    <cellStyle name="_Stock tally_v2 32" xfId="217"/>
    <cellStyle name="_Stock tally_v2 4" xfId="218"/>
    <cellStyle name="_Stock tally_v2 5" xfId="219"/>
    <cellStyle name="_Stock tally_v2 6" xfId="220"/>
    <cellStyle name="_Stock tally_v2 7" xfId="221"/>
    <cellStyle name="_Stock tally_v2 8" xfId="222"/>
    <cellStyle name="_Stock tally_v2 9" xfId="223"/>
    <cellStyle name="_Stock tally_v2_LC availability- Jan'11" xfId="224"/>
    <cellStyle name="_SubHeading" xfId="1293"/>
    <cellStyle name="_SubHeading_prestemp" xfId="1294"/>
    <cellStyle name="_SubHeading_prestemp_FA" xfId="1295"/>
    <cellStyle name="_SubHeading_prestemp_Fixed Assets -HDPL-April07 May07June07  July07 revised" xfId="1296"/>
    <cellStyle name="_SubHeading_prestemp_Sheet2" xfId="1297"/>
    <cellStyle name="_SubHeading_prestemp_Sheet4" xfId="1298"/>
    <cellStyle name="_Summary RCCP For Aug 2010_Oleo" xfId="225"/>
    <cellStyle name="_Summary RCCP For Aug 2010_Oleo 2" xfId="1299"/>
    <cellStyle name="_Summary RCCP for Nov 2010_Oleo_11 11 10" xfId="226"/>
    <cellStyle name="_Summary RCCP for Nov 2010_Oleo_11 11 10 2" xfId="1300"/>
    <cellStyle name="_Summary RCCP for Sept 2010_Oleo" xfId="227"/>
    <cellStyle name="_Summary RCCP for Sept 2010_Oleo 2" xfId="1301"/>
    <cellStyle name="_Supply comm_final" xfId="228"/>
    <cellStyle name="_Supply comm_final 2" xfId="229"/>
    <cellStyle name="_Supply summary" xfId="230"/>
    <cellStyle name="_Supply summary 2" xfId="1302"/>
    <cellStyle name="_Suumary SNOP for July'10" xfId="231"/>
    <cellStyle name="_Suumary SNOP for July'10 2" xfId="1303"/>
    <cellStyle name="_Table" xfId="1304"/>
    <cellStyle name="_TableHead" xfId="1305"/>
    <cellStyle name="_TableRowHead" xfId="1306"/>
    <cellStyle name="_TableSuperHead" xfId="1307"/>
    <cellStyle name="_Tax audit annexures" xfId="1308"/>
    <cellStyle name="_Tax_Computation_Apax_India_Mar08" xfId="1309"/>
    <cellStyle name="_Taxation March 07" xfId="1310"/>
    <cellStyle name="_Telephone &amp; Communcication" xfId="1311"/>
    <cellStyle name="_TPIPL-Final Accounts 2009 (10.02.2010)" xfId="1312"/>
    <cellStyle name="_Travel &amp; Conveyance" xfId="1313"/>
    <cellStyle name="_Travelling Provisions Given by Shelly" xfId="1314"/>
    <cellStyle name="_Travelling Provisions Given by Shelly_Charges on Corporate Guarantee_June,11" xfId="1315"/>
    <cellStyle name="_Travelling Provisions Given by Shelly_Final accruals_23 4 2011 V2(Manual)" xfId="1316"/>
    <cellStyle name="_Travelling Provisions Given by Shelly_Final accruals_23 4 2011 V2(Manual)_BS_PL_Nov 2011 v2" xfId="1317"/>
    <cellStyle name="_Travelling Provisions Given by Shelly_Final accruals_23 4 2011 V2(Manual)_Consolidated provision for March,11 as on 31.12.2011" xfId="1318"/>
    <cellStyle name="_Travelling Provisions Given by Shelly_Final accruals_23 4 2011 V2(Manual)_Interest on ICD" xfId="1319"/>
    <cellStyle name="_Travelling Provisions Given by Shelly_Final accruals_23 4 2011 V2(Manual)_SCHEDULE NOV 2011" xfId="1320"/>
    <cellStyle name="_Travelling Provisions Given by Shelly_Interest on Loans  Advances to Subsidiary companies  Revised working as per new rates v3" xfId="1321"/>
    <cellStyle name="_Travelling Provisions Given by Shelly_Interest on Loans  Advances to Subsidiary companies Nov, 11" xfId="1322"/>
    <cellStyle name="_Travelling Provisions Given by Shelly_Interest on Loans  Advances to Subsidiary companies Nov, 11_Interest on ICD" xfId="1323"/>
    <cellStyle name="_Travelling Provisions Given by Shelly_Interest on Loans  Advances to Subsidiary companies Oct, 11" xfId="1324"/>
    <cellStyle name="_Travelling Provisions Given by Shelly_Interest on Loans  Advances to Subsidiary companies Oct, 11_BS_PL_Nov 2011 v2" xfId="1325"/>
    <cellStyle name="_Travelling Provisions Given by Shelly_Interest on Loans  Advances to Subsidiary companies Oct, 11_Interest on ICD" xfId="1326"/>
    <cellStyle name="_Travelling Provisions Given by Shelly_Interest on Loans  Advances to Subsidiary companies Oct, 11_SCHEDULE NOV 2011" xfId="1327"/>
    <cellStyle name="_Travelling Provisions Given by Shelly_Interest on Loans  Advances to Subsidiary companies Sept, 11" xfId="1328"/>
    <cellStyle name="_Travelling Provisions Given by Shelly_Interest on Loans  Advances to Subsidiary companies Sept, 11_Kutch Stock Entry" xfId="1329"/>
    <cellStyle name="_Travelling Provisions Given by Shelly_Kutch Stock Entry" xfId="1330"/>
    <cellStyle name="_Travelling Provisions Given by Shelly_List of Journal entries for the month of june,2011" xfId="1331"/>
    <cellStyle name="_Travelling Provisions Given by Shelly_List of Journal Entries for the month of March,2011" xfId="1332"/>
    <cellStyle name="_Travelling Provisions Given by Shelly_List of Journal Entries for the month of March,2011_BS_PL_Nov 2011 v2" xfId="1333"/>
    <cellStyle name="_Travelling Provisions Given by Shelly_List of Journal Entries for the month of March,2011_Consolidated provision for March,11 as on 31.12.2011" xfId="1334"/>
    <cellStyle name="_Travelling Provisions Given by Shelly_List of Journal Entries for the month of March,2011_Interest on ICD" xfId="1335"/>
    <cellStyle name="_Travelling Provisions Given by Shelly_List of Journal Entries for the month of March,2011_SCHEDULE NOV 2011" xfId="1336"/>
    <cellStyle name="_Travelling Provisions Given by Shelly_Manual(stock) Accounts as on 31 03 2011" xfId="1337"/>
    <cellStyle name="_Travelling Provisions Given by Shelly_Manual(stock) Accounts as on 31.10.2011" xfId="1338"/>
    <cellStyle name="_Travelling Provisions Given by Shelly_Manual(stock) Accounts as on 31.10.2011_BS_PL_Nov 2011 v2" xfId="1339"/>
    <cellStyle name="_Travelling Provisions Given by Shelly_Manual(stock) Accounts as on 31.10.2011_Interest on ICD" xfId="1340"/>
    <cellStyle name="_Travelling Provisions Given by Shelly_Manual(stock) Accounts as on 31.10.2011_SCHEDULE NOV 2011" xfId="1341"/>
    <cellStyle name="_Travelling Provisions Given by Shelly_Manual(stock) Accounts as on 31.12.2011" xfId="1342"/>
    <cellStyle name="_Travelling Provisions Given by Shelly_Quantity Mismatch" xfId="1343"/>
    <cellStyle name="_Travelling Provisions Given by Shelly_Quantity Mismatch_Kutch Stock Entry" xfId="1344"/>
    <cellStyle name="_Travelling Provisions Given by Shelly_revaluation GPI   SP Zoo" xfId="1345"/>
    <cellStyle name="_Travelling Provisions Given by Shelly_revaluation GPI   SP Zoo_Kutch Stock Entry" xfId="1346"/>
    <cellStyle name="_Travelling Provisions Given by Shelly_Revaluation of CG charges" xfId="1347"/>
    <cellStyle name="_Travelling Provisions Given by Shelly_Revaluation of CG charges_Kutch Stock Entry" xfId="1348"/>
    <cellStyle name="_TRIL  2008-09   Financials upto Feb 09" xfId="1349"/>
    <cellStyle name="_Volume_realization_forecast" xfId="232"/>
    <cellStyle name="_Volume_realization_forecast 2" xfId="233"/>
    <cellStyle name="_VVF ABP 09-10 Vs. Actual 08-09 at 75%" xfId="234"/>
    <cellStyle name="_VVF ABP 09-10 Vs. Actual 08-09 at 75% 2" xfId="235"/>
    <cellStyle name="_VVF March 09 .xls" xfId="236"/>
    <cellStyle name="_VVF March 09 .xls 2" xfId="237"/>
    <cellStyle name="_VVF YTD Dec' 09" xfId="238"/>
    <cellStyle name="_Weekly Plan Attainment for Week 3" xfId="239"/>
    <cellStyle name="_Weekly Plan Attainment for Week 3 2" xfId="1350"/>
    <cellStyle name="_Weekly plan attainment-May" xfId="240"/>
    <cellStyle name="_Weekly plan attainment-May 2" xfId="1351"/>
    <cellStyle name="_Zenta FY 07 Detailed Revenue Build Up-1" xfId="1352"/>
    <cellStyle name="_Zenta FY 07 Detailed Revenue Build Up-1_Sheet2" xfId="1353"/>
    <cellStyle name="_Zenta MFR Data Jan'06 V.2" xfId="1354"/>
    <cellStyle name="_Zenta MFR Data Jan'06 V.2_Sheet2" xfId="1355"/>
    <cellStyle name="=C:\WINNT\SYSTEM32\COMMAND.COM" xfId="1356"/>
    <cellStyle name="0%" xfId="1357"/>
    <cellStyle name="0,0_x000d__x000a_NA_x000d__x000a_" xfId="1358"/>
    <cellStyle name="0.0%" xfId="1359"/>
    <cellStyle name="0.00%" xfId="1360"/>
    <cellStyle name="20% - Accent1 10" xfId="1361"/>
    <cellStyle name="20% - Accent1 10 2" xfId="4224"/>
    <cellStyle name="20% - Accent1 11" xfId="1362"/>
    <cellStyle name="20% - Accent1 11 2" xfId="4225"/>
    <cellStyle name="20% - Accent1 12" xfId="1363"/>
    <cellStyle name="20% - Accent1 12 2" xfId="4226"/>
    <cellStyle name="20% - Accent1 13" xfId="1364"/>
    <cellStyle name="20% - Accent1 13 2" xfId="4227"/>
    <cellStyle name="20% - Accent1 14" xfId="1365"/>
    <cellStyle name="20% - Accent1 15" xfId="1366"/>
    <cellStyle name="20% - Accent1 16" xfId="1367"/>
    <cellStyle name="20% - Accent1 17" xfId="1368"/>
    <cellStyle name="20% - Accent1 18" xfId="1369"/>
    <cellStyle name="20% - Accent1 19" xfId="1370"/>
    <cellStyle name="20% - Accent1 2" xfId="241"/>
    <cellStyle name="20% - Accent1 2 2" xfId="1371"/>
    <cellStyle name="20% - Accent1 2 2 2" xfId="4228"/>
    <cellStyle name="20% - Accent1 2 3" xfId="1372"/>
    <cellStyle name="20% - Accent1 2 3 2" xfId="4229"/>
    <cellStyle name="20% - Accent1 2 4" xfId="1373"/>
    <cellStyle name="20% - Accent1 2 4 2" xfId="4230"/>
    <cellStyle name="20% - Accent1 2 5" xfId="1374"/>
    <cellStyle name="20% - Accent1 2 5 2" xfId="4231"/>
    <cellStyle name="20% - Accent1 2 6" xfId="1375"/>
    <cellStyle name="20% - Accent1 2 6 2" xfId="4232"/>
    <cellStyle name="20% - Accent1 2 7" xfId="1376"/>
    <cellStyle name="20% - Accent1 2 7 2" xfId="4233"/>
    <cellStyle name="20% - Accent1 2 8" xfId="1377"/>
    <cellStyle name="20% - Accent1 2 8 2" xfId="4234"/>
    <cellStyle name="20% - Accent1 2 9" xfId="1378"/>
    <cellStyle name="20% - Accent1 2 9 2" xfId="4235"/>
    <cellStyle name="20% - Accent1 2_Book1" xfId="1379"/>
    <cellStyle name="20% - Accent1 20" xfId="1380"/>
    <cellStyle name="20% - Accent1 21" xfId="1381"/>
    <cellStyle name="20% - Accent1 22" xfId="1382"/>
    <cellStyle name="20% - Accent1 23" xfId="1383"/>
    <cellStyle name="20% - Accent1 24" xfId="1384"/>
    <cellStyle name="20% - Accent1 25" xfId="1385"/>
    <cellStyle name="20% - Accent1 26" xfId="1386"/>
    <cellStyle name="20% - Accent1 3" xfId="1387"/>
    <cellStyle name="20% - Accent1 3 2" xfId="1388"/>
    <cellStyle name="20% - Accent1 3 3" xfId="1389"/>
    <cellStyle name="20% - Accent1 3 4" xfId="1390"/>
    <cellStyle name="20% - Accent1 3 5" xfId="1391"/>
    <cellStyle name="20% - Accent1 3 6" xfId="4236"/>
    <cellStyle name="20% - Accent1 4" xfId="1392"/>
    <cellStyle name="20% - Accent1 4 2" xfId="4237"/>
    <cellStyle name="20% - Accent1 5" xfId="1393"/>
    <cellStyle name="20% - Accent1 5 2" xfId="4238"/>
    <cellStyle name="20% - Accent1 6" xfId="1394"/>
    <cellStyle name="20% - Accent1 6 2" xfId="4239"/>
    <cellStyle name="20% - Accent1 7" xfId="1395"/>
    <cellStyle name="20% - Accent1 7 2" xfId="4240"/>
    <cellStyle name="20% - Accent1 8" xfId="1396"/>
    <cellStyle name="20% - Accent1 8 2" xfId="4241"/>
    <cellStyle name="20% - Accent1 9" xfId="1397"/>
    <cellStyle name="20% - Accent1 9 2" xfId="4242"/>
    <cellStyle name="20% - Accent2 10" xfId="1398"/>
    <cellStyle name="20% - Accent2 10 2" xfId="4243"/>
    <cellStyle name="20% - Accent2 11" xfId="1399"/>
    <cellStyle name="20% - Accent2 11 2" xfId="4244"/>
    <cellStyle name="20% - Accent2 12" xfId="1400"/>
    <cellStyle name="20% - Accent2 12 2" xfId="4245"/>
    <cellStyle name="20% - Accent2 13" xfId="1401"/>
    <cellStyle name="20% - Accent2 13 2" xfId="4246"/>
    <cellStyle name="20% - Accent2 14" xfId="1402"/>
    <cellStyle name="20% - Accent2 15" xfId="1403"/>
    <cellStyle name="20% - Accent2 16" xfId="1404"/>
    <cellStyle name="20% - Accent2 17" xfId="1405"/>
    <cellStyle name="20% - Accent2 18" xfId="1406"/>
    <cellStyle name="20% - Accent2 19" xfId="1407"/>
    <cellStyle name="20% - Accent2 2" xfId="242"/>
    <cellStyle name="20% - Accent2 2 2" xfId="1408"/>
    <cellStyle name="20% - Accent2 2 2 2" xfId="4247"/>
    <cellStyle name="20% - Accent2 2 3" xfId="1409"/>
    <cellStyle name="20% - Accent2 2 3 2" xfId="4248"/>
    <cellStyle name="20% - Accent2 2 4" xfId="1410"/>
    <cellStyle name="20% - Accent2 2 4 2" xfId="4249"/>
    <cellStyle name="20% - Accent2 2 5" xfId="1411"/>
    <cellStyle name="20% - Accent2 2 5 2" xfId="4250"/>
    <cellStyle name="20% - Accent2 2 6" xfId="1412"/>
    <cellStyle name="20% - Accent2 2 6 2" xfId="4251"/>
    <cellStyle name="20% - Accent2 2 7" xfId="1413"/>
    <cellStyle name="20% - Accent2 2 7 2" xfId="4252"/>
    <cellStyle name="20% - Accent2 2 8" xfId="1414"/>
    <cellStyle name="20% - Accent2 2 8 2" xfId="4253"/>
    <cellStyle name="20% - Accent2 2 9" xfId="1415"/>
    <cellStyle name="20% - Accent2 2 9 2" xfId="4254"/>
    <cellStyle name="20% - Accent2 2_Book1" xfId="1416"/>
    <cellStyle name="20% - Accent2 20" xfId="1417"/>
    <cellStyle name="20% - Accent2 21" xfId="1418"/>
    <cellStyle name="20% - Accent2 22" xfId="1419"/>
    <cellStyle name="20% - Accent2 23" xfId="1420"/>
    <cellStyle name="20% - Accent2 24" xfId="1421"/>
    <cellStyle name="20% - Accent2 25" xfId="1422"/>
    <cellStyle name="20% - Accent2 26" xfId="1423"/>
    <cellStyle name="20% - Accent2 3" xfId="1424"/>
    <cellStyle name="20% - Accent2 3 2" xfId="1425"/>
    <cellStyle name="20% - Accent2 3 3" xfId="1426"/>
    <cellStyle name="20% - Accent2 3 4" xfId="1427"/>
    <cellStyle name="20% - Accent2 3 5" xfId="1428"/>
    <cellStyle name="20% - Accent2 3 6" xfId="4255"/>
    <cellStyle name="20% - Accent2 4" xfId="1429"/>
    <cellStyle name="20% - Accent2 4 2" xfId="4256"/>
    <cellStyle name="20% - Accent2 5" xfId="1430"/>
    <cellStyle name="20% - Accent2 5 2" xfId="4257"/>
    <cellStyle name="20% - Accent2 6" xfId="1431"/>
    <cellStyle name="20% - Accent2 6 2" xfId="4258"/>
    <cellStyle name="20% - Accent2 7" xfId="1432"/>
    <cellStyle name="20% - Accent2 7 2" xfId="4259"/>
    <cellStyle name="20% - Accent2 8" xfId="1433"/>
    <cellStyle name="20% - Accent2 8 2" xfId="4260"/>
    <cellStyle name="20% - Accent2 9" xfId="1434"/>
    <cellStyle name="20% - Accent2 9 2" xfId="4261"/>
    <cellStyle name="20% - Accent3 10" xfId="1435"/>
    <cellStyle name="20% - Accent3 10 2" xfId="4262"/>
    <cellStyle name="20% - Accent3 11" xfId="1436"/>
    <cellStyle name="20% - Accent3 11 2" xfId="4263"/>
    <cellStyle name="20% - Accent3 12" xfId="1437"/>
    <cellStyle name="20% - Accent3 12 2" xfId="4264"/>
    <cellStyle name="20% - Accent3 13" xfId="1438"/>
    <cellStyle name="20% - Accent3 13 2" xfId="4265"/>
    <cellStyle name="20% - Accent3 14" xfId="1439"/>
    <cellStyle name="20% - Accent3 15" xfId="1440"/>
    <cellStyle name="20% - Accent3 16" xfId="1441"/>
    <cellStyle name="20% - Accent3 17" xfId="1442"/>
    <cellStyle name="20% - Accent3 18" xfId="1443"/>
    <cellStyle name="20% - Accent3 19" xfId="1444"/>
    <cellStyle name="20% - Accent3 2" xfId="243"/>
    <cellStyle name="20% - Accent3 2 2" xfId="1445"/>
    <cellStyle name="20% - Accent3 2 2 2" xfId="4266"/>
    <cellStyle name="20% - Accent3 2 3" xfId="1446"/>
    <cellStyle name="20% - Accent3 2 3 2" xfId="4267"/>
    <cellStyle name="20% - Accent3 2 4" xfId="1447"/>
    <cellStyle name="20% - Accent3 2 4 2" xfId="4268"/>
    <cellStyle name="20% - Accent3 2 5" xfId="1448"/>
    <cellStyle name="20% - Accent3 2 5 2" xfId="4269"/>
    <cellStyle name="20% - Accent3 2 6" xfId="1449"/>
    <cellStyle name="20% - Accent3 2 6 2" xfId="4270"/>
    <cellStyle name="20% - Accent3 2 7" xfId="1450"/>
    <cellStyle name="20% - Accent3 2 7 2" xfId="4271"/>
    <cellStyle name="20% - Accent3 2 8" xfId="1451"/>
    <cellStyle name="20% - Accent3 2 8 2" xfId="4272"/>
    <cellStyle name="20% - Accent3 2 9" xfId="1452"/>
    <cellStyle name="20% - Accent3 2 9 2" xfId="4273"/>
    <cellStyle name="20% - Accent3 2_Book1" xfId="1453"/>
    <cellStyle name="20% - Accent3 20" xfId="1454"/>
    <cellStyle name="20% - Accent3 21" xfId="1455"/>
    <cellStyle name="20% - Accent3 22" xfId="1456"/>
    <cellStyle name="20% - Accent3 23" xfId="1457"/>
    <cellStyle name="20% - Accent3 24" xfId="1458"/>
    <cellStyle name="20% - Accent3 25" xfId="1459"/>
    <cellStyle name="20% - Accent3 26" xfId="1460"/>
    <cellStyle name="20% - Accent3 3" xfId="1461"/>
    <cellStyle name="20% - Accent3 3 2" xfId="1462"/>
    <cellStyle name="20% - Accent3 3 3" xfId="1463"/>
    <cellStyle name="20% - Accent3 3 4" xfId="1464"/>
    <cellStyle name="20% - Accent3 3 5" xfId="1465"/>
    <cellStyle name="20% - Accent3 3 6" xfId="4274"/>
    <cellStyle name="20% - Accent3 4" xfId="1466"/>
    <cellStyle name="20% - Accent3 4 2" xfId="4275"/>
    <cellStyle name="20% - Accent3 5" xfId="1467"/>
    <cellStyle name="20% - Accent3 5 2" xfId="4276"/>
    <cellStyle name="20% - Accent3 6" xfId="1468"/>
    <cellStyle name="20% - Accent3 6 2" xfId="4277"/>
    <cellStyle name="20% - Accent3 7" xfId="1469"/>
    <cellStyle name="20% - Accent3 7 2" xfId="4278"/>
    <cellStyle name="20% - Accent3 8" xfId="1470"/>
    <cellStyle name="20% - Accent3 8 2" xfId="4279"/>
    <cellStyle name="20% - Accent3 9" xfId="1471"/>
    <cellStyle name="20% - Accent3 9 2" xfId="4280"/>
    <cellStyle name="20% - Accent4 10" xfId="1472"/>
    <cellStyle name="20% - Accent4 10 2" xfId="4281"/>
    <cellStyle name="20% - Accent4 11" xfId="1473"/>
    <cellStyle name="20% - Accent4 11 2" xfId="4282"/>
    <cellStyle name="20% - Accent4 12" xfId="1474"/>
    <cellStyle name="20% - Accent4 12 2" xfId="4283"/>
    <cellStyle name="20% - Accent4 13" xfId="1475"/>
    <cellStyle name="20% - Accent4 13 2" xfId="4284"/>
    <cellStyle name="20% - Accent4 14" xfId="1476"/>
    <cellStyle name="20% - Accent4 15" xfId="1477"/>
    <cellStyle name="20% - Accent4 16" xfId="1478"/>
    <cellStyle name="20% - Accent4 17" xfId="1479"/>
    <cellStyle name="20% - Accent4 18" xfId="1480"/>
    <cellStyle name="20% - Accent4 19" xfId="1481"/>
    <cellStyle name="20% - Accent4 2" xfId="244"/>
    <cellStyle name="20% - Accent4 2 2" xfId="1482"/>
    <cellStyle name="20% - Accent4 2 2 2" xfId="4285"/>
    <cellStyle name="20% - Accent4 2 3" xfId="1483"/>
    <cellStyle name="20% - Accent4 2 3 2" xfId="4286"/>
    <cellStyle name="20% - Accent4 2 4" xfId="1484"/>
    <cellStyle name="20% - Accent4 2 4 2" xfId="4287"/>
    <cellStyle name="20% - Accent4 2 5" xfId="1485"/>
    <cellStyle name="20% - Accent4 2 5 2" xfId="4288"/>
    <cellStyle name="20% - Accent4 2 6" xfId="1486"/>
    <cellStyle name="20% - Accent4 2 6 2" xfId="4289"/>
    <cellStyle name="20% - Accent4 2 7" xfId="1487"/>
    <cellStyle name="20% - Accent4 2 7 2" xfId="4290"/>
    <cellStyle name="20% - Accent4 2 8" xfId="1488"/>
    <cellStyle name="20% - Accent4 2 8 2" xfId="4291"/>
    <cellStyle name="20% - Accent4 2 9" xfId="1489"/>
    <cellStyle name="20% - Accent4 2 9 2" xfId="4292"/>
    <cellStyle name="20% - Accent4 2_Book1" xfId="1490"/>
    <cellStyle name="20% - Accent4 20" xfId="1491"/>
    <cellStyle name="20% - Accent4 21" xfId="1492"/>
    <cellStyle name="20% - Accent4 22" xfId="1493"/>
    <cellStyle name="20% - Accent4 23" xfId="1494"/>
    <cellStyle name="20% - Accent4 24" xfId="1495"/>
    <cellStyle name="20% - Accent4 25" xfId="1496"/>
    <cellStyle name="20% - Accent4 26" xfId="1497"/>
    <cellStyle name="20% - Accent4 3" xfId="1498"/>
    <cellStyle name="20% - Accent4 3 2" xfId="1499"/>
    <cellStyle name="20% - Accent4 3 3" xfId="1500"/>
    <cellStyle name="20% - Accent4 3 4" xfId="1501"/>
    <cellStyle name="20% - Accent4 3 5" xfId="1502"/>
    <cellStyle name="20% - Accent4 3 6" xfId="4293"/>
    <cellStyle name="20% - Accent4 4" xfId="1503"/>
    <cellStyle name="20% - Accent4 4 2" xfId="4294"/>
    <cellStyle name="20% - Accent4 5" xfId="1504"/>
    <cellStyle name="20% - Accent4 5 2" xfId="4295"/>
    <cellStyle name="20% - Accent4 6" xfId="1505"/>
    <cellStyle name="20% - Accent4 6 2" xfId="4296"/>
    <cellStyle name="20% - Accent4 7" xfId="1506"/>
    <cellStyle name="20% - Accent4 7 2" xfId="4297"/>
    <cellStyle name="20% - Accent4 8" xfId="1507"/>
    <cellStyle name="20% - Accent4 8 2" xfId="4298"/>
    <cellStyle name="20% - Accent4 9" xfId="1508"/>
    <cellStyle name="20% - Accent4 9 2" xfId="4299"/>
    <cellStyle name="20% - Accent5 10" xfId="1509"/>
    <cellStyle name="20% - Accent5 10 2" xfId="4300"/>
    <cellStyle name="20% - Accent5 11" xfId="1510"/>
    <cellStyle name="20% - Accent5 11 2" xfId="4301"/>
    <cellStyle name="20% - Accent5 12" xfId="1511"/>
    <cellStyle name="20% - Accent5 12 2" xfId="4302"/>
    <cellStyle name="20% - Accent5 13" xfId="1512"/>
    <cellStyle name="20% - Accent5 13 2" xfId="4303"/>
    <cellStyle name="20% - Accent5 14" xfId="1513"/>
    <cellStyle name="20% - Accent5 15" xfId="1514"/>
    <cellStyle name="20% - Accent5 16" xfId="1515"/>
    <cellStyle name="20% - Accent5 17" xfId="1516"/>
    <cellStyle name="20% - Accent5 18" xfId="1517"/>
    <cellStyle name="20% - Accent5 19" xfId="1518"/>
    <cellStyle name="20% - Accent5 2" xfId="245"/>
    <cellStyle name="20% - Accent5 2 2" xfId="1519"/>
    <cellStyle name="20% - Accent5 2 2 2" xfId="4304"/>
    <cellStyle name="20% - Accent5 2 3" xfId="1520"/>
    <cellStyle name="20% - Accent5 2 3 2" xfId="4305"/>
    <cellStyle name="20% - Accent5 2 4" xfId="1521"/>
    <cellStyle name="20% - Accent5 2 4 2" xfId="4306"/>
    <cellStyle name="20% - Accent5 2 5" xfId="1522"/>
    <cellStyle name="20% - Accent5 2 5 2" xfId="4307"/>
    <cellStyle name="20% - Accent5 2 6" xfId="1523"/>
    <cellStyle name="20% - Accent5 2 6 2" xfId="4308"/>
    <cellStyle name="20% - Accent5 2 7" xfId="1524"/>
    <cellStyle name="20% - Accent5 2 7 2" xfId="4309"/>
    <cellStyle name="20% - Accent5 2 8" xfId="1525"/>
    <cellStyle name="20% - Accent5 2 8 2" xfId="4310"/>
    <cellStyle name="20% - Accent5 2 9" xfId="1526"/>
    <cellStyle name="20% - Accent5 2 9 2" xfId="4311"/>
    <cellStyle name="20% - Accent5 2_Book1" xfId="1527"/>
    <cellStyle name="20% - Accent5 20" xfId="1528"/>
    <cellStyle name="20% - Accent5 21" xfId="1529"/>
    <cellStyle name="20% - Accent5 22" xfId="1530"/>
    <cellStyle name="20% - Accent5 23" xfId="1531"/>
    <cellStyle name="20% - Accent5 24" xfId="1532"/>
    <cellStyle name="20% - Accent5 25" xfId="1533"/>
    <cellStyle name="20% - Accent5 26" xfId="1534"/>
    <cellStyle name="20% - Accent5 3" xfId="1535"/>
    <cellStyle name="20% - Accent5 3 2" xfId="1536"/>
    <cellStyle name="20% - Accent5 3 3" xfId="1537"/>
    <cellStyle name="20% - Accent5 3 4" xfId="1538"/>
    <cellStyle name="20% - Accent5 3 5" xfId="1539"/>
    <cellStyle name="20% - Accent5 3 6" xfId="4312"/>
    <cellStyle name="20% - Accent5 4" xfId="1540"/>
    <cellStyle name="20% - Accent5 4 2" xfId="4313"/>
    <cellStyle name="20% - Accent5 5" xfId="1541"/>
    <cellStyle name="20% - Accent5 5 2" xfId="4314"/>
    <cellStyle name="20% - Accent5 6" xfId="1542"/>
    <cellStyle name="20% - Accent5 6 2" xfId="4315"/>
    <cellStyle name="20% - Accent5 7" xfId="1543"/>
    <cellStyle name="20% - Accent5 7 2" xfId="4316"/>
    <cellStyle name="20% - Accent5 8" xfId="1544"/>
    <cellStyle name="20% - Accent5 8 2" xfId="4317"/>
    <cellStyle name="20% - Accent5 9" xfId="1545"/>
    <cellStyle name="20% - Accent5 9 2" xfId="4318"/>
    <cellStyle name="20% - Accent6 10" xfId="1546"/>
    <cellStyle name="20% - Accent6 10 2" xfId="4319"/>
    <cellStyle name="20% - Accent6 11" xfId="1547"/>
    <cellStyle name="20% - Accent6 11 2" xfId="4320"/>
    <cellStyle name="20% - Accent6 12" xfId="1548"/>
    <cellStyle name="20% - Accent6 12 2" xfId="4321"/>
    <cellStyle name="20% - Accent6 13" xfId="1549"/>
    <cellStyle name="20% - Accent6 13 2" xfId="4322"/>
    <cellStyle name="20% - Accent6 14" xfId="1550"/>
    <cellStyle name="20% - Accent6 15" xfId="1551"/>
    <cellStyle name="20% - Accent6 16" xfId="1552"/>
    <cellStyle name="20% - Accent6 17" xfId="1553"/>
    <cellStyle name="20% - Accent6 18" xfId="1554"/>
    <cellStyle name="20% - Accent6 19" xfId="1555"/>
    <cellStyle name="20% - Accent6 2" xfId="246"/>
    <cellStyle name="20% - Accent6 2 2" xfId="1556"/>
    <cellStyle name="20% - Accent6 2 2 2" xfId="4323"/>
    <cellStyle name="20% - Accent6 2 3" xfId="1557"/>
    <cellStyle name="20% - Accent6 2 3 2" xfId="4324"/>
    <cellStyle name="20% - Accent6 2 4" xfId="1558"/>
    <cellStyle name="20% - Accent6 2 4 2" xfId="4325"/>
    <cellStyle name="20% - Accent6 2 5" xfId="1559"/>
    <cellStyle name="20% - Accent6 2 5 2" xfId="4326"/>
    <cellStyle name="20% - Accent6 2 6" xfId="1560"/>
    <cellStyle name="20% - Accent6 2 6 2" xfId="4327"/>
    <cellStyle name="20% - Accent6 2 7" xfId="1561"/>
    <cellStyle name="20% - Accent6 2 7 2" xfId="4328"/>
    <cellStyle name="20% - Accent6 2 8" xfId="1562"/>
    <cellStyle name="20% - Accent6 2 8 2" xfId="4329"/>
    <cellStyle name="20% - Accent6 2 9" xfId="1563"/>
    <cellStyle name="20% - Accent6 2 9 2" xfId="4330"/>
    <cellStyle name="20% - Accent6 2_Book1" xfId="1564"/>
    <cellStyle name="20% - Accent6 20" xfId="1565"/>
    <cellStyle name="20% - Accent6 21" xfId="1566"/>
    <cellStyle name="20% - Accent6 22" xfId="1567"/>
    <cellStyle name="20% - Accent6 23" xfId="1568"/>
    <cellStyle name="20% - Accent6 24" xfId="1569"/>
    <cellStyle name="20% - Accent6 25" xfId="1570"/>
    <cellStyle name="20% - Accent6 26" xfId="1571"/>
    <cellStyle name="20% - Accent6 3" xfId="1572"/>
    <cellStyle name="20% - Accent6 3 2" xfId="1573"/>
    <cellStyle name="20% - Accent6 3 3" xfId="1574"/>
    <cellStyle name="20% - Accent6 3 4" xfId="1575"/>
    <cellStyle name="20% - Accent6 3 5" xfId="1576"/>
    <cellStyle name="20% - Accent6 3 6" xfId="4331"/>
    <cellStyle name="20% - Accent6 4" xfId="1577"/>
    <cellStyle name="20% - Accent6 4 2" xfId="4332"/>
    <cellStyle name="20% - Accent6 5" xfId="1578"/>
    <cellStyle name="20% - Accent6 5 2" xfId="4333"/>
    <cellStyle name="20% - Accent6 6" xfId="1579"/>
    <cellStyle name="20% - Accent6 6 2" xfId="4334"/>
    <cellStyle name="20% - Accent6 7" xfId="1580"/>
    <cellStyle name="20% - Accent6 7 2" xfId="4335"/>
    <cellStyle name="20% - Accent6 8" xfId="1581"/>
    <cellStyle name="20% - Accent6 8 2" xfId="4336"/>
    <cellStyle name="20% - Accent6 9" xfId="1582"/>
    <cellStyle name="20% - Accent6 9 2" xfId="4337"/>
    <cellStyle name="40% - Accent1 10" xfId="1583"/>
    <cellStyle name="40% - Accent1 10 2" xfId="4338"/>
    <cellStyle name="40% - Accent1 11" xfId="1584"/>
    <cellStyle name="40% - Accent1 11 2" xfId="4339"/>
    <cellStyle name="40% - Accent1 12" xfId="1585"/>
    <cellStyle name="40% - Accent1 12 2" xfId="4340"/>
    <cellStyle name="40% - Accent1 13" xfId="1586"/>
    <cellStyle name="40% - Accent1 13 2" xfId="4341"/>
    <cellStyle name="40% - Accent1 14" xfId="1587"/>
    <cellStyle name="40% - Accent1 15" xfId="1588"/>
    <cellStyle name="40% - Accent1 16" xfId="1589"/>
    <cellStyle name="40% - Accent1 17" xfId="1590"/>
    <cellStyle name="40% - Accent1 18" xfId="1591"/>
    <cellStyle name="40% - Accent1 19" xfId="1592"/>
    <cellStyle name="40% - Accent1 2" xfId="247"/>
    <cellStyle name="40% - Accent1 2 2" xfId="1593"/>
    <cellStyle name="40% - Accent1 2 2 2" xfId="4342"/>
    <cellStyle name="40% - Accent1 2 3" xfId="1594"/>
    <cellStyle name="40% - Accent1 2 3 2" xfId="4343"/>
    <cellStyle name="40% - Accent1 2 4" xfId="1595"/>
    <cellStyle name="40% - Accent1 2 4 2" xfId="4344"/>
    <cellStyle name="40% - Accent1 2 5" xfId="1596"/>
    <cellStyle name="40% - Accent1 2 5 2" xfId="4345"/>
    <cellStyle name="40% - Accent1 2 6" xfId="1597"/>
    <cellStyle name="40% - Accent1 2 6 2" xfId="4346"/>
    <cellStyle name="40% - Accent1 2 7" xfId="1598"/>
    <cellStyle name="40% - Accent1 2 7 2" xfId="4347"/>
    <cellStyle name="40% - Accent1 2 8" xfId="1599"/>
    <cellStyle name="40% - Accent1 2 8 2" xfId="4348"/>
    <cellStyle name="40% - Accent1 2 9" xfId="1600"/>
    <cellStyle name="40% - Accent1 2 9 2" xfId="4349"/>
    <cellStyle name="40% - Accent1 2_Book1" xfId="1601"/>
    <cellStyle name="40% - Accent1 20" xfId="1602"/>
    <cellStyle name="40% - Accent1 21" xfId="1603"/>
    <cellStyle name="40% - Accent1 22" xfId="1604"/>
    <cellStyle name="40% - Accent1 23" xfId="1605"/>
    <cellStyle name="40% - Accent1 24" xfId="1606"/>
    <cellStyle name="40% - Accent1 25" xfId="1607"/>
    <cellStyle name="40% - Accent1 26" xfId="1608"/>
    <cellStyle name="40% - Accent1 3" xfId="1609"/>
    <cellStyle name="40% - Accent1 3 2" xfId="1610"/>
    <cellStyle name="40% - Accent1 3 3" xfId="1611"/>
    <cellStyle name="40% - Accent1 3 4" xfId="1612"/>
    <cellStyle name="40% - Accent1 3 5" xfId="1613"/>
    <cellStyle name="40% - Accent1 3 6" xfId="4350"/>
    <cellStyle name="40% - Accent1 4" xfId="1614"/>
    <cellStyle name="40% - Accent1 4 2" xfId="4351"/>
    <cellStyle name="40% - Accent1 5" xfId="1615"/>
    <cellStyle name="40% - Accent1 5 2" xfId="4352"/>
    <cellStyle name="40% - Accent1 6" xfId="1616"/>
    <cellStyle name="40% - Accent1 6 2" xfId="4353"/>
    <cellStyle name="40% - Accent1 7" xfId="1617"/>
    <cellStyle name="40% - Accent1 7 2" xfId="4354"/>
    <cellStyle name="40% - Accent1 8" xfId="1618"/>
    <cellStyle name="40% - Accent1 8 2" xfId="4355"/>
    <cellStyle name="40% - Accent1 9" xfId="1619"/>
    <cellStyle name="40% - Accent1 9 2" xfId="4356"/>
    <cellStyle name="40% - Accent2 10" xfId="1620"/>
    <cellStyle name="40% - Accent2 10 2" xfId="4357"/>
    <cellStyle name="40% - Accent2 11" xfId="1621"/>
    <cellStyle name="40% - Accent2 11 2" xfId="4358"/>
    <cellStyle name="40% - Accent2 12" xfId="1622"/>
    <cellStyle name="40% - Accent2 12 2" xfId="4359"/>
    <cellStyle name="40% - Accent2 13" xfId="1623"/>
    <cellStyle name="40% - Accent2 13 2" xfId="4360"/>
    <cellStyle name="40% - Accent2 14" xfId="1624"/>
    <cellStyle name="40% - Accent2 15" xfId="1625"/>
    <cellStyle name="40% - Accent2 16" xfId="1626"/>
    <cellStyle name="40% - Accent2 17" xfId="1627"/>
    <cellStyle name="40% - Accent2 18" xfId="1628"/>
    <cellStyle name="40% - Accent2 19" xfId="1629"/>
    <cellStyle name="40% - Accent2 2" xfId="248"/>
    <cellStyle name="40% - Accent2 2 2" xfId="1630"/>
    <cellStyle name="40% - Accent2 2 2 2" xfId="4361"/>
    <cellStyle name="40% - Accent2 2 3" xfId="1631"/>
    <cellStyle name="40% - Accent2 2 3 2" xfId="4362"/>
    <cellStyle name="40% - Accent2 2 4" xfId="1632"/>
    <cellStyle name="40% - Accent2 2 4 2" xfId="4363"/>
    <cellStyle name="40% - Accent2 2 5" xfId="1633"/>
    <cellStyle name="40% - Accent2 2 5 2" xfId="4364"/>
    <cellStyle name="40% - Accent2 2 6" xfId="1634"/>
    <cellStyle name="40% - Accent2 2 6 2" xfId="4365"/>
    <cellStyle name="40% - Accent2 2 7" xfId="1635"/>
    <cellStyle name="40% - Accent2 2 7 2" xfId="4366"/>
    <cellStyle name="40% - Accent2 2 8" xfId="1636"/>
    <cellStyle name="40% - Accent2 2 8 2" xfId="4367"/>
    <cellStyle name="40% - Accent2 2 9" xfId="1637"/>
    <cellStyle name="40% - Accent2 2 9 2" xfId="4368"/>
    <cellStyle name="40% - Accent2 2_Book1" xfId="1638"/>
    <cellStyle name="40% - Accent2 20" xfId="1639"/>
    <cellStyle name="40% - Accent2 21" xfId="1640"/>
    <cellStyle name="40% - Accent2 22" xfId="1641"/>
    <cellStyle name="40% - Accent2 23" xfId="1642"/>
    <cellStyle name="40% - Accent2 24" xfId="1643"/>
    <cellStyle name="40% - Accent2 25" xfId="1644"/>
    <cellStyle name="40% - Accent2 26" xfId="1645"/>
    <cellStyle name="40% - Accent2 3" xfId="1646"/>
    <cellStyle name="40% - Accent2 3 2" xfId="1647"/>
    <cellStyle name="40% - Accent2 3 3" xfId="1648"/>
    <cellStyle name="40% - Accent2 3 4" xfId="1649"/>
    <cellStyle name="40% - Accent2 3 5" xfId="1650"/>
    <cellStyle name="40% - Accent2 3 6" xfId="4369"/>
    <cellStyle name="40% - Accent2 4" xfId="1651"/>
    <cellStyle name="40% - Accent2 4 2" xfId="4370"/>
    <cellStyle name="40% - Accent2 5" xfId="1652"/>
    <cellStyle name="40% - Accent2 5 2" xfId="4371"/>
    <cellStyle name="40% - Accent2 6" xfId="1653"/>
    <cellStyle name="40% - Accent2 6 2" xfId="4372"/>
    <cellStyle name="40% - Accent2 7" xfId="1654"/>
    <cellStyle name="40% - Accent2 7 2" xfId="4373"/>
    <cellStyle name="40% - Accent2 8" xfId="1655"/>
    <cellStyle name="40% - Accent2 8 2" xfId="4374"/>
    <cellStyle name="40% - Accent2 9" xfId="1656"/>
    <cellStyle name="40% - Accent2 9 2" xfId="4375"/>
    <cellStyle name="40% - Accent3 10" xfId="1657"/>
    <cellStyle name="40% - Accent3 10 2" xfId="4376"/>
    <cellStyle name="40% - Accent3 11" xfId="1658"/>
    <cellStyle name="40% - Accent3 11 2" xfId="4377"/>
    <cellStyle name="40% - Accent3 12" xfId="1659"/>
    <cellStyle name="40% - Accent3 12 2" xfId="4378"/>
    <cellStyle name="40% - Accent3 13" xfId="1660"/>
    <cellStyle name="40% - Accent3 13 2" xfId="4379"/>
    <cellStyle name="40% - Accent3 14" xfId="1661"/>
    <cellStyle name="40% - Accent3 15" xfId="1662"/>
    <cellStyle name="40% - Accent3 16" xfId="1663"/>
    <cellStyle name="40% - Accent3 17" xfId="1664"/>
    <cellStyle name="40% - Accent3 18" xfId="1665"/>
    <cellStyle name="40% - Accent3 19" xfId="1666"/>
    <cellStyle name="40% - Accent3 2" xfId="249"/>
    <cellStyle name="40% - Accent3 2 2" xfId="1667"/>
    <cellStyle name="40% - Accent3 2 2 2" xfId="4380"/>
    <cellStyle name="40% - Accent3 2 3" xfId="1668"/>
    <cellStyle name="40% - Accent3 2 3 2" xfId="4381"/>
    <cellStyle name="40% - Accent3 2 4" xfId="1669"/>
    <cellStyle name="40% - Accent3 2 4 2" xfId="4382"/>
    <cellStyle name="40% - Accent3 2 5" xfId="1670"/>
    <cellStyle name="40% - Accent3 2 5 2" xfId="4383"/>
    <cellStyle name="40% - Accent3 2 6" xfId="1671"/>
    <cellStyle name="40% - Accent3 2 6 2" xfId="4384"/>
    <cellStyle name="40% - Accent3 2 7" xfId="1672"/>
    <cellStyle name="40% - Accent3 2 7 2" xfId="4385"/>
    <cellStyle name="40% - Accent3 2 8" xfId="1673"/>
    <cellStyle name="40% - Accent3 2 8 2" xfId="4386"/>
    <cellStyle name="40% - Accent3 2 9" xfId="1674"/>
    <cellStyle name="40% - Accent3 2 9 2" xfId="4387"/>
    <cellStyle name="40% - Accent3 2_Book1" xfId="1675"/>
    <cellStyle name="40% - Accent3 20" xfId="1676"/>
    <cellStyle name="40% - Accent3 21" xfId="1677"/>
    <cellStyle name="40% - Accent3 22" xfId="1678"/>
    <cellStyle name="40% - Accent3 23" xfId="1679"/>
    <cellStyle name="40% - Accent3 24" xfId="1680"/>
    <cellStyle name="40% - Accent3 25" xfId="1681"/>
    <cellStyle name="40% - Accent3 26" xfId="1682"/>
    <cellStyle name="40% - Accent3 3" xfId="1683"/>
    <cellStyle name="40% - Accent3 3 2" xfId="1684"/>
    <cellStyle name="40% - Accent3 3 3" xfId="1685"/>
    <cellStyle name="40% - Accent3 3 4" xfId="1686"/>
    <cellStyle name="40% - Accent3 3 5" xfId="1687"/>
    <cellStyle name="40% - Accent3 3 6" xfId="4388"/>
    <cellStyle name="40% - Accent3 4" xfId="1688"/>
    <cellStyle name="40% - Accent3 4 2" xfId="4389"/>
    <cellStyle name="40% - Accent3 5" xfId="1689"/>
    <cellStyle name="40% - Accent3 5 2" xfId="4390"/>
    <cellStyle name="40% - Accent3 6" xfId="1690"/>
    <cellStyle name="40% - Accent3 6 2" xfId="4391"/>
    <cellStyle name="40% - Accent3 7" xfId="1691"/>
    <cellStyle name="40% - Accent3 7 2" xfId="4392"/>
    <cellStyle name="40% - Accent3 8" xfId="1692"/>
    <cellStyle name="40% - Accent3 8 2" xfId="4393"/>
    <cellStyle name="40% - Accent3 9" xfId="1693"/>
    <cellStyle name="40% - Accent3 9 2" xfId="4394"/>
    <cellStyle name="40% - Accent4 10" xfId="1694"/>
    <cellStyle name="40% - Accent4 10 2" xfId="4395"/>
    <cellStyle name="40% - Accent4 11" xfId="1695"/>
    <cellStyle name="40% - Accent4 11 2" xfId="4396"/>
    <cellStyle name="40% - Accent4 12" xfId="1696"/>
    <cellStyle name="40% - Accent4 12 2" xfId="4397"/>
    <cellStyle name="40% - Accent4 13" xfId="1697"/>
    <cellStyle name="40% - Accent4 13 2" xfId="4398"/>
    <cellStyle name="40% - Accent4 14" xfId="1698"/>
    <cellStyle name="40% - Accent4 15" xfId="1699"/>
    <cellStyle name="40% - Accent4 16" xfId="1700"/>
    <cellStyle name="40% - Accent4 17" xfId="1701"/>
    <cellStyle name="40% - Accent4 18" xfId="1702"/>
    <cellStyle name="40% - Accent4 19" xfId="1703"/>
    <cellStyle name="40% - Accent4 2" xfId="250"/>
    <cellStyle name="40% - Accent4 2 2" xfId="1704"/>
    <cellStyle name="40% - Accent4 2 2 2" xfId="4399"/>
    <cellStyle name="40% - Accent4 2 3" xfId="1705"/>
    <cellStyle name="40% - Accent4 2 3 2" xfId="4400"/>
    <cellStyle name="40% - Accent4 2 4" xfId="1706"/>
    <cellStyle name="40% - Accent4 2 4 2" xfId="4401"/>
    <cellStyle name="40% - Accent4 2 5" xfId="1707"/>
    <cellStyle name="40% - Accent4 2 5 2" xfId="4402"/>
    <cellStyle name="40% - Accent4 2 6" xfId="1708"/>
    <cellStyle name="40% - Accent4 2 6 2" xfId="4403"/>
    <cellStyle name="40% - Accent4 2 7" xfId="1709"/>
    <cellStyle name="40% - Accent4 2 7 2" xfId="4404"/>
    <cellStyle name="40% - Accent4 2 8" xfId="1710"/>
    <cellStyle name="40% - Accent4 2 8 2" xfId="4405"/>
    <cellStyle name="40% - Accent4 2 9" xfId="1711"/>
    <cellStyle name="40% - Accent4 2 9 2" xfId="4406"/>
    <cellStyle name="40% - Accent4 2_Book1" xfId="1712"/>
    <cellStyle name="40% - Accent4 20" xfId="1713"/>
    <cellStyle name="40% - Accent4 21" xfId="1714"/>
    <cellStyle name="40% - Accent4 22" xfId="1715"/>
    <cellStyle name="40% - Accent4 23" xfId="1716"/>
    <cellStyle name="40% - Accent4 24" xfId="1717"/>
    <cellStyle name="40% - Accent4 25" xfId="1718"/>
    <cellStyle name="40% - Accent4 26" xfId="1719"/>
    <cellStyle name="40% - Accent4 3" xfId="1720"/>
    <cellStyle name="40% - Accent4 3 2" xfId="1721"/>
    <cellStyle name="40% - Accent4 3 3" xfId="1722"/>
    <cellStyle name="40% - Accent4 3 4" xfId="1723"/>
    <cellStyle name="40% - Accent4 3 5" xfId="1724"/>
    <cellStyle name="40% - Accent4 3 6" xfId="4407"/>
    <cellStyle name="40% - Accent4 4" xfId="1725"/>
    <cellStyle name="40% - Accent4 4 2" xfId="4408"/>
    <cellStyle name="40% - Accent4 5" xfId="1726"/>
    <cellStyle name="40% - Accent4 5 2" xfId="4409"/>
    <cellStyle name="40% - Accent4 6" xfId="1727"/>
    <cellStyle name="40% - Accent4 6 2" xfId="4410"/>
    <cellStyle name="40% - Accent4 7" xfId="1728"/>
    <cellStyle name="40% - Accent4 7 2" xfId="4411"/>
    <cellStyle name="40% - Accent4 8" xfId="1729"/>
    <cellStyle name="40% - Accent4 8 2" xfId="4412"/>
    <cellStyle name="40% - Accent4 9" xfId="1730"/>
    <cellStyle name="40% - Accent4 9 2" xfId="4413"/>
    <cellStyle name="40% - Accent5 10" xfId="1731"/>
    <cellStyle name="40% - Accent5 10 2" xfId="4414"/>
    <cellStyle name="40% - Accent5 11" xfId="1732"/>
    <cellStyle name="40% - Accent5 11 2" xfId="4415"/>
    <cellStyle name="40% - Accent5 12" xfId="1733"/>
    <cellStyle name="40% - Accent5 12 2" xfId="4416"/>
    <cellStyle name="40% - Accent5 13" xfId="1734"/>
    <cellStyle name="40% - Accent5 13 2" xfId="4417"/>
    <cellStyle name="40% - Accent5 14" xfId="1735"/>
    <cellStyle name="40% - Accent5 15" xfId="1736"/>
    <cellStyle name="40% - Accent5 16" xfId="1737"/>
    <cellStyle name="40% - Accent5 17" xfId="1738"/>
    <cellStyle name="40% - Accent5 18" xfId="1739"/>
    <cellStyle name="40% - Accent5 19" xfId="1740"/>
    <cellStyle name="40% - Accent5 2" xfId="251"/>
    <cellStyle name="40% - Accent5 2 2" xfId="1741"/>
    <cellStyle name="40% - Accent5 2 2 2" xfId="4418"/>
    <cellStyle name="40% - Accent5 2 3" xfId="1742"/>
    <cellStyle name="40% - Accent5 2 3 2" xfId="4419"/>
    <cellStyle name="40% - Accent5 2 4" xfId="1743"/>
    <cellStyle name="40% - Accent5 2 4 2" xfId="4420"/>
    <cellStyle name="40% - Accent5 2 5" xfId="1744"/>
    <cellStyle name="40% - Accent5 2 5 2" xfId="4421"/>
    <cellStyle name="40% - Accent5 2 6" xfId="1745"/>
    <cellStyle name="40% - Accent5 2 6 2" xfId="4422"/>
    <cellStyle name="40% - Accent5 2 7" xfId="1746"/>
    <cellStyle name="40% - Accent5 2 7 2" xfId="4423"/>
    <cellStyle name="40% - Accent5 2 8" xfId="1747"/>
    <cellStyle name="40% - Accent5 2 8 2" xfId="4424"/>
    <cellStyle name="40% - Accent5 2 9" xfId="1748"/>
    <cellStyle name="40% - Accent5 2 9 2" xfId="4425"/>
    <cellStyle name="40% - Accent5 2_Book1" xfId="1749"/>
    <cellStyle name="40% - Accent5 20" xfId="1750"/>
    <cellStyle name="40% - Accent5 21" xfId="1751"/>
    <cellStyle name="40% - Accent5 22" xfId="1752"/>
    <cellStyle name="40% - Accent5 23" xfId="1753"/>
    <cellStyle name="40% - Accent5 24" xfId="1754"/>
    <cellStyle name="40% - Accent5 25" xfId="1755"/>
    <cellStyle name="40% - Accent5 26" xfId="1756"/>
    <cellStyle name="40% - Accent5 3" xfId="1757"/>
    <cellStyle name="40% - Accent5 3 2" xfId="1758"/>
    <cellStyle name="40% - Accent5 3 3" xfId="1759"/>
    <cellStyle name="40% - Accent5 3 4" xfId="1760"/>
    <cellStyle name="40% - Accent5 3 5" xfId="1761"/>
    <cellStyle name="40% - Accent5 3 6" xfId="4426"/>
    <cellStyle name="40% - Accent5 4" xfId="1762"/>
    <cellStyle name="40% - Accent5 4 2" xfId="4427"/>
    <cellStyle name="40% - Accent5 5" xfId="1763"/>
    <cellStyle name="40% - Accent5 5 2" xfId="4428"/>
    <cellStyle name="40% - Accent5 6" xfId="1764"/>
    <cellStyle name="40% - Accent5 6 2" xfId="4429"/>
    <cellStyle name="40% - Accent5 7" xfId="1765"/>
    <cellStyle name="40% - Accent5 7 2" xfId="4430"/>
    <cellStyle name="40% - Accent5 8" xfId="1766"/>
    <cellStyle name="40% - Accent5 8 2" xfId="4431"/>
    <cellStyle name="40% - Accent5 9" xfId="1767"/>
    <cellStyle name="40% - Accent5 9 2" xfId="4432"/>
    <cellStyle name="40% - Accent6 10" xfId="1768"/>
    <cellStyle name="40% - Accent6 10 2" xfId="4433"/>
    <cellStyle name="40% - Accent6 11" xfId="1769"/>
    <cellStyle name="40% - Accent6 11 2" xfId="4434"/>
    <cellStyle name="40% - Accent6 12" xfId="1770"/>
    <cellStyle name="40% - Accent6 12 2" xfId="4435"/>
    <cellStyle name="40% - Accent6 13" xfId="1771"/>
    <cellStyle name="40% - Accent6 13 2" xfId="4436"/>
    <cellStyle name="40% - Accent6 14" xfId="1772"/>
    <cellStyle name="40% - Accent6 15" xfId="1773"/>
    <cellStyle name="40% - Accent6 16" xfId="1774"/>
    <cellStyle name="40% - Accent6 17" xfId="1775"/>
    <cellStyle name="40% - Accent6 18" xfId="1776"/>
    <cellStyle name="40% - Accent6 19" xfId="1777"/>
    <cellStyle name="40% - Accent6 2" xfId="252"/>
    <cellStyle name="40% - Accent6 2 2" xfId="1778"/>
    <cellStyle name="40% - Accent6 2 2 2" xfId="4437"/>
    <cellStyle name="40% - Accent6 2 3" xfId="1779"/>
    <cellStyle name="40% - Accent6 2 3 2" xfId="4438"/>
    <cellStyle name="40% - Accent6 2 4" xfId="1780"/>
    <cellStyle name="40% - Accent6 2 4 2" xfId="4439"/>
    <cellStyle name="40% - Accent6 2 5" xfId="1781"/>
    <cellStyle name="40% - Accent6 2 5 2" xfId="4440"/>
    <cellStyle name="40% - Accent6 2 6" xfId="1782"/>
    <cellStyle name="40% - Accent6 2 6 2" xfId="4441"/>
    <cellStyle name="40% - Accent6 2 7" xfId="1783"/>
    <cellStyle name="40% - Accent6 2 7 2" xfId="4442"/>
    <cellStyle name="40% - Accent6 2 8" xfId="1784"/>
    <cellStyle name="40% - Accent6 2 8 2" xfId="4443"/>
    <cellStyle name="40% - Accent6 2 9" xfId="1785"/>
    <cellStyle name="40% - Accent6 2 9 2" xfId="4444"/>
    <cellStyle name="40% - Accent6 2_Book1" xfId="1786"/>
    <cellStyle name="40% - Accent6 20" xfId="1787"/>
    <cellStyle name="40% - Accent6 21" xfId="1788"/>
    <cellStyle name="40% - Accent6 22" xfId="1789"/>
    <cellStyle name="40% - Accent6 23" xfId="1790"/>
    <cellStyle name="40% - Accent6 24" xfId="1791"/>
    <cellStyle name="40% - Accent6 25" xfId="1792"/>
    <cellStyle name="40% - Accent6 26" xfId="1793"/>
    <cellStyle name="40% - Accent6 3" xfId="1794"/>
    <cellStyle name="40% - Accent6 3 2" xfId="1795"/>
    <cellStyle name="40% - Accent6 3 3" xfId="1796"/>
    <cellStyle name="40% - Accent6 3 4" xfId="1797"/>
    <cellStyle name="40% - Accent6 3 5" xfId="1798"/>
    <cellStyle name="40% - Accent6 3 6" xfId="4445"/>
    <cellStyle name="40% - Accent6 4" xfId="1799"/>
    <cellStyle name="40% - Accent6 4 2" xfId="4446"/>
    <cellStyle name="40% - Accent6 5" xfId="1800"/>
    <cellStyle name="40% - Accent6 5 2" xfId="4447"/>
    <cellStyle name="40% - Accent6 6" xfId="1801"/>
    <cellStyle name="40% - Accent6 6 2" xfId="4448"/>
    <cellStyle name="40% - Accent6 7" xfId="1802"/>
    <cellStyle name="40% - Accent6 7 2" xfId="4449"/>
    <cellStyle name="40% - Accent6 8" xfId="1803"/>
    <cellStyle name="40% - Accent6 8 2" xfId="4450"/>
    <cellStyle name="40% - Accent6 9" xfId="1804"/>
    <cellStyle name="40% - Accent6 9 2" xfId="4451"/>
    <cellStyle name="60% - Accent1 10" xfId="1805"/>
    <cellStyle name="60% - Accent1 11" xfId="1806"/>
    <cellStyle name="60% - Accent1 12" xfId="1807"/>
    <cellStyle name="60% - Accent1 13" xfId="1808"/>
    <cellStyle name="60% - Accent1 14" xfId="1809"/>
    <cellStyle name="60% - Accent1 15" xfId="1810"/>
    <cellStyle name="60% - Accent1 16" xfId="1811"/>
    <cellStyle name="60% - Accent1 17" xfId="1812"/>
    <cellStyle name="60% - Accent1 18" xfId="1813"/>
    <cellStyle name="60% - Accent1 19" xfId="1814"/>
    <cellStyle name="60% - Accent1 2" xfId="253"/>
    <cellStyle name="60% - Accent1 2 2" xfId="1815"/>
    <cellStyle name="60% - Accent1 2 3" xfId="1816"/>
    <cellStyle name="60% - Accent1 2 4" xfId="1817"/>
    <cellStyle name="60% - Accent1 2 5" xfId="1818"/>
    <cellStyle name="60% - Accent1 2 6" xfId="1819"/>
    <cellStyle name="60% - Accent1 20" xfId="1820"/>
    <cellStyle name="60% - Accent1 3" xfId="1821"/>
    <cellStyle name="60% - Accent1 3 2" xfId="1822"/>
    <cellStyle name="60% - Accent1 3 3" xfId="1823"/>
    <cellStyle name="60% - Accent1 3 4" xfId="1824"/>
    <cellStyle name="60% - Accent1 4" xfId="1825"/>
    <cellStyle name="60% - Accent1 5" xfId="1826"/>
    <cellStyle name="60% - Accent1 6" xfId="1827"/>
    <cellStyle name="60% - Accent1 7" xfId="1828"/>
    <cellStyle name="60% - Accent1 8" xfId="1829"/>
    <cellStyle name="60% - Accent1 9" xfId="1830"/>
    <cellStyle name="60% - Accent2 10" xfId="1831"/>
    <cellStyle name="60% - Accent2 11" xfId="1832"/>
    <cellStyle name="60% - Accent2 12" xfId="1833"/>
    <cellStyle name="60% - Accent2 13" xfId="1834"/>
    <cellStyle name="60% - Accent2 14" xfId="1835"/>
    <cellStyle name="60% - Accent2 15" xfId="1836"/>
    <cellStyle name="60% - Accent2 16" xfId="1837"/>
    <cellStyle name="60% - Accent2 17" xfId="1838"/>
    <cellStyle name="60% - Accent2 18" xfId="1839"/>
    <cellStyle name="60% - Accent2 19" xfId="1840"/>
    <cellStyle name="60% - Accent2 2" xfId="254"/>
    <cellStyle name="60% - Accent2 2 2" xfId="1841"/>
    <cellStyle name="60% - Accent2 2 3" xfId="1842"/>
    <cellStyle name="60% - Accent2 2 4" xfId="1843"/>
    <cellStyle name="60% - Accent2 2 5" xfId="1844"/>
    <cellStyle name="60% - Accent2 2 6" xfId="1845"/>
    <cellStyle name="60% - Accent2 20" xfId="1846"/>
    <cellStyle name="60% - Accent2 3" xfId="1847"/>
    <cellStyle name="60% - Accent2 3 2" xfId="1848"/>
    <cellStyle name="60% - Accent2 3 3" xfId="1849"/>
    <cellStyle name="60% - Accent2 3 4" xfId="1850"/>
    <cellStyle name="60% - Accent2 4" xfId="1851"/>
    <cellStyle name="60% - Accent2 5" xfId="1852"/>
    <cellStyle name="60% - Accent2 6" xfId="1853"/>
    <cellStyle name="60% - Accent2 7" xfId="1854"/>
    <cellStyle name="60% - Accent2 8" xfId="1855"/>
    <cellStyle name="60% - Accent2 9" xfId="1856"/>
    <cellStyle name="60% - Accent3 10" xfId="1857"/>
    <cellStyle name="60% - Accent3 11" xfId="1858"/>
    <cellStyle name="60% - Accent3 12" xfId="1859"/>
    <cellStyle name="60% - Accent3 13" xfId="1860"/>
    <cellStyle name="60% - Accent3 14" xfId="1861"/>
    <cellStyle name="60% - Accent3 15" xfId="1862"/>
    <cellStyle name="60% - Accent3 16" xfId="1863"/>
    <cellStyle name="60% - Accent3 17" xfId="1864"/>
    <cellStyle name="60% - Accent3 18" xfId="1865"/>
    <cellStyle name="60% - Accent3 19" xfId="1866"/>
    <cellStyle name="60% - Accent3 2" xfId="255"/>
    <cellStyle name="60% - Accent3 2 2" xfId="1867"/>
    <cellStyle name="60% - Accent3 2 3" xfId="1868"/>
    <cellStyle name="60% - Accent3 2 4" xfId="1869"/>
    <cellStyle name="60% - Accent3 2 5" xfId="1870"/>
    <cellStyle name="60% - Accent3 2 6" xfId="1871"/>
    <cellStyle name="60% - Accent3 20" xfId="1872"/>
    <cellStyle name="60% - Accent3 3" xfId="1873"/>
    <cellStyle name="60% - Accent3 3 2" xfId="1874"/>
    <cellStyle name="60% - Accent3 3 3" xfId="1875"/>
    <cellStyle name="60% - Accent3 3 4" xfId="1876"/>
    <cellStyle name="60% - Accent3 4" xfId="1877"/>
    <cellStyle name="60% - Accent3 5" xfId="1878"/>
    <cellStyle name="60% - Accent3 6" xfId="1879"/>
    <cellStyle name="60% - Accent3 7" xfId="1880"/>
    <cellStyle name="60% - Accent3 8" xfId="1881"/>
    <cellStyle name="60% - Accent3 9" xfId="1882"/>
    <cellStyle name="60% - Accent4 10" xfId="1883"/>
    <cellStyle name="60% - Accent4 11" xfId="1884"/>
    <cellStyle name="60% - Accent4 12" xfId="1885"/>
    <cellStyle name="60% - Accent4 13" xfId="1886"/>
    <cellStyle name="60% - Accent4 14" xfId="1887"/>
    <cellStyle name="60% - Accent4 15" xfId="1888"/>
    <cellStyle name="60% - Accent4 16" xfId="1889"/>
    <cellStyle name="60% - Accent4 17" xfId="1890"/>
    <cellStyle name="60% - Accent4 18" xfId="1891"/>
    <cellStyle name="60% - Accent4 19" xfId="1892"/>
    <cellStyle name="60% - Accent4 2" xfId="256"/>
    <cellStyle name="60% - Accent4 2 2" xfId="1893"/>
    <cellStyle name="60% - Accent4 2 3" xfId="1894"/>
    <cellStyle name="60% - Accent4 2 4" xfId="1895"/>
    <cellStyle name="60% - Accent4 2 5" xfId="1896"/>
    <cellStyle name="60% - Accent4 2 6" xfId="1897"/>
    <cellStyle name="60% - Accent4 20" xfId="1898"/>
    <cellStyle name="60% - Accent4 3" xfId="1899"/>
    <cellStyle name="60% - Accent4 3 2" xfId="1900"/>
    <cellStyle name="60% - Accent4 3 3" xfId="1901"/>
    <cellStyle name="60% - Accent4 3 4" xfId="1902"/>
    <cellStyle name="60% - Accent4 4" xfId="1903"/>
    <cellStyle name="60% - Accent4 5" xfId="1904"/>
    <cellStyle name="60% - Accent4 6" xfId="1905"/>
    <cellStyle name="60% - Accent4 7" xfId="1906"/>
    <cellStyle name="60% - Accent4 8" xfId="1907"/>
    <cellStyle name="60% - Accent4 9" xfId="1908"/>
    <cellStyle name="60% - Accent5 10" xfId="1909"/>
    <cellStyle name="60% - Accent5 11" xfId="1910"/>
    <cellStyle name="60% - Accent5 12" xfId="1911"/>
    <cellStyle name="60% - Accent5 13" xfId="1912"/>
    <cellStyle name="60% - Accent5 14" xfId="1913"/>
    <cellStyle name="60% - Accent5 15" xfId="1914"/>
    <cellStyle name="60% - Accent5 16" xfId="1915"/>
    <cellStyle name="60% - Accent5 17" xfId="1916"/>
    <cellStyle name="60% - Accent5 18" xfId="1917"/>
    <cellStyle name="60% - Accent5 19" xfId="1918"/>
    <cellStyle name="60% - Accent5 2" xfId="257"/>
    <cellStyle name="60% - Accent5 2 2" xfId="1919"/>
    <cellStyle name="60% - Accent5 2 3" xfId="1920"/>
    <cellStyle name="60% - Accent5 2 4" xfId="1921"/>
    <cellStyle name="60% - Accent5 2 5" xfId="1922"/>
    <cellStyle name="60% - Accent5 2 6" xfId="1923"/>
    <cellStyle name="60% - Accent5 20" xfId="1924"/>
    <cellStyle name="60% - Accent5 3" xfId="1925"/>
    <cellStyle name="60% - Accent5 3 2" xfId="1926"/>
    <cellStyle name="60% - Accent5 3 3" xfId="1927"/>
    <cellStyle name="60% - Accent5 3 4" xfId="1928"/>
    <cellStyle name="60% - Accent5 4" xfId="1929"/>
    <cellStyle name="60% - Accent5 5" xfId="1930"/>
    <cellStyle name="60% - Accent5 6" xfId="1931"/>
    <cellStyle name="60% - Accent5 7" xfId="1932"/>
    <cellStyle name="60% - Accent5 8" xfId="1933"/>
    <cellStyle name="60% - Accent5 9" xfId="1934"/>
    <cellStyle name="60% - Accent6 10" xfId="1935"/>
    <cellStyle name="60% - Accent6 11" xfId="1936"/>
    <cellStyle name="60% - Accent6 12" xfId="1937"/>
    <cellStyle name="60% - Accent6 13" xfId="1938"/>
    <cellStyle name="60% - Accent6 14" xfId="1939"/>
    <cellStyle name="60% - Accent6 15" xfId="1940"/>
    <cellStyle name="60% - Accent6 16" xfId="1941"/>
    <cellStyle name="60% - Accent6 17" xfId="1942"/>
    <cellStyle name="60% - Accent6 18" xfId="1943"/>
    <cellStyle name="60% - Accent6 19" xfId="1944"/>
    <cellStyle name="60% - Accent6 2" xfId="258"/>
    <cellStyle name="60% - Accent6 2 2" xfId="1945"/>
    <cellStyle name="60% - Accent6 2 3" xfId="1946"/>
    <cellStyle name="60% - Accent6 2 4" xfId="1947"/>
    <cellStyle name="60% - Accent6 2 5" xfId="1948"/>
    <cellStyle name="60% - Accent6 2 6" xfId="1949"/>
    <cellStyle name="60% - Accent6 20" xfId="1950"/>
    <cellStyle name="60% - Accent6 3" xfId="1951"/>
    <cellStyle name="60% - Accent6 3 2" xfId="1952"/>
    <cellStyle name="60% - Accent6 3 3" xfId="1953"/>
    <cellStyle name="60% - Accent6 3 4" xfId="1954"/>
    <cellStyle name="60% - Accent6 4" xfId="1955"/>
    <cellStyle name="60% - Accent6 5" xfId="1956"/>
    <cellStyle name="60% - Accent6 6" xfId="1957"/>
    <cellStyle name="60% - Accent6 7" xfId="1958"/>
    <cellStyle name="60% - Accent6 8" xfId="1959"/>
    <cellStyle name="60% - Accent6 9" xfId="1960"/>
    <cellStyle name="75" xfId="1961"/>
    <cellStyle name="A" xfId="1962"/>
    <cellStyle name="A 2" xfId="1963"/>
    <cellStyle name="A_B'DESH FIN FILE" xfId="1964"/>
    <cellStyle name="A_B'DESH FIN FILE 2" xfId="1965"/>
    <cellStyle name="A_B'DESH FIN FILE_B'DESH" xfId="1966"/>
    <cellStyle name="A_B'DESH FIN FILE_B'DESH 2" xfId="1967"/>
    <cellStyle name="A_B'DESH FIN FILE_B'DESH FIN FILE (1)-6MONTH" xfId="1968"/>
    <cellStyle name="A_B'DESH FIN FILE_B'DESH FIN FILE (1)-6MONTH 2" xfId="1969"/>
    <cellStyle name="A_B'DESH FIN FILE_B'DESH FIN FILE (1)-6MONTH_FINAL SPCPL BS AS ON 31.03.2011 10.12.2011" xfId="1970"/>
    <cellStyle name="A_B'DESH FIN FILE_B'DESH FIN FILE (1)-6MONTH_SHEDULE" xfId="1971"/>
    <cellStyle name="A_B'DESH FIN FILE_B'DESH FIN FILE (1)-6MONTH_spares &amp; fg" xfId="1972"/>
    <cellStyle name="A_B'DESH FIN FILE_B'DESH FIN FILE (1)-6MONTH_spares &amp; fg 2" xfId="1973"/>
    <cellStyle name="A_B'DESH FIN FILE_B'DESH FIN FILE (1)-6MONTH_spares &amp; fg_BANGLADESH PAPER" xfId="1974"/>
    <cellStyle name="A_B'DESH FIN FILE_B'DESH FIN FILE (1)-6MONTH_spares &amp; fg_BANGLADESH PAPER 2" xfId="1975"/>
    <cellStyle name="A_B'DESH FIN FILE_B'DESH FIN FILE (1)-6MONTH_spares &amp; fg_BANGLADESH PAPER_FINAL SPCPL BS AS ON 31.03.2011 10.12.2011" xfId="1976"/>
    <cellStyle name="A_B'DESH FIN FILE_B'DESH FIN FILE (1)-6MONTH_spares &amp; fg_BANGLADESH PAPER_SHEDULE" xfId="1977"/>
    <cellStyle name="A_B'DESH FIN FILE_B'DESH FIN FILE (1)-6MONTH_spares &amp; fg_BANGLADESH PAPER_SPCPL BALANCE SHEET AS ON 30.09.2011 08.12.11" xfId="1978"/>
    <cellStyle name="A_B'DESH FIN FILE_B'DESH FIN FILE (1)-6MONTH_spares &amp; fg_BANGLADESH PAPER_SPCPL BALANCE SHEET AS ON 30.09.2011 10.12.11" xfId="1979"/>
    <cellStyle name="A_B'DESH FIN FILE_B'DESH FIN FILE (1)-6MONTH_spares &amp; fg_CL STCOK JUL-11 (1)" xfId="1980"/>
    <cellStyle name="A_B'DESH FIN FILE_B'DESH FIN FILE (1)-6MONTH_spares &amp; fg_FINAL SPCPL BS AS ON 31.03.2011 10.12.2011" xfId="1981"/>
    <cellStyle name="A_B'DESH FIN FILE_B'DESH FIN FILE (1)-6MONTH_spares &amp; fg_SHEDULE" xfId="1982"/>
    <cellStyle name="A_B'DESH FIN FILE_B'DESH FIN FILE (1)-6MONTH_spares &amp; fg_SPCPL BALANCE SHEET AS ON 30.09.2011 08.12.11" xfId="1983"/>
    <cellStyle name="A_B'DESH FIN FILE_B'DESH FIN FILE (1)-6MONTH_spares &amp; fg_SPCPL BALANCE SHEET AS ON 30.09.2011 10.12.11" xfId="1984"/>
    <cellStyle name="A_B'DESH FIN FILE_B'DESH FIN FILE (1)-6MONTH_spares &amp; fg_WIP-SPCPL.Mar'11" xfId="1985"/>
    <cellStyle name="A_B'DESH FIN FILE_B'DESH FIN FILE (1)-6MONTH_spares &amp; fg_WIP-SPCPL.Mar'11 2" xfId="1986"/>
    <cellStyle name="A_B'DESH FIN FILE_B'DESH FIN FILE (1)-6MONTH_SPCPL BALANCE SHEET AS ON 30.09.2011 08.12.11" xfId="1987"/>
    <cellStyle name="A_B'DESH FIN FILE_B'DESH FIN FILE (1)-6MONTH_SPCPL BALANCE SHEET AS ON 30.09.2011 10.12.11" xfId="1988"/>
    <cellStyle name="A_B'DESH FIN FILE_B'DESH_FINAL SPCPL BS AS ON 31.03.2011 10.12.2011" xfId="1989"/>
    <cellStyle name="A_B'DESH FIN FILE_B'DESH_SHEDULE" xfId="1990"/>
    <cellStyle name="A_B'DESH FIN FILE_B'DESH_spares &amp; fg" xfId="1991"/>
    <cellStyle name="A_B'DESH FIN FILE_B'DESH_spares &amp; fg 2" xfId="1992"/>
    <cellStyle name="A_B'DESH FIN FILE_B'DESH_spares &amp; fg_BANGLADESH PAPER" xfId="1993"/>
    <cellStyle name="A_B'DESH FIN FILE_B'DESH_spares &amp; fg_BANGLADESH PAPER 2" xfId="1994"/>
    <cellStyle name="A_B'DESH FIN FILE_B'DESH_spares &amp; fg_BANGLADESH PAPER_FINAL SPCPL BS AS ON 31.03.2011 10.12.2011" xfId="1995"/>
    <cellStyle name="A_B'DESH FIN FILE_B'DESH_spares &amp; fg_BANGLADESH PAPER_SHEDULE" xfId="1996"/>
    <cellStyle name="A_B'DESH FIN FILE_B'DESH_spares &amp; fg_BANGLADESH PAPER_SPCPL BALANCE SHEET AS ON 30.09.2011 08.12.11" xfId="1997"/>
    <cellStyle name="A_B'DESH FIN FILE_B'DESH_spares &amp; fg_BANGLADESH PAPER_SPCPL BALANCE SHEET AS ON 30.09.2011 10.12.11" xfId="1998"/>
    <cellStyle name="A_B'DESH FIN FILE_B'DESH_spares &amp; fg_CL STCOK JUL-11 (1)" xfId="1999"/>
    <cellStyle name="A_B'DESH FIN FILE_B'DESH_spares &amp; fg_FINAL SPCPL BS AS ON 31.03.2011 10.12.2011" xfId="2000"/>
    <cellStyle name="A_B'DESH FIN FILE_B'DESH_spares &amp; fg_SHEDULE" xfId="2001"/>
    <cellStyle name="A_B'DESH FIN FILE_B'DESH_spares &amp; fg_SPCPL BALANCE SHEET AS ON 30.09.2011 08.12.11" xfId="2002"/>
    <cellStyle name="A_B'DESH FIN FILE_B'DESH_spares &amp; fg_SPCPL BALANCE SHEET AS ON 30.09.2011 10.12.11" xfId="2003"/>
    <cellStyle name="A_B'DESH FIN FILE_B'DESH_spares &amp; fg_WIP-SPCPL.Mar'11" xfId="2004"/>
    <cellStyle name="A_B'DESH FIN FILE_B'DESH_spares &amp; fg_WIP-SPCPL.Mar'11 2" xfId="2005"/>
    <cellStyle name="A_B'DESH FIN FILE_B'DESH_SPCPL BALANCE SHEET AS ON 30.09.2011 08.12.11" xfId="2006"/>
    <cellStyle name="A_B'DESH FIN FILE_B'DESH_SPCPL BALANCE SHEET AS ON 30.09.2011 10.12.11" xfId="2007"/>
    <cellStyle name="A_B'DESH FIN FILE_FINAL SPCPL BS AS ON 31.03.2011 10.12.2011" xfId="2008"/>
    <cellStyle name="A_B'DESH FIN FILE_FINFILE-07-APR" xfId="2009"/>
    <cellStyle name="A_B'DESH FIN FILE_FINFILE-07-APR 2" xfId="2010"/>
    <cellStyle name="A_B'DESH FIN FILE_FINFILE-07-APR_FINAL SPCPL BS AS ON 31.03.2011 10.12.2011" xfId="2011"/>
    <cellStyle name="A_B'DESH FIN FILE_FINFILE-07-APR_SHEDULE" xfId="2012"/>
    <cellStyle name="A_B'DESH FIN FILE_FINFILE-07-APR_spares &amp; fg" xfId="2013"/>
    <cellStyle name="A_B'DESH FIN FILE_FINFILE-07-APR_spares &amp; fg 2" xfId="2014"/>
    <cellStyle name="A_B'DESH FIN FILE_FINFILE-07-APR_spares &amp; fg_BANGLADESH PAPER" xfId="2015"/>
    <cellStyle name="A_B'DESH FIN FILE_FINFILE-07-APR_spares &amp; fg_BANGLADESH PAPER 2" xfId="2016"/>
    <cellStyle name="A_B'DESH FIN FILE_FINFILE-07-APR_spares &amp; fg_BANGLADESH PAPER_FINAL SPCPL BS AS ON 31.03.2011 10.12.2011" xfId="2017"/>
    <cellStyle name="A_B'DESH FIN FILE_FINFILE-07-APR_spares &amp; fg_BANGLADESH PAPER_SHEDULE" xfId="2018"/>
    <cellStyle name="A_B'DESH FIN FILE_FINFILE-07-APR_spares &amp; fg_BANGLADESH PAPER_SPCPL BALANCE SHEET AS ON 30.09.2011 08.12.11" xfId="2019"/>
    <cellStyle name="A_B'DESH FIN FILE_FINFILE-07-APR_spares &amp; fg_BANGLADESH PAPER_SPCPL BALANCE SHEET AS ON 30.09.2011 10.12.11" xfId="2020"/>
    <cellStyle name="A_B'DESH FIN FILE_FINFILE-07-APR_spares &amp; fg_CL STCOK JUL-11 (1)" xfId="2021"/>
    <cellStyle name="A_B'DESH FIN FILE_FINFILE-07-APR_spares &amp; fg_FINAL SPCPL BS AS ON 31.03.2011 10.12.2011" xfId="2022"/>
    <cellStyle name="A_B'DESH FIN FILE_FINFILE-07-APR_spares &amp; fg_SHEDULE" xfId="2023"/>
    <cellStyle name="A_B'DESH FIN FILE_FINFILE-07-APR_spares &amp; fg_SPCPL BALANCE SHEET AS ON 30.09.2011 08.12.11" xfId="2024"/>
    <cellStyle name="A_B'DESH FIN FILE_FINFILE-07-APR_spares &amp; fg_SPCPL BALANCE SHEET AS ON 30.09.2011 10.12.11" xfId="2025"/>
    <cellStyle name="A_B'DESH FIN FILE_FINFILE-07-APR_spares &amp; fg_WIP-SPCPL.Mar'11" xfId="2026"/>
    <cellStyle name="A_B'DESH FIN FILE_FINFILE-07-APR_spares &amp; fg_WIP-SPCPL.Mar'11 2" xfId="2027"/>
    <cellStyle name="A_B'DESH FIN FILE_FINFILE-07-APR_SPCPL BALANCE SHEET AS ON 30.09.2011 08.12.11" xfId="2028"/>
    <cellStyle name="A_B'DESH FIN FILE_FINFILE-07-APR_SPCPL BALANCE SHEET AS ON 30.09.2011 10.12.11" xfId="2029"/>
    <cellStyle name="A_B'DESH FIN FILE_SHEDULE" xfId="2030"/>
    <cellStyle name="A_B'DESH FIN FILE_spares &amp; fg" xfId="2031"/>
    <cellStyle name="A_B'DESH FIN FILE_spares &amp; fg 2" xfId="2032"/>
    <cellStyle name="A_B'DESH FIN FILE_spares &amp; fg_BANGLADESH PAPER" xfId="2033"/>
    <cellStyle name="A_B'DESH FIN FILE_spares &amp; fg_BANGLADESH PAPER 2" xfId="2034"/>
    <cellStyle name="A_B'DESH FIN FILE_spares &amp; fg_BANGLADESH PAPER_FINAL SPCPL BS AS ON 31.03.2011 10.12.2011" xfId="2035"/>
    <cellStyle name="A_B'DESH FIN FILE_spares &amp; fg_BANGLADESH PAPER_SHEDULE" xfId="2036"/>
    <cellStyle name="A_B'DESH FIN FILE_spares &amp; fg_BANGLADESH PAPER_SPCPL BALANCE SHEET AS ON 30.09.2011 08.12.11" xfId="2037"/>
    <cellStyle name="A_B'DESH FIN FILE_spares &amp; fg_BANGLADESH PAPER_SPCPL BALANCE SHEET AS ON 30.09.2011 10.12.11" xfId="2038"/>
    <cellStyle name="A_B'DESH FIN FILE_spares &amp; fg_CL STCOK JUL-11 (1)" xfId="2039"/>
    <cellStyle name="A_B'DESH FIN FILE_spares &amp; fg_FINAL SPCPL BS AS ON 31.03.2011 10.12.2011" xfId="2040"/>
    <cellStyle name="A_B'DESH FIN FILE_spares &amp; fg_SHEDULE" xfId="2041"/>
    <cellStyle name="A_B'DESH FIN FILE_spares &amp; fg_SPCPL BALANCE SHEET AS ON 30.09.2011 08.12.11" xfId="2042"/>
    <cellStyle name="A_B'DESH FIN FILE_spares &amp; fg_SPCPL BALANCE SHEET AS ON 30.09.2011 10.12.11" xfId="2043"/>
    <cellStyle name="A_B'DESH FIN FILE_spares &amp; fg_WIP-SPCPL.Mar'11" xfId="2044"/>
    <cellStyle name="A_B'DESH FIN FILE_spares &amp; fg_WIP-SPCPL.Mar'11 2" xfId="2045"/>
    <cellStyle name="A_B'DESH FIN FILE_SPCPL BALANCE SHEET AS ON 30.09.2011 08.12.11" xfId="2046"/>
    <cellStyle name="A_B'DESH FIN FILE_SPCPL BALANCE SHEET AS ON 30.09.2011 10.12.11" xfId="2047"/>
    <cellStyle name="A_B'DESH M5R (1)" xfId="2048"/>
    <cellStyle name="A_B'DESH M5R (1) 2" xfId="2049"/>
    <cellStyle name="A_B'DESH M5R (1)_FINAL SPCPL BS AS ON 31.03.2011 10.12.2011" xfId="2050"/>
    <cellStyle name="A_B'DESH M5R (1)_SHEDULE" xfId="2051"/>
    <cellStyle name="A_B'DESH M5R (1)_spares &amp; fg" xfId="2052"/>
    <cellStyle name="A_B'DESH M5R (1)_spares &amp; fg 2" xfId="2053"/>
    <cellStyle name="A_B'DESH M5R (1)_spares &amp; fg_BANGLADESH PAPER" xfId="2054"/>
    <cellStyle name="A_B'DESH M5R (1)_spares &amp; fg_BANGLADESH PAPER 2" xfId="2055"/>
    <cellStyle name="A_B'DESH M5R (1)_spares &amp; fg_BANGLADESH PAPER_FINAL SPCPL BS AS ON 31.03.2011 10.12.2011" xfId="2056"/>
    <cellStyle name="A_B'DESH M5R (1)_spares &amp; fg_BANGLADESH PAPER_SHEDULE" xfId="2057"/>
    <cellStyle name="A_B'DESH M5R (1)_spares &amp; fg_BANGLADESH PAPER_SPCPL BALANCE SHEET AS ON 30.09.2011 08.12.11" xfId="2058"/>
    <cellStyle name="A_B'DESH M5R (1)_spares &amp; fg_BANGLADESH PAPER_SPCPL BALANCE SHEET AS ON 30.09.2011 10.12.11" xfId="2059"/>
    <cellStyle name="A_B'DESH M5R (1)_spares &amp; fg_CL STCOK JUL-11 (1)" xfId="2060"/>
    <cellStyle name="A_B'DESH M5R (1)_spares &amp; fg_FINAL SPCPL BS AS ON 31.03.2011 10.12.2011" xfId="2061"/>
    <cellStyle name="A_B'DESH M5R (1)_spares &amp; fg_SHEDULE" xfId="2062"/>
    <cellStyle name="A_B'DESH M5R (1)_spares &amp; fg_SPCPL BALANCE SHEET AS ON 30.09.2011 08.12.11" xfId="2063"/>
    <cellStyle name="A_B'DESH M5R (1)_spares &amp; fg_SPCPL BALANCE SHEET AS ON 30.09.2011 10.12.11" xfId="2064"/>
    <cellStyle name="A_B'DESH M5R (1)_spares &amp; fg_WIP-SPCPL.Mar'11" xfId="2065"/>
    <cellStyle name="A_B'DESH M5R (1)_spares &amp; fg_WIP-SPCPL.Mar'11 2" xfId="2066"/>
    <cellStyle name="A_B'DESH M5R (1)_SPCPL BALANCE SHEET AS ON 30.09.2011 08.12.11" xfId="2067"/>
    <cellStyle name="A_B'DESH M5R (1)_SPCPL BALANCE SHEET AS ON 30.09.2011 10.12.11" xfId="2068"/>
    <cellStyle name="A_B'DESH M5R-JUL (1)" xfId="2069"/>
    <cellStyle name="A_B'DESH M5R-JUL (1) 2" xfId="2070"/>
    <cellStyle name="A_B'DESH M5R-JUL (1)_FINAL SPCPL BS AS ON 31.03.2011 10.12.2011" xfId="2071"/>
    <cellStyle name="A_B'DESH M5R-JUL (1)_SHEDULE" xfId="2072"/>
    <cellStyle name="A_B'DESH M5R-JUL (1)_spares &amp; fg" xfId="2073"/>
    <cellStyle name="A_B'DESH M5R-JUL (1)_spares &amp; fg 2" xfId="2074"/>
    <cellStyle name="A_B'DESH M5R-JUL (1)_spares &amp; fg_BANGLADESH PAPER" xfId="2075"/>
    <cellStyle name="A_B'DESH M5R-JUL (1)_spares &amp; fg_BANGLADESH PAPER 2" xfId="2076"/>
    <cellStyle name="A_B'DESH M5R-JUL (1)_spares &amp; fg_BANGLADESH PAPER_FINAL SPCPL BS AS ON 31.03.2011 10.12.2011" xfId="2077"/>
    <cellStyle name="A_B'DESH M5R-JUL (1)_spares &amp; fg_BANGLADESH PAPER_SHEDULE" xfId="2078"/>
    <cellStyle name="A_B'DESH M5R-JUL (1)_spares &amp; fg_BANGLADESH PAPER_SPCPL BALANCE SHEET AS ON 30.09.2011 08.12.11" xfId="2079"/>
    <cellStyle name="A_B'DESH M5R-JUL (1)_spares &amp; fg_BANGLADESH PAPER_SPCPL BALANCE SHEET AS ON 30.09.2011 10.12.11" xfId="2080"/>
    <cellStyle name="A_B'DESH M5R-JUL (1)_spares &amp; fg_CL STCOK JUL-11 (1)" xfId="2081"/>
    <cellStyle name="A_B'DESH M5R-JUL (1)_spares &amp; fg_FINAL SPCPL BS AS ON 31.03.2011 10.12.2011" xfId="2082"/>
    <cellStyle name="A_B'DESH M5R-JUL (1)_spares &amp; fg_SHEDULE" xfId="2083"/>
    <cellStyle name="A_B'DESH M5R-JUL (1)_spares &amp; fg_SPCPL BALANCE SHEET AS ON 30.09.2011 08.12.11" xfId="2084"/>
    <cellStyle name="A_B'DESH M5R-JUL (1)_spares &amp; fg_SPCPL BALANCE SHEET AS ON 30.09.2011 10.12.11" xfId="2085"/>
    <cellStyle name="A_B'DESH M5R-JUL (1)_spares &amp; fg_WIP-SPCPL.Mar'11" xfId="2086"/>
    <cellStyle name="A_B'DESH M5R-JUL (1)_spares &amp; fg_WIP-SPCPL.Mar'11 2" xfId="2087"/>
    <cellStyle name="A_B'DESH M5R-JUL (1)_SPCPL BALANCE SHEET AS ON 30.09.2011 08.12.11" xfId="2088"/>
    <cellStyle name="A_B'DESH M5R-JUL (1)_SPCPL BALANCE SHEET AS ON 30.09.2011 10.12.11" xfId="2089"/>
    <cellStyle name="A_B'DESH PROG" xfId="2090"/>
    <cellStyle name="A_B'DESH PROG 2" xfId="2091"/>
    <cellStyle name="A_B'DESH PROG_FINAL SPCPL BS AS ON 31.03.2011 10.12.2011" xfId="2092"/>
    <cellStyle name="A_B'DESH PROG_SHEDULE" xfId="2093"/>
    <cellStyle name="A_B'DESH PROG_spares &amp; fg" xfId="2094"/>
    <cellStyle name="A_B'DESH PROG_spares &amp; fg 2" xfId="2095"/>
    <cellStyle name="A_B'DESH PROG_spares &amp; fg_BANGLADESH PAPER" xfId="2096"/>
    <cellStyle name="A_B'DESH PROG_spares &amp; fg_BANGLADESH PAPER 2" xfId="2097"/>
    <cellStyle name="A_B'DESH PROG_spares &amp; fg_BANGLADESH PAPER_FINAL SPCPL BS AS ON 31.03.2011 10.12.2011" xfId="2098"/>
    <cellStyle name="A_B'DESH PROG_spares &amp; fg_BANGLADESH PAPER_SHEDULE" xfId="2099"/>
    <cellStyle name="A_B'DESH PROG_spares &amp; fg_BANGLADESH PAPER_SPCPL BALANCE SHEET AS ON 30.09.2011 08.12.11" xfId="2100"/>
    <cellStyle name="A_B'DESH PROG_spares &amp; fg_BANGLADESH PAPER_SPCPL BALANCE SHEET AS ON 30.09.2011 10.12.11" xfId="2101"/>
    <cellStyle name="A_B'DESH PROG_spares &amp; fg_CL STCOK JUL-11 (1)" xfId="2102"/>
    <cellStyle name="A_B'DESH PROG_spares &amp; fg_FINAL SPCPL BS AS ON 31.03.2011 10.12.2011" xfId="2103"/>
    <cellStyle name="A_B'DESH PROG_spares &amp; fg_SHEDULE" xfId="2104"/>
    <cellStyle name="A_B'DESH PROG_spares &amp; fg_SPCPL BALANCE SHEET AS ON 30.09.2011 08.12.11" xfId="2105"/>
    <cellStyle name="A_B'DESH PROG_spares &amp; fg_SPCPL BALANCE SHEET AS ON 30.09.2011 10.12.11" xfId="2106"/>
    <cellStyle name="A_B'DESH PROG_spares &amp; fg_WIP-SPCPL.Mar'11" xfId="2107"/>
    <cellStyle name="A_B'DESH PROG_spares &amp; fg_WIP-SPCPL.Mar'11 2" xfId="2108"/>
    <cellStyle name="A_B'DESH PROG_SPCPL BALANCE SHEET AS ON 30.09.2011 08.12.11" xfId="2109"/>
    <cellStyle name="A_B'DESH PROG_SPCPL BALANCE SHEET AS ON 30.09.2011 10.12.11" xfId="2110"/>
    <cellStyle name="A_Corporate File-11-5-08" xfId="2111"/>
    <cellStyle name="A_Corporate File-11-5-08 2" xfId="2112"/>
    <cellStyle name="A_Corporate File-11-5-08_B'DESH M5R (1)" xfId="2113"/>
    <cellStyle name="A_Corporate File-11-5-08_B'DESH M5R (1) 2" xfId="2114"/>
    <cellStyle name="A_Corporate File-11-5-08_B'DESH M5R (1)_FINAL SPCPL BS AS ON 31.03.2011 10.12.2011" xfId="2115"/>
    <cellStyle name="A_Corporate File-11-5-08_B'DESH M5R (1)_SHEDULE" xfId="2116"/>
    <cellStyle name="A_Corporate File-11-5-08_B'DESH M5R (1)_spares &amp; fg" xfId="2117"/>
    <cellStyle name="A_Corporate File-11-5-08_B'DESH M5R (1)_spares &amp; fg 2" xfId="2118"/>
    <cellStyle name="A_Corporate File-11-5-08_B'DESH M5R (1)_spares &amp; fg_BANGLADESH PAPER" xfId="2119"/>
    <cellStyle name="A_Corporate File-11-5-08_B'DESH M5R (1)_spares &amp; fg_BANGLADESH PAPER 2" xfId="2120"/>
    <cellStyle name="A_Corporate File-11-5-08_B'DESH M5R (1)_spares &amp; fg_BANGLADESH PAPER_FINAL SPCPL BS AS ON 31.03.2011 10.12.2011" xfId="2121"/>
    <cellStyle name="A_Corporate File-11-5-08_B'DESH M5R (1)_spares &amp; fg_BANGLADESH PAPER_SHEDULE" xfId="2122"/>
    <cellStyle name="A_Corporate File-11-5-08_B'DESH M5R (1)_spares &amp; fg_BANGLADESH PAPER_SPCPL BALANCE SHEET AS ON 30.09.2011 08.12.11" xfId="2123"/>
    <cellStyle name="A_Corporate File-11-5-08_B'DESH M5R (1)_spares &amp; fg_BANGLADESH PAPER_SPCPL BALANCE SHEET AS ON 30.09.2011 10.12.11" xfId="2124"/>
    <cellStyle name="A_Corporate File-11-5-08_B'DESH M5R (1)_spares &amp; fg_CL STCOK JUL-11 (1)" xfId="2125"/>
    <cellStyle name="A_Corporate File-11-5-08_B'DESH M5R (1)_spares &amp; fg_FINAL SPCPL BS AS ON 31.03.2011 10.12.2011" xfId="2126"/>
    <cellStyle name="A_Corporate File-11-5-08_B'DESH M5R (1)_spares &amp; fg_SHEDULE" xfId="2127"/>
    <cellStyle name="A_Corporate File-11-5-08_B'DESH M5R (1)_spares &amp; fg_SPCPL BALANCE SHEET AS ON 30.09.2011 08.12.11" xfId="2128"/>
    <cellStyle name="A_Corporate File-11-5-08_B'DESH M5R (1)_spares &amp; fg_SPCPL BALANCE SHEET AS ON 30.09.2011 10.12.11" xfId="2129"/>
    <cellStyle name="A_Corporate File-11-5-08_B'DESH M5R (1)_spares &amp; fg_WIP-SPCPL.Mar'11" xfId="2130"/>
    <cellStyle name="A_Corporate File-11-5-08_B'DESH M5R (1)_spares &amp; fg_WIP-SPCPL.Mar'11 2" xfId="2131"/>
    <cellStyle name="A_Corporate File-11-5-08_B'DESH M5R (1)_SPCPL BALANCE SHEET AS ON 30.09.2011 08.12.11" xfId="2132"/>
    <cellStyle name="A_Corporate File-11-5-08_B'DESH M5R (1)_SPCPL BALANCE SHEET AS ON 30.09.2011 10.12.11" xfId="2133"/>
    <cellStyle name="A_Corporate File-11-5-08_B'DESH M5R-JUL (1)" xfId="2134"/>
    <cellStyle name="A_Corporate File-11-5-08_B'DESH M5R-JUL (1) 2" xfId="2135"/>
    <cellStyle name="A_Corporate File-11-5-08_B'DESH M5R-JUL (1)_FINAL SPCPL BS AS ON 31.03.2011 10.12.2011" xfId="2136"/>
    <cellStyle name="A_Corporate File-11-5-08_B'DESH M5R-JUL (1)_SHEDULE" xfId="2137"/>
    <cellStyle name="A_Corporate File-11-5-08_B'DESH M5R-JUL (1)_spares &amp; fg" xfId="2138"/>
    <cellStyle name="A_Corporate File-11-5-08_B'DESH M5R-JUL (1)_spares &amp; fg 2" xfId="2139"/>
    <cellStyle name="A_Corporate File-11-5-08_B'DESH M5R-JUL (1)_spares &amp; fg_BANGLADESH PAPER" xfId="2140"/>
    <cellStyle name="A_Corporate File-11-5-08_B'DESH M5R-JUL (1)_spares &amp; fg_BANGLADESH PAPER 2" xfId="2141"/>
    <cellStyle name="A_Corporate File-11-5-08_B'DESH M5R-JUL (1)_spares &amp; fg_BANGLADESH PAPER_FINAL SPCPL BS AS ON 31.03.2011 10.12.2011" xfId="2142"/>
    <cellStyle name="A_Corporate File-11-5-08_B'DESH M5R-JUL (1)_spares &amp; fg_BANGLADESH PAPER_SHEDULE" xfId="2143"/>
    <cellStyle name="A_Corporate File-11-5-08_B'DESH M5R-JUL (1)_spares &amp; fg_BANGLADESH PAPER_SPCPL BALANCE SHEET AS ON 30.09.2011 08.12.11" xfId="2144"/>
    <cellStyle name="A_Corporate File-11-5-08_B'DESH M5R-JUL (1)_spares &amp; fg_BANGLADESH PAPER_SPCPL BALANCE SHEET AS ON 30.09.2011 10.12.11" xfId="2145"/>
    <cellStyle name="A_Corporate File-11-5-08_B'DESH M5R-JUL (1)_spares &amp; fg_CL STCOK JUL-11 (1)" xfId="2146"/>
    <cellStyle name="A_Corporate File-11-5-08_B'DESH M5R-JUL (1)_spares &amp; fg_FINAL SPCPL BS AS ON 31.03.2011 10.12.2011" xfId="2147"/>
    <cellStyle name="A_Corporate File-11-5-08_B'DESH M5R-JUL (1)_spares &amp; fg_SHEDULE" xfId="2148"/>
    <cellStyle name="A_Corporate File-11-5-08_B'DESH M5R-JUL (1)_spares &amp; fg_SPCPL BALANCE SHEET AS ON 30.09.2011 08.12.11" xfId="2149"/>
    <cellStyle name="A_Corporate File-11-5-08_B'DESH M5R-JUL (1)_spares &amp; fg_SPCPL BALANCE SHEET AS ON 30.09.2011 10.12.11" xfId="2150"/>
    <cellStyle name="A_Corporate File-11-5-08_B'DESH M5R-JUL (1)_spares &amp; fg_WIP-SPCPL.Mar'11" xfId="2151"/>
    <cellStyle name="A_Corporate File-11-5-08_B'DESH M5R-JUL (1)_spares &amp; fg_WIP-SPCPL.Mar'11 2" xfId="2152"/>
    <cellStyle name="A_Corporate File-11-5-08_B'DESH M5R-JUL (1)_SPCPL BALANCE SHEET AS ON 30.09.2011 08.12.11" xfId="2153"/>
    <cellStyle name="A_Corporate File-11-5-08_B'DESH M5R-JUL (1)_SPCPL BALANCE SHEET AS ON 30.09.2011 10.12.11" xfId="2154"/>
    <cellStyle name="A_Corporate File-11-5-08_FINAL SPCPL BS AS ON 31.03.2011 10.12.2011" xfId="2155"/>
    <cellStyle name="A_Corporate File-11-5-08_Hyderabad Purchase Price Allocation draft final" xfId="2156"/>
    <cellStyle name="A_Corporate File-11-5-08_Hyderabad Purchase Price Allocation draft final_FINAL SPCPL BS AS ON 31.03.2011 10.12.2011" xfId="2157"/>
    <cellStyle name="A_Corporate File-11-5-08_Hyderabad Purchase Price Allocation draft final_SHEDULE" xfId="2158"/>
    <cellStyle name="A_Corporate File-11-5-08_Hyderabad Purchase Price Allocation draft final_SPCPL BALANCE SHEET AS ON 30.09.2011 08.12.11" xfId="2159"/>
    <cellStyle name="A_Corporate File-11-5-08_Hyderabad Purchase Price Allocation draft final_SPCPL BALANCE SHEET AS ON 30.09.2011 10.12.11" xfId="2160"/>
    <cellStyle name="A_Corporate File-11-5-08_SHEDULE" xfId="2161"/>
    <cellStyle name="A_Corporate File-11-5-08_spares &amp; fg" xfId="2162"/>
    <cellStyle name="A_Corporate File-11-5-08_spares &amp; fg 2" xfId="2163"/>
    <cellStyle name="A_Corporate File-11-5-08_spares &amp; fg_BANGLADESH PAPER" xfId="2164"/>
    <cellStyle name="A_Corporate File-11-5-08_spares &amp; fg_BANGLADESH PAPER 2" xfId="2165"/>
    <cellStyle name="A_Corporate File-11-5-08_spares &amp; fg_BANGLADESH PAPER_FINAL SPCPL BS AS ON 31.03.2011 10.12.2011" xfId="2166"/>
    <cellStyle name="A_Corporate File-11-5-08_spares &amp; fg_BANGLADESH PAPER_Hyderabad Purchase Price Allocation draft final" xfId="2167"/>
    <cellStyle name="A_Corporate File-11-5-08_spares &amp; fg_BANGLADESH PAPER_Hyderabad Purchase Price Allocation draft final_FINAL SPCPL BS AS ON 31.03.2011 10.12.2011" xfId="2168"/>
    <cellStyle name="A_Corporate File-11-5-08_spares &amp; fg_BANGLADESH PAPER_Hyderabad Purchase Price Allocation draft final_SHEDULE" xfId="2169"/>
    <cellStyle name="A_Corporate File-11-5-08_spares &amp; fg_BANGLADESH PAPER_Hyderabad Purchase Price Allocation draft final_SPCPL BALANCE SHEET AS ON 30.09.2011 08.12.11" xfId="2170"/>
    <cellStyle name="A_Corporate File-11-5-08_spares &amp; fg_BANGLADESH PAPER_Hyderabad Purchase Price Allocation draft final_SPCPL BALANCE SHEET AS ON 30.09.2011 10.12.11" xfId="2171"/>
    <cellStyle name="A_Corporate File-11-5-08_spares &amp; fg_BANGLADESH PAPER_SHEDULE" xfId="2172"/>
    <cellStyle name="A_Corporate File-11-5-08_spares &amp; fg_BANGLADESH PAPER_SPCPL BALANCE SHEET AS ON 30.09.2011 08.12.11" xfId="2173"/>
    <cellStyle name="A_Corporate File-11-5-08_spares &amp; fg_BANGLADESH PAPER_SPCPL BALANCE SHEET AS ON 30.09.2011 10.12.11" xfId="2174"/>
    <cellStyle name="A_Corporate File-11-5-08_spares &amp; fg_CL STCOK JUL-11 (1)" xfId="2175"/>
    <cellStyle name="A_Corporate File-11-5-08_spares &amp; fg_FINAL SPCPL BS AS ON 31.03.2011 10.12.2011" xfId="2176"/>
    <cellStyle name="A_Corporate File-11-5-08_spares &amp; fg_Hyderabad Purchase Price Allocation draft final" xfId="2177"/>
    <cellStyle name="A_Corporate File-11-5-08_spares &amp; fg_Hyderabad Purchase Price Allocation draft final_FINAL SPCPL BS AS ON 31.03.2011 10.12.2011" xfId="2178"/>
    <cellStyle name="A_Corporate File-11-5-08_spares &amp; fg_Hyderabad Purchase Price Allocation draft final_SHEDULE" xfId="2179"/>
    <cellStyle name="A_Corporate File-11-5-08_spares &amp; fg_Hyderabad Purchase Price Allocation draft final_SPCPL BALANCE SHEET AS ON 30.09.2011 08.12.11" xfId="2180"/>
    <cellStyle name="A_Corporate File-11-5-08_spares &amp; fg_Hyderabad Purchase Price Allocation draft final_SPCPL BALANCE SHEET AS ON 30.09.2011 10.12.11" xfId="2181"/>
    <cellStyle name="A_Corporate File-11-5-08_spares &amp; fg_SHEDULE" xfId="2182"/>
    <cellStyle name="A_Corporate File-11-5-08_spares &amp; fg_SPCPL BALANCE SHEET AS ON 30.09.2011 08.12.11" xfId="2183"/>
    <cellStyle name="A_Corporate File-11-5-08_spares &amp; fg_SPCPL BALANCE SHEET AS ON 30.09.2011 10.12.11" xfId="2184"/>
    <cellStyle name="A_Corporate File-11-5-08_spares &amp; fg_WIP-SPCPL.Mar'11" xfId="2185"/>
    <cellStyle name="A_Corporate File-11-5-08_spares &amp; fg_WIP-SPCPL.Mar'11 2" xfId="2186"/>
    <cellStyle name="A_Corporate File-11-5-08_spares &amp; fg_WIP-SPCPL.Mar'11_SHEDULE" xfId="2187"/>
    <cellStyle name="A_Corporate File-11-5-08_spares &amp; fg_WIP-SPCPL.Mar'11_SPCPL BALANCE SHEET AS ON 30.09.2011 08.12.11" xfId="2188"/>
    <cellStyle name="A_Corporate File-11-5-08_spares &amp; fg_WIP-SPCPL.Mar'11_SPCPL BALANCE SHEET AS ON 30.09.2011 10.12.11" xfId="2189"/>
    <cellStyle name="A_Corporate File-11-5-08_SPCPL BALANCE SHEET AS ON 30.09.2011 08.12.11" xfId="2190"/>
    <cellStyle name="A_Corporate File-11-5-08_SPCPL BALANCE SHEET AS ON 30.09.2011 10.12.11" xfId="2191"/>
    <cellStyle name="A_FINAL SPCPL BS AS ON 31.03.2011 10.12.2011" xfId="2192"/>
    <cellStyle name="A_Hyderabad Purchase Price Allocation draft final" xfId="2193"/>
    <cellStyle name="A_Hyderabad Purchase Price Allocation draft final_FINAL SPCPL BS AS ON 31.03.2011 10.12.2011" xfId="2194"/>
    <cellStyle name="A_Hyderabad Purchase Price Allocation draft final_SHEDULE" xfId="2195"/>
    <cellStyle name="A_Hyderabad Purchase Price Allocation draft final_SPCPL BALANCE SHEET AS ON 30.09.2011 08.12.11" xfId="2196"/>
    <cellStyle name="A_Hyderabad Purchase Price Allocation draft final_SPCPL BALANCE SHEET AS ON 30.09.2011 10.12.11" xfId="2197"/>
    <cellStyle name="A_SALES &amp; fIN FILE B'DESH" xfId="2198"/>
    <cellStyle name="A_SALES &amp; fIN FILE B'DESH 2" xfId="2199"/>
    <cellStyle name="A_SALES &amp; fIN FILE B'DESH_FINAL SPCPL BS AS ON 31.03.2011 10.12.2011" xfId="2200"/>
    <cellStyle name="A_SALES &amp; fIN FILE B'DESH_SHEDULE" xfId="2201"/>
    <cellStyle name="A_SALES &amp; fIN FILE B'DESH_spares &amp; fg" xfId="2202"/>
    <cellStyle name="A_SALES &amp; fIN FILE B'DESH_spares &amp; fg 2" xfId="2203"/>
    <cellStyle name="A_SALES &amp; fIN FILE B'DESH_spares &amp; fg_BANGLADESH PAPER" xfId="2204"/>
    <cellStyle name="A_SALES &amp; fIN FILE B'DESH_spares &amp; fg_BANGLADESH PAPER 2" xfId="2205"/>
    <cellStyle name="A_SALES &amp; fIN FILE B'DESH_spares &amp; fg_BANGLADESH PAPER_FINAL SPCPL BS AS ON 31.03.2011 10.12.2011" xfId="2206"/>
    <cellStyle name="A_SALES &amp; fIN FILE B'DESH_spares &amp; fg_BANGLADESH PAPER_SHEDULE" xfId="2207"/>
    <cellStyle name="A_SALES &amp; fIN FILE B'DESH_spares &amp; fg_BANGLADESH PAPER_SPCPL BALANCE SHEET AS ON 30.09.2011 08.12.11" xfId="2208"/>
    <cellStyle name="A_SALES &amp; fIN FILE B'DESH_spares &amp; fg_BANGLADESH PAPER_SPCPL BALANCE SHEET AS ON 30.09.2011 10.12.11" xfId="2209"/>
    <cellStyle name="A_SALES &amp; fIN FILE B'DESH_spares &amp; fg_CL STCOK JUL-11 (1)" xfId="2210"/>
    <cellStyle name="A_SALES &amp; fIN FILE B'DESH_spares &amp; fg_FINAL SPCPL BS AS ON 31.03.2011 10.12.2011" xfId="2211"/>
    <cellStyle name="A_SALES &amp; fIN FILE B'DESH_spares &amp; fg_SHEDULE" xfId="2212"/>
    <cellStyle name="A_SALES &amp; fIN FILE B'DESH_spares &amp; fg_SPCPL BALANCE SHEET AS ON 30.09.2011 08.12.11" xfId="2213"/>
    <cellStyle name="A_SALES &amp; fIN FILE B'DESH_spares &amp; fg_SPCPL BALANCE SHEET AS ON 30.09.2011 10.12.11" xfId="2214"/>
    <cellStyle name="A_SALES &amp; fIN FILE B'DESH_spares &amp; fg_WIP-SPCPL.Mar'11" xfId="2215"/>
    <cellStyle name="A_SALES &amp; fIN FILE B'DESH_spares &amp; fg_WIP-SPCPL.Mar'11 2" xfId="2216"/>
    <cellStyle name="A_SALES &amp; fIN FILE B'DESH_SPCPL BALANCE SHEET AS ON 30.09.2011 08.12.11" xfId="2217"/>
    <cellStyle name="A_SALES &amp; fIN FILE B'DESH_SPCPL BALANCE SHEET AS ON 30.09.2011 10.12.11" xfId="2218"/>
    <cellStyle name="A_SHEDULE" xfId="2219"/>
    <cellStyle name="A_spares &amp; fg" xfId="2220"/>
    <cellStyle name="A_spares &amp; fg 2" xfId="2221"/>
    <cellStyle name="A_spares &amp; fg_BANGLADESH PAPER" xfId="2222"/>
    <cellStyle name="A_spares &amp; fg_BANGLADESH PAPER 2" xfId="2223"/>
    <cellStyle name="A_spares &amp; fg_BANGLADESH PAPER_FINAL SPCPL BS AS ON 31.03.2011 10.12.2011" xfId="2224"/>
    <cellStyle name="A_spares &amp; fg_BANGLADESH PAPER_Hyderabad Purchase Price Allocation draft final" xfId="2225"/>
    <cellStyle name="A_spares &amp; fg_BANGLADESH PAPER_Hyderabad Purchase Price Allocation draft final_FINAL SPCPL BS AS ON 31.03.2011 10.12.2011" xfId="2226"/>
    <cellStyle name="A_spares &amp; fg_BANGLADESH PAPER_Hyderabad Purchase Price Allocation draft final_SHEDULE" xfId="2227"/>
    <cellStyle name="A_spares &amp; fg_BANGLADESH PAPER_Hyderabad Purchase Price Allocation draft final_SPCPL BALANCE SHEET AS ON 30.09.2011 08.12.11" xfId="2228"/>
    <cellStyle name="A_spares &amp; fg_BANGLADESH PAPER_Hyderabad Purchase Price Allocation draft final_SPCPL BALANCE SHEET AS ON 30.09.2011 10.12.11" xfId="2229"/>
    <cellStyle name="A_spares &amp; fg_BANGLADESH PAPER_SHEDULE" xfId="2230"/>
    <cellStyle name="A_spares &amp; fg_BANGLADESH PAPER_SPCPL BALANCE SHEET AS ON 30.09.2011 08.12.11" xfId="2231"/>
    <cellStyle name="A_spares &amp; fg_BANGLADESH PAPER_SPCPL BALANCE SHEET AS ON 30.09.2011 10.12.11" xfId="2232"/>
    <cellStyle name="A_spares &amp; fg_CL STCOK JUL-11 (1)" xfId="2233"/>
    <cellStyle name="A_spares &amp; fg_FINAL SPCPL BS AS ON 31.03.2011 10.12.2011" xfId="2234"/>
    <cellStyle name="A_spares &amp; fg_Hyderabad Purchase Price Allocation draft final" xfId="2235"/>
    <cellStyle name="A_spares &amp; fg_Hyderabad Purchase Price Allocation draft final_FINAL SPCPL BS AS ON 31.03.2011 10.12.2011" xfId="2236"/>
    <cellStyle name="A_spares &amp; fg_Hyderabad Purchase Price Allocation draft final_SHEDULE" xfId="2237"/>
    <cellStyle name="A_spares &amp; fg_Hyderabad Purchase Price Allocation draft final_SPCPL BALANCE SHEET AS ON 30.09.2011 08.12.11" xfId="2238"/>
    <cellStyle name="A_spares &amp; fg_Hyderabad Purchase Price Allocation draft final_SPCPL BALANCE SHEET AS ON 30.09.2011 10.12.11" xfId="2239"/>
    <cellStyle name="A_spares &amp; fg_SHEDULE" xfId="2240"/>
    <cellStyle name="A_spares &amp; fg_SPCPL BALANCE SHEET AS ON 30.09.2011 08.12.11" xfId="2241"/>
    <cellStyle name="A_spares &amp; fg_SPCPL BALANCE SHEET AS ON 30.09.2011 10.12.11" xfId="2242"/>
    <cellStyle name="A_spares &amp; fg_WIP-SPCPL.Mar'11" xfId="2243"/>
    <cellStyle name="A_spares &amp; fg_WIP-SPCPL.Mar'11 2" xfId="2244"/>
    <cellStyle name="A_spares &amp; fg_WIP-SPCPL.Mar'11_SHEDULE" xfId="2245"/>
    <cellStyle name="A_spares &amp; fg_WIP-SPCPL.Mar'11_SPCPL BALANCE SHEET AS ON 30.09.2011 08.12.11" xfId="2246"/>
    <cellStyle name="A_spares &amp; fg_WIP-SPCPL.Mar'11_SPCPL BALANCE SHEET AS ON 30.09.2011 10.12.11" xfId="2247"/>
    <cellStyle name="A_SPCPL BALANCE SHEET AS ON 30.09.2011 08.12.11" xfId="2248"/>
    <cellStyle name="A_SPCPL BALANCE SHEET AS ON 30.09.2011 10.12.11" xfId="2249"/>
    <cellStyle name="Accent1 - 20%" xfId="259"/>
    <cellStyle name="Accent1 - 40%" xfId="260"/>
    <cellStyle name="Accent1 - 60%" xfId="261"/>
    <cellStyle name="Accent1 10" xfId="2250"/>
    <cellStyle name="Accent1 11" xfId="2251"/>
    <cellStyle name="Accent1 12" xfId="2252"/>
    <cellStyle name="Accent1 13" xfId="2253"/>
    <cellStyle name="Accent1 14" xfId="2254"/>
    <cellStyle name="Accent1 15" xfId="2255"/>
    <cellStyle name="Accent1 16" xfId="2256"/>
    <cellStyle name="Accent1 17" xfId="2257"/>
    <cellStyle name="Accent1 18" xfId="2258"/>
    <cellStyle name="Accent1 19" xfId="2259"/>
    <cellStyle name="Accent1 2" xfId="262"/>
    <cellStyle name="Accent1 2 2" xfId="2260"/>
    <cellStyle name="Accent1 2 3" xfId="2261"/>
    <cellStyle name="Accent1 2 4" xfId="2262"/>
    <cellStyle name="Accent1 2 5" xfId="2263"/>
    <cellStyle name="Accent1 2 6" xfId="2264"/>
    <cellStyle name="Accent1 20" xfId="2265"/>
    <cellStyle name="Accent1 21" xfId="2266"/>
    <cellStyle name="Accent1 22" xfId="2267"/>
    <cellStyle name="Accent1 23" xfId="2268"/>
    <cellStyle name="Accent1 24" xfId="2269"/>
    <cellStyle name="Accent1 25" xfId="2270"/>
    <cellStyle name="Accent1 26" xfId="2271"/>
    <cellStyle name="Accent1 3" xfId="2272"/>
    <cellStyle name="Accent1 3 2" xfId="2273"/>
    <cellStyle name="Accent1 3 3" xfId="2274"/>
    <cellStyle name="Accent1 3 4" xfId="2275"/>
    <cellStyle name="Accent1 4" xfId="2276"/>
    <cellStyle name="Accent1 5" xfId="2277"/>
    <cellStyle name="Accent1 6" xfId="2278"/>
    <cellStyle name="Accent1 7" xfId="2279"/>
    <cellStyle name="Accent1 8" xfId="2280"/>
    <cellStyle name="Accent1 9" xfId="2281"/>
    <cellStyle name="Accent2 - 20%" xfId="263"/>
    <cellStyle name="Accent2 - 40%" xfId="264"/>
    <cellStyle name="Accent2 - 60%" xfId="265"/>
    <cellStyle name="Accent2 10" xfId="2282"/>
    <cellStyle name="Accent2 11" xfId="2283"/>
    <cellStyle name="Accent2 12" xfId="2284"/>
    <cellStyle name="Accent2 13" xfId="2285"/>
    <cellStyle name="Accent2 14" xfId="2286"/>
    <cellStyle name="Accent2 15" xfId="2287"/>
    <cellStyle name="Accent2 16" xfId="2288"/>
    <cellStyle name="Accent2 17" xfId="2289"/>
    <cellStyle name="Accent2 18" xfId="2290"/>
    <cellStyle name="Accent2 19" xfId="2291"/>
    <cellStyle name="Accent2 2" xfId="266"/>
    <cellStyle name="Accent2 2 2" xfId="2292"/>
    <cellStyle name="Accent2 2 3" xfId="2293"/>
    <cellStyle name="Accent2 2 4" xfId="2294"/>
    <cellStyle name="Accent2 2 5" xfId="2295"/>
    <cellStyle name="Accent2 2 6" xfId="2296"/>
    <cellStyle name="Accent2 20" xfId="2297"/>
    <cellStyle name="Accent2 21" xfId="2298"/>
    <cellStyle name="Accent2 22" xfId="2299"/>
    <cellStyle name="Accent2 23" xfId="2300"/>
    <cellStyle name="Accent2 24" xfId="2301"/>
    <cellStyle name="Accent2 25" xfId="2302"/>
    <cellStyle name="Accent2 26" xfId="2303"/>
    <cellStyle name="Accent2 3" xfId="2304"/>
    <cellStyle name="Accent2 3 2" xfId="2305"/>
    <cellStyle name="Accent2 3 3" xfId="2306"/>
    <cellStyle name="Accent2 3 4" xfId="2307"/>
    <cellStyle name="Accent2 4" xfId="2308"/>
    <cellStyle name="Accent2 5" xfId="2309"/>
    <cellStyle name="Accent2 6" xfId="2310"/>
    <cellStyle name="Accent2 7" xfId="2311"/>
    <cellStyle name="Accent2 8" xfId="2312"/>
    <cellStyle name="Accent2 9" xfId="2313"/>
    <cellStyle name="Accent3 - 20%" xfId="267"/>
    <cellStyle name="Accent3 - 40%" xfId="268"/>
    <cellStyle name="Accent3 - 60%" xfId="269"/>
    <cellStyle name="Accent3 10" xfId="2314"/>
    <cellStyle name="Accent3 11" xfId="2315"/>
    <cellStyle name="Accent3 12" xfId="2316"/>
    <cellStyle name="Accent3 13" xfId="2317"/>
    <cellStyle name="Accent3 14" xfId="2318"/>
    <cellStyle name="Accent3 15" xfId="2319"/>
    <cellStyle name="Accent3 16" xfId="2320"/>
    <cellStyle name="Accent3 17" xfId="2321"/>
    <cellStyle name="Accent3 18" xfId="2322"/>
    <cellStyle name="Accent3 19" xfId="2323"/>
    <cellStyle name="Accent3 2" xfId="270"/>
    <cellStyle name="Accent3 2 2" xfId="2324"/>
    <cellStyle name="Accent3 2 3" xfId="2325"/>
    <cellStyle name="Accent3 2 4" xfId="2326"/>
    <cellStyle name="Accent3 2 5" xfId="2327"/>
    <cellStyle name="Accent3 2 6" xfId="2328"/>
    <cellStyle name="Accent3 20" xfId="2329"/>
    <cellStyle name="Accent3 21" xfId="2330"/>
    <cellStyle name="Accent3 22" xfId="2331"/>
    <cellStyle name="Accent3 23" xfId="2332"/>
    <cellStyle name="Accent3 24" xfId="2333"/>
    <cellStyle name="Accent3 25" xfId="2334"/>
    <cellStyle name="Accent3 26" xfId="2335"/>
    <cellStyle name="Accent3 3" xfId="2336"/>
    <cellStyle name="Accent3 3 2" xfId="2337"/>
    <cellStyle name="Accent3 3 3" xfId="2338"/>
    <cellStyle name="Accent3 3 4" xfId="2339"/>
    <cellStyle name="Accent3 4" xfId="2340"/>
    <cellStyle name="Accent3 5" xfId="2341"/>
    <cellStyle name="Accent3 6" xfId="2342"/>
    <cellStyle name="Accent3 7" xfId="2343"/>
    <cellStyle name="Accent3 8" xfId="2344"/>
    <cellStyle name="Accent3 9" xfId="2345"/>
    <cellStyle name="Accent4 - 20%" xfId="271"/>
    <cellStyle name="Accent4 - 40%" xfId="272"/>
    <cellStyle name="Accent4 - 60%" xfId="273"/>
    <cellStyle name="Accent4 10" xfId="2346"/>
    <cellStyle name="Accent4 11" xfId="2347"/>
    <cellStyle name="Accent4 12" xfId="2348"/>
    <cellStyle name="Accent4 13" xfId="2349"/>
    <cellStyle name="Accent4 14" xfId="2350"/>
    <cellStyle name="Accent4 15" xfId="2351"/>
    <cellStyle name="Accent4 16" xfId="2352"/>
    <cellStyle name="Accent4 17" xfId="2353"/>
    <cellStyle name="Accent4 18" xfId="2354"/>
    <cellStyle name="Accent4 19" xfId="2355"/>
    <cellStyle name="Accent4 2" xfId="274"/>
    <cellStyle name="Accent4 2 2" xfId="2356"/>
    <cellStyle name="Accent4 2 3" xfId="2357"/>
    <cellStyle name="Accent4 2 4" xfId="2358"/>
    <cellStyle name="Accent4 2 5" xfId="2359"/>
    <cellStyle name="Accent4 2 6" xfId="2360"/>
    <cellStyle name="Accent4 20" xfId="2361"/>
    <cellStyle name="Accent4 21" xfId="2362"/>
    <cellStyle name="Accent4 22" xfId="2363"/>
    <cellStyle name="Accent4 23" xfId="2364"/>
    <cellStyle name="Accent4 24" xfId="2365"/>
    <cellStyle name="Accent4 25" xfId="2366"/>
    <cellStyle name="Accent4 26" xfId="2367"/>
    <cellStyle name="Accent4 3" xfId="2368"/>
    <cellStyle name="Accent4 3 2" xfId="2369"/>
    <cellStyle name="Accent4 3 3" xfId="2370"/>
    <cellStyle name="Accent4 3 4" xfId="2371"/>
    <cellStyle name="Accent4 4" xfId="2372"/>
    <cellStyle name="Accent4 5" xfId="2373"/>
    <cellStyle name="Accent4 6" xfId="2374"/>
    <cellStyle name="Accent4 7" xfId="2375"/>
    <cellStyle name="Accent4 8" xfId="2376"/>
    <cellStyle name="Accent4 9" xfId="2377"/>
    <cellStyle name="Accent5 - 20%" xfId="275"/>
    <cellStyle name="Accent5 - 40%" xfId="276"/>
    <cellStyle name="Accent5 - 60%" xfId="277"/>
    <cellStyle name="Accent5 10" xfId="2378"/>
    <cellStyle name="Accent5 11" xfId="2379"/>
    <cellStyle name="Accent5 12" xfId="2380"/>
    <cellStyle name="Accent5 13" xfId="2381"/>
    <cellStyle name="Accent5 14" xfId="2382"/>
    <cellStyle name="Accent5 15" xfId="2383"/>
    <cellStyle name="Accent5 16" xfId="2384"/>
    <cellStyle name="Accent5 17" xfId="2385"/>
    <cellStyle name="Accent5 18" xfId="2386"/>
    <cellStyle name="Accent5 19" xfId="2387"/>
    <cellStyle name="Accent5 2" xfId="278"/>
    <cellStyle name="Accent5 2 2" xfId="2388"/>
    <cellStyle name="Accent5 2 3" xfId="2389"/>
    <cellStyle name="Accent5 20" xfId="2390"/>
    <cellStyle name="Accent5 21" xfId="2391"/>
    <cellStyle name="Accent5 22" xfId="2392"/>
    <cellStyle name="Accent5 23" xfId="2393"/>
    <cellStyle name="Accent5 24" xfId="2394"/>
    <cellStyle name="Accent5 25" xfId="2395"/>
    <cellStyle name="Accent5 26" xfId="2396"/>
    <cellStyle name="Accent5 3" xfId="2397"/>
    <cellStyle name="Accent5 4" xfId="2398"/>
    <cellStyle name="Accent5 5" xfId="2399"/>
    <cellStyle name="Accent5 6" xfId="2400"/>
    <cellStyle name="Accent5 7" xfId="2401"/>
    <cellStyle name="Accent5 8" xfId="2402"/>
    <cellStyle name="Accent5 9" xfId="2403"/>
    <cellStyle name="Accent6 - 20%" xfId="279"/>
    <cellStyle name="Accent6 - 40%" xfId="280"/>
    <cellStyle name="Accent6 - 60%" xfId="281"/>
    <cellStyle name="Accent6 10" xfId="2404"/>
    <cellStyle name="Accent6 11" xfId="2405"/>
    <cellStyle name="Accent6 12" xfId="2406"/>
    <cellStyle name="Accent6 13" xfId="2407"/>
    <cellStyle name="Accent6 14" xfId="2408"/>
    <cellStyle name="Accent6 15" xfId="2409"/>
    <cellStyle name="Accent6 16" xfId="2410"/>
    <cellStyle name="Accent6 17" xfId="2411"/>
    <cellStyle name="Accent6 18" xfId="2412"/>
    <cellStyle name="Accent6 19" xfId="2413"/>
    <cellStyle name="Accent6 2" xfId="282"/>
    <cellStyle name="Accent6 2 2" xfId="2414"/>
    <cellStyle name="Accent6 2 3" xfId="2415"/>
    <cellStyle name="Accent6 2 4" xfId="2416"/>
    <cellStyle name="Accent6 2 5" xfId="2417"/>
    <cellStyle name="Accent6 2 6" xfId="2418"/>
    <cellStyle name="Accent6 20" xfId="2419"/>
    <cellStyle name="Accent6 21" xfId="2420"/>
    <cellStyle name="Accent6 22" xfId="2421"/>
    <cellStyle name="Accent6 23" xfId="2422"/>
    <cellStyle name="Accent6 24" xfId="2423"/>
    <cellStyle name="Accent6 25" xfId="2424"/>
    <cellStyle name="Accent6 26" xfId="2425"/>
    <cellStyle name="Accent6 3" xfId="2426"/>
    <cellStyle name="Accent6 3 2" xfId="2427"/>
    <cellStyle name="Accent6 3 3" xfId="2428"/>
    <cellStyle name="Accent6 3 4" xfId="2429"/>
    <cellStyle name="Accent6 4" xfId="2430"/>
    <cellStyle name="Accent6 5" xfId="2431"/>
    <cellStyle name="Accent6 6" xfId="2432"/>
    <cellStyle name="Accent6 7" xfId="2433"/>
    <cellStyle name="Accent6 8" xfId="2434"/>
    <cellStyle name="Accent6 9" xfId="2435"/>
    <cellStyle name="active" xfId="2436"/>
    <cellStyle name="ÅëÈ­ [0]_±âÅ¸" xfId="2437"/>
    <cellStyle name="AeE­ [0]_INQUIRY ¿?¾÷AßAø " xfId="2438"/>
    <cellStyle name="ÅëÈ­_±âÅ¸" xfId="2439"/>
    <cellStyle name="AeE­_INQUIRY ¿?¾÷AßAø " xfId="2440"/>
    <cellStyle name="AFE" xfId="2441"/>
    <cellStyle name="ar" xfId="283"/>
    <cellStyle name="ar 2" xfId="284"/>
    <cellStyle name="ar 3" xfId="285"/>
    <cellStyle name="Arial 10" xfId="2442"/>
    <cellStyle name="Arial 12" xfId="2443"/>
    <cellStyle name="ÄÞ¸¶ [0]_±âÅ¸" xfId="2444"/>
    <cellStyle name="AÞ¸¶ [0]_INQUIRY ¿?¾÷AßAø " xfId="2445"/>
    <cellStyle name="ÄÞ¸¶_±âÅ¸" xfId="2446"/>
    <cellStyle name="AÞ¸¶_INQUIRY ¿?¾÷AßAø " xfId="2447"/>
    <cellStyle name="Bad 10" xfId="2448"/>
    <cellStyle name="Bad 11" xfId="2449"/>
    <cellStyle name="Bad 12" xfId="2450"/>
    <cellStyle name="Bad 13" xfId="2451"/>
    <cellStyle name="Bad 14" xfId="2452"/>
    <cellStyle name="Bad 15" xfId="2453"/>
    <cellStyle name="Bad 16" xfId="2454"/>
    <cellStyle name="Bad 17" xfId="2455"/>
    <cellStyle name="Bad 18" xfId="2456"/>
    <cellStyle name="Bad 19" xfId="2457"/>
    <cellStyle name="Bad 2" xfId="286"/>
    <cellStyle name="Bad 2 2" xfId="2458"/>
    <cellStyle name="Bad 2 3" xfId="2459"/>
    <cellStyle name="Bad 2 4" xfId="2460"/>
    <cellStyle name="Bad 2 5" xfId="2461"/>
    <cellStyle name="Bad 2 6" xfId="2462"/>
    <cellStyle name="Bad 20" xfId="2463"/>
    <cellStyle name="Bad 3" xfId="2464"/>
    <cellStyle name="Bad 3 2" xfId="2465"/>
    <cellStyle name="Bad 3 3" xfId="2466"/>
    <cellStyle name="Bad 3 4" xfId="2467"/>
    <cellStyle name="Bad 4" xfId="2468"/>
    <cellStyle name="Bad 5" xfId="2469"/>
    <cellStyle name="Bad 6" xfId="2470"/>
    <cellStyle name="Bad 7" xfId="2471"/>
    <cellStyle name="Bad 8" xfId="2472"/>
    <cellStyle name="Bad 9" xfId="2473"/>
    <cellStyle name="Beschreibung" xfId="2474"/>
    <cellStyle name="Body" xfId="287"/>
    <cellStyle name="Body - Style1" xfId="2475"/>
    <cellStyle name="Body - Style2" xfId="2476"/>
    <cellStyle name="Body - Style3" xfId="2477"/>
    <cellStyle name="Body - Style4" xfId="2478"/>
    <cellStyle name="Body - Style5" xfId="2479"/>
    <cellStyle name="Body - Style6" xfId="2480"/>
    <cellStyle name="Body - Style7" xfId="2481"/>
    <cellStyle name="Body - Style8" xfId="2482"/>
    <cellStyle name="Body_$Dollars" xfId="2483"/>
    <cellStyle name="Brand Align Left Text" xfId="288"/>
    <cellStyle name="Brand Default" xfId="289"/>
    <cellStyle name="Brand Default 10" xfId="290"/>
    <cellStyle name="Brand Default 11" xfId="291"/>
    <cellStyle name="Brand Default 12" xfId="292"/>
    <cellStyle name="Brand Default 13" xfId="293"/>
    <cellStyle name="Brand Default 14" xfId="294"/>
    <cellStyle name="Brand Default 15" xfId="295"/>
    <cellStyle name="Brand Default 16" xfId="296"/>
    <cellStyle name="Brand Default 17" xfId="297"/>
    <cellStyle name="Brand Default 18" xfId="298"/>
    <cellStyle name="Brand Default 19" xfId="299"/>
    <cellStyle name="Brand Default 2" xfId="300"/>
    <cellStyle name="Brand Default 2 10" xfId="301"/>
    <cellStyle name="Brand Default 2 11" xfId="302"/>
    <cellStyle name="Brand Default 2 12" xfId="303"/>
    <cellStyle name="Brand Default 2 13" xfId="304"/>
    <cellStyle name="Brand Default 2 14" xfId="305"/>
    <cellStyle name="Brand Default 2 15" xfId="306"/>
    <cellStyle name="Brand Default 2 16" xfId="307"/>
    <cellStyle name="Brand Default 2 17" xfId="308"/>
    <cellStyle name="Brand Default 2 18" xfId="309"/>
    <cellStyle name="Brand Default 2 19" xfId="310"/>
    <cellStyle name="Brand Default 2 2" xfId="311"/>
    <cellStyle name="Brand Default 2 20" xfId="312"/>
    <cellStyle name="Brand Default 2 21" xfId="313"/>
    <cellStyle name="Brand Default 2 22" xfId="314"/>
    <cellStyle name="Brand Default 2 23" xfId="315"/>
    <cellStyle name="Brand Default 2 24" xfId="316"/>
    <cellStyle name="Brand Default 2 25" xfId="317"/>
    <cellStyle name="Brand Default 2 26" xfId="318"/>
    <cellStyle name="Brand Default 2 27" xfId="319"/>
    <cellStyle name="Brand Default 2 28" xfId="320"/>
    <cellStyle name="Brand Default 2 29" xfId="321"/>
    <cellStyle name="Brand Default 2 3" xfId="322"/>
    <cellStyle name="Brand Default 2 30" xfId="323"/>
    <cellStyle name="Brand Default 2 31" xfId="324"/>
    <cellStyle name="Brand Default 2 4" xfId="325"/>
    <cellStyle name="Brand Default 2 5" xfId="326"/>
    <cellStyle name="Brand Default 2 6" xfId="327"/>
    <cellStyle name="Brand Default 2 7" xfId="328"/>
    <cellStyle name="Brand Default 2 8" xfId="329"/>
    <cellStyle name="Brand Default 2 9" xfId="330"/>
    <cellStyle name="Brand Default 20" xfId="331"/>
    <cellStyle name="Brand Default 21" xfId="332"/>
    <cellStyle name="Brand Default 22" xfId="333"/>
    <cellStyle name="Brand Default 23" xfId="334"/>
    <cellStyle name="Brand Default 24" xfId="335"/>
    <cellStyle name="Brand Default 25" xfId="336"/>
    <cellStyle name="Brand Default 26" xfId="337"/>
    <cellStyle name="Brand Default 27" xfId="338"/>
    <cellStyle name="Brand Default 28" xfId="339"/>
    <cellStyle name="Brand Default 29" xfId="340"/>
    <cellStyle name="Brand Default 3" xfId="341"/>
    <cellStyle name="Brand Default 3 10" xfId="342"/>
    <cellStyle name="Brand Default 3 11" xfId="343"/>
    <cellStyle name="Brand Default 3 12" xfId="344"/>
    <cellStyle name="Brand Default 3 13" xfId="345"/>
    <cellStyle name="Brand Default 3 14" xfId="346"/>
    <cellStyle name="Brand Default 3 15" xfId="347"/>
    <cellStyle name="Brand Default 3 16" xfId="348"/>
    <cellStyle name="Brand Default 3 17" xfId="349"/>
    <cellStyle name="Brand Default 3 18" xfId="350"/>
    <cellStyle name="Brand Default 3 19" xfId="351"/>
    <cellStyle name="Brand Default 3 2" xfId="352"/>
    <cellStyle name="Brand Default 3 20" xfId="353"/>
    <cellStyle name="Brand Default 3 21" xfId="354"/>
    <cellStyle name="Brand Default 3 22" xfId="355"/>
    <cellStyle name="Brand Default 3 23" xfId="356"/>
    <cellStyle name="Brand Default 3 24" xfId="357"/>
    <cellStyle name="Brand Default 3 25" xfId="358"/>
    <cellStyle name="Brand Default 3 26" xfId="359"/>
    <cellStyle name="Brand Default 3 27" xfId="360"/>
    <cellStyle name="Brand Default 3 28" xfId="361"/>
    <cellStyle name="Brand Default 3 29" xfId="362"/>
    <cellStyle name="Brand Default 3 3" xfId="363"/>
    <cellStyle name="Brand Default 3 30" xfId="364"/>
    <cellStyle name="Brand Default 3 31" xfId="365"/>
    <cellStyle name="Brand Default 3 4" xfId="366"/>
    <cellStyle name="Brand Default 3 5" xfId="367"/>
    <cellStyle name="Brand Default 3 6" xfId="368"/>
    <cellStyle name="Brand Default 3 7" xfId="369"/>
    <cellStyle name="Brand Default 3 8" xfId="370"/>
    <cellStyle name="Brand Default 3 9" xfId="371"/>
    <cellStyle name="Brand Default 30" xfId="372"/>
    <cellStyle name="Brand Default 31" xfId="373"/>
    <cellStyle name="Brand Default 32" xfId="374"/>
    <cellStyle name="Brand Default 33" xfId="375"/>
    <cellStyle name="Brand Default 34" xfId="376"/>
    <cellStyle name="Brand Default 35" xfId="377"/>
    <cellStyle name="Brand Default 4" xfId="378"/>
    <cellStyle name="Brand Default 4 10" xfId="379"/>
    <cellStyle name="Brand Default 4 11" xfId="380"/>
    <cellStyle name="Brand Default 4 12" xfId="381"/>
    <cellStyle name="Brand Default 4 13" xfId="382"/>
    <cellStyle name="Brand Default 4 14" xfId="383"/>
    <cellStyle name="Brand Default 4 15" xfId="384"/>
    <cellStyle name="Brand Default 4 16" xfId="385"/>
    <cellStyle name="Brand Default 4 17" xfId="386"/>
    <cellStyle name="Brand Default 4 18" xfId="387"/>
    <cellStyle name="Brand Default 4 19" xfId="388"/>
    <cellStyle name="Brand Default 4 2" xfId="389"/>
    <cellStyle name="Brand Default 4 20" xfId="390"/>
    <cellStyle name="Brand Default 4 21" xfId="391"/>
    <cellStyle name="Brand Default 4 22" xfId="392"/>
    <cellStyle name="Brand Default 4 23" xfId="393"/>
    <cellStyle name="Brand Default 4 24" xfId="394"/>
    <cellStyle name="Brand Default 4 25" xfId="395"/>
    <cellStyle name="Brand Default 4 26" xfId="396"/>
    <cellStyle name="Brand Default 4 27" xfId="397"/>
    <cellStyle name="Brand Default 4 28" xfId="398"/>
    <cellStyle name="Brand Default 4 29" xfId="399"/>
    <cellStyle name="Brand Default 4 3" xfId="400"/>
    <cellStyle name="Brand Default 4 30" xfId="401"/>
    <cellStyle name="Brand Default 4 31" xfId="402"/>
    <cellStyle name="Brand Default 4 4" xfId="403"/>
    <cellStyle name="Brand Default 4 5" xfId="404"/>
    <cellStyle name="Brand Default 4 6" xfId="405"/>
    <cellStyle name="Brand Default 4 7" xfId="406"/>
    <cellStyle name="Brand Default 4 8" xfId="407"/>
    <cellStyle name="Brand Default 4 9" xfId="408"/>
    <cellStyle name="Brand Default 5" xfId="409"/>
    <cellStyle name="Brand Default 5 10" xfId="410"/>
    <cellStyle name="Brand Default 5 11" xfId="411"/>
    <cellStyle name="Brand Default 5 12" xfId="412"/>
    <cellStyle name="Brand Default 5 13" xfId="413"/>
    <cellStyle name="Brand Default 5 14" xfId="414"/>
    <cellStyle name="Brand Default 5 15" xfId="415"/>
    <cellStyle name="Brand Default 5 16" xfId="416"/>
    <cellStyle name="Brand Default 5 17" xfId="417"/>
    <cellStyle name="Brand Default 5 18" xfId="418"/>
    <cellStyle name="Brand Default 5 19" xfId="419"/>
    <cellStyle name="Brand Default 5 2" xfId="420"/>
    <cellStyle name="Brand Default 5 20" xfId="421"/>
    <cellStyle name="Brand Default 5 21" xfId="422"/>
    <cellStyle name="Brand Default 5 22" xfId="423"/>
    <cellStyle name="Brand Default 5 23" xfId="424"/>
    <cellStyle name="Brand Default 5 24" xfId="425"/>
    <cellStyle name="Brand Default 5 25" xfId="426"/>
    <cellStyle name="Brand Default 5 26" xfId="427"/>
    <cellStyle name="Brand Default 5 27" xfId="428"/>
    <cellStyle name="Brand Default 5 28" xfId="429"/>
    <cellStyle name="Brand Default 5 29" xfId="430"/>
    <cellStyle name="Brand Default 5 3" xfId="431"/>
    <cellStyle name="Brand Default 5 30" xfId="432"/>
    <cellStyle name="Brand Default 5 31" xfId="433"/>
    <cellStyle name="Brand Default 5 4" xfId="434"/>
    <cellStyle name="Brand Default 5 5" xfId="435"/>
    <cellStyle name="Brand Default 5 6" xfId="436"/>
    <cellStyle name="Brand Default 5 7" xfId="437"/>
    <cellStyle name="Brand Default 5 8" xfId="438"/>
    <cellStyle name="Brand Default 5 9" xfId="439"/>
    <cellStyle name="Brand Default 6" xfId="440"/>
    <cellStyle name="Brand Default 7" xfId="441"/>
    <cellStyle name="Brand Default 8" xfId="442"/>
    <cellStyle name="Brand Default 9" xfId="443"/>
    <cellStyle name="Brand Default_Copy of RCCP_May(12th may2011)_PCP_final" xfId="444"/>
    <cellStyle name="Brand Percent" xfId="445"/>
    <cellStyle name="Brand Percent 10" xfId="446"/>
    <cellStyle name="Brand Percent 11" xfId="447"/>
    <cellStyle name="Brand Percent 12" xfId="448"/>
    <cellStyle name="Brand Percent 13" xfId="449"/>
    <cellStyle name="Brand Percent 14" xfId="450"/>
    <cellStyle name="Brand Percent 15" xfId="451"/>
    <cellStyle name="Brand Percent 16" xfId="452"/>
    <cellStyle name="Brand Percent 17" xfId="453"/>
    <cellStyle name="Brand Percent 18" xfId="454"/>
    <cellStyle name="Brand Percent 19" xfId="455"/>
    <cellStyle name="Brand Percent 2" xfId="456"/>
    <cellStyle name="Brand Percent 20" xfId="457"/>
    <cellStyle name="Brand Percent 21" xfId="458"/>
    <cellStyle name="Brand Percent 22" xfId="459"/>
    <cellStyle name="Brand Percent 23" xfId="460"/>
    <cellStyle name="Brand Percent 24" xfId="461"/>
    <cellStyle name="Brand Percent 25" xfId="462"/>
    <cellStyle name="Brand Percent 26" xfId="463"/>
    <cellStyle name="Brand Percent 27" xfId="464"/>
    <cellStyle name="Brand Percent 28" xfId="465"/>
    <cellStyle name="Brand Percent 29" xfId="466"/>
    <cellStyle name="Brand Percent 3" xfId="467"/>
    <cellStyle name="Brand Percent 30" xfId="468"/>
    <cellStyle name="Brand Percent 31" xfId="469"/>
    <cellStyle name="Brand Percent 4" xfId="470"/>
    <cellStyle name="Brand Percent 5" xfId="471"/>
    <cellStyle name="Brand Percent 6" xfId="472"/>
    <cellStyle name="Brand Percent 7" xfId="473"/>
    <cellStyle name="Brand Percent 8" xfId="474"/>
    <cellStyle name="Brand Percent 9" xfId="475"/>
    <cellStyle name="Brand Source" xfId="476"/>
    <cellStyle name="Brand Source 10" xfId="477"/>
    <cellStyle name="Brand Source 11" xfId="478"/>
    <cellStyle name="Brand Source 12" xfId="479"/>
    <cellStyle name="Brand Source 13" xfId="480"/>
    <cellStyle name="Brand Source 14" xfId="481"/>
    <cellStyle name="Brand Source 15" xfId="482"/>
    <cellStyle name="Brand Source 16" xfId="483"/>
    <cellStyle name="Brand Source 17" xfId="484"/>
    <cellStyle name="Brand Source 18" xfId="485"/>
    <cellStyle name="Brand Source 19" xfId="486"/>
    <cellStyle name="Brand Source 2" xfId="487"/>
    <cellStyle name="Brand Source 20" xfId="488"/>
    <cellStyle name="Brand Source 21" xfId="489"/>
    <cellStyle name="Brand Source 22" xfId="490"/>
    <cellStyle name="Brand Source 23" xfId="491"/>
    <cellStyle name="Brand Source 24" xfId="492"/>
    <cellStyle name="Brand Source 25" xfId="493"/>
    <cellStyle name="Brand Source 26" xfId="494"/>
    <cellStyle name="Brand Source 27" xfId="495"/>
    <cellStyle name="Brand Source 28" xfId="496"/>
    <cellStyle name="Brand Source 29" xfId="497"/>
    <cellStyle name="Brand Source 3" xfId="498"/>
    <cellStyle name="Brand Source 30" xfId="499"/>
    <cellStyle name="Brand Source 31" xfId="500"/>
    <cellStyle name="Brand Source 4" xfId="501"/>
    <cellStyle name="Brand Source 5" xfId="502"/>
    <cellStyle name="Brand Source 6" xfId="503"/>
    <cellStyle name="Brand Source 7" xfId="504"/>
    <cellStyle name="Brand Source 8" xfId="505"/>
    <cellStyle name="Brand Source 9" xfId="506"/>
    <cellStyle name="Brand Subtitle with Underline" xfId="507"/>
    <cellStyle name="Brand Subtitle without Underline" xfId="508"/>
    <cellStyle name="Brand Title" xfId="509"/>
    <cellStyle name="British Pound" xfId="2484"/>
    <cellStyle name="C?AØ_¿?¾÷CoE² " xfId="2485"/>
    <cellStyle name="Ç¥ÁØ_¿¬°£´©°è¿¹»ó" xfId="2486"/>
    <cellStyle name="Calc Currency (0)" xfId="2487"/>
    <cellStyle name="Calc Currency (2)" xfId="2488"/>
    <cellStyle name="Calc Percent (0)" xfId="2489"/>
    <cellStyle name="Calc Percent (1)" xfId="2490"/>
    <cellStyle name="Calc Percent (2)" xfId="2491"/>
    <cellStyle name="Calc Units (0)" xfId="2492"/>
    <cellStyle name="Calc Units (1)" xfId="2493"/>
    <cellStyle name="Calc Units (2)" xfId="2494"/>
    <cellStyle name="Calculation 10" xfId="2495"/>
    <cellStyle name="Calculation 11" xfId="2496"/>
    <cellStyle name="Calculation 12" xfId="2497"/>
    <cellStyle name="Calculation 13" xfId="2498"/>
    <cellStyle name="Calculation 14" xfId="2499"/>
    <cellStyle name="Calculation 15" xfId="2500"/>
    <cellStyle name="Calculation 16" xfId="2501"/>
    <cellStyle name="Calculation 17" xfId="2502"/>
    <cellStyle name="Calculation 18" xfId="2503"/>
    <cellStyle name="Calculation 19" xfId="2504"/>
    <cellStyle name="Calculation 2" xfId="510"/>
    <cellStyle name="Calculation 2 2" xfId="511"/>
    <cellStyle name="Calculation 2 2 2" xfId="2505"/>
    <cellStyle name="Calculation 2 2 3" xfId="2506"/>
    <cellStyle name="Calculation 2 2 4" xfId="2507"/>
    <cellStyle name="Calculation 2 2 5" xfId="2508"/>
    <cellStyle name="Calculation 2 2 6" xfId="2509"/>
    <cellStyle name="Calculation 2 3" xfId="512"/>
    <cellStyle name="Calculation 2 3 2" xfId="2510"/>
    <cellStyle name="Calculation 2 3 3" xfId="2511"/>
    <cellStyle name="Calculation 2 3 4" xfId="2512"/>
    <cellStyle name="Calculation 2 3 5" xfId="2513"/>
    <cellStyle name="Calculation 2 3 6" xfId="2514"/>
    <cellStyle name="Calculation 2 4" xfId="2515"/>
    <cellStyle name="Calculation 2 5" xfId="2516"/>
    <cellStyle name="Calculation 2 6" xfId="2517"/>
    <cellStyle name="Calculation 2 7" xfId="2518"/>
    <cellStyle name="Calculation 2 8" xfId="2519"/>
    <cellStyle name="Calculation 20" xfId="2520"/>
    <cellStyle name="Calculation 3" xfId="2521"/>
    <cellStyle name="Calculation 3 2" xfId="2522"/>
    <cellStyle name="Calculation 3 3" xfId="2523"/>
    <cellStyle name="Calculation 3 4" xfId="2524"/>
    <cellStyle name="Calculation 4" xfId="2525"/>
    <cellStyle name="Calculation 5" xfId="2526"/>
    <cellStyle name="Calculation 6" xfId="2527"/>
    <cellStyle name="Calculation 7" xfId="2528"/>
    <cellStyle name="Calculation 8" xfId="2529"/>
    <cellStyle name="Calculation 9" xfId="2530"/>
    <cellStyle name="Case" xfId="2531"/>
    <cellStyle name="cashflow" xfId="513"/>
    <cellStyle name="Check Cell 10" xfId="2532"/>
    <cellStyle name="Check Cell 11" xfId="2533"/>
    <cellStyle name="Check Cell 12" xfId="2534"/>
    <cellStyle name="Check Cell 13" xfId="2535"/>
    <cellStyle name="Check Cell 14" xfId="2536"/>
    <cellStyle name="Check Cell 15" xfId="2537"/>
    <cellStyle name="Check Cell 16" xfId="2538"/>
    <cellStyle name="Check Cell 17" xfId="2539"/>
    <cellStyle name="Check Cell 18" xfId="2540"/>
    <cellStyle name="Check Cell 19" xfId="2541"/>
    <cellStyle name="Check Cell 2" xfId="514"/>
    <cellStyle name="Check Cell 2 2" xfId="2542"/>
    <cellStyle name="Check Cell 2 3" xfId="2543"/>
    <cellStyle name="Check Cell 20" xfId="2544"/>
    <cellStyle name="Check Cell 3" xfId="2545"/>
    <cellStyle name="Check Cell 4" xfId="2546"/>
    <cellStyle name="Check Cell 5" xfId="2547"/>
    <cellStyle name="Check Cell 6" xfId="2548"/>
    <cellStyle name="Check Cell 7" xfId="2549"/>
    <cellStyle name="Check Cell 8" xfId="2550"/>
    <cellStyle name="Check Cell 9" xfId="2551"/>
    <cellStyle name="Col Heads" xfId="2552"/>
    <cellStyle name="Comma" xfId="515" builtinId="3"/>
    <cellStyle name="Comma  - Style1" xfId="2553"/>
    <cellStyle name="Comma  - Style1 2" xfId="2554"/>
    <cellStyle name="Comma  - Style1 3" xfId="2555"/>
    <cellStyle name="Comma  - Style2" xfId="2556"/>
    <cellStyle name="Comma  - Style2 2" xfId="2557"/>
    <cellStyle name="Comma  - Style2 3" xfId="2558"/>
    <cellStyle name="Comma  - Style3" xfId="2559"/>
    <cellStyle name="Comma  - Style3 2" xfId="2560"/>
    <cellStyle name="Comma  - Style3 3" xfId="2561"/>
    <cellStyle name="Comma  - Style4" xfId="2562"/>
    <cellStyle name="Comma  - Style4 2" xfId="2563"/>
    <cellStyle name="Comma  - Style4 3" xfId="2564"/>
    <cellStyle name="Comma  - Style5" xfId="2565"/>
    <cellStyle name="Comma  - Style5 2" xfId="2566"/>
    <cellStyle name="Comma  - Style5 3" xfId="2567"/>
    <cellStyle name="Comma  - Style6" xfId="2568"/>
    <cellStyle name="Comma  - Style6 2" xfId="2569"/>
    <cellStyle name="Comma  - Style6 3" xfId="2570"/>
    <cellStyle name="Comma  - Style7" xfId="2571"/>
    <cellStyle name="Comma  - Style7 2" xfId="2572"/>
    <cellStyle name="Comma  - Style7 3" xfId="2573"/>
    <cellStyle name="Comma  - Style8" xfId="2574"/>
    <cellStyle name="Comma  - Style8 2" xfId="2575"/>
    <cellStyle name="Comma  - Style8 3" xfId="2576"/>
    <cellStyle name="Comma [0] 2 2" xfId="2577"/>
    <cellStyle name="Comma [0] 2 2 2" xfId="4452"/>
    <cellStyle name="Comma [0] 4" xfId="2578"/>
    <cellStyle name="Comma [00]" xfId="2579"/>
    <cellStyle name="Comma 0" xfId="2580"/>
    <cellStyle name="Comma 0*" xfId="2581"/>
    <cellStyle name="Comma 10" xfId="516"/>
    <cellStyle name="Comma 10 2" xfId="2582"/>
    <cellStyle name="Comma 10 2 3" xfId="2583"/>
    <cellStyle name="Comma 10 3" xfId="2584"/>
    <cellStyle name="Comma 10 4" xfId="4453"/>
    <cellStyle name="Comma 10_Deferred Tax _Mar 10" xfId="2585"/>
    <cellStyle name="Comma 11" xfId="517"/>
    <cellStyle name="Comma 11 2" xfId="2586"/>
    <cellStyle name="Comma 11 3" xfId="4454"/>
    <cellStyle name="Comma 12" xfId="518"/>
    <cellStyle name="Comma 12 2" xfId="2587"/>
    <cellStyle name="Comma 12 2 2" xfId="2588"/>
    <cellStyle name="Comma 13" xfId="904"/>
    <cellStyle name="Comma 13 2" xfId="2589"/>
    <cellStyle name="Comma 13 2 2" xfId="2590"/>
    <cellStyle name="Comma 13 2 3" xfId="2591"/>
    <cellStyle name="Comma 13 3" xfId="4455"/>
    <cellStyle name="Comma 14" xfId="2592"/>
    <cellStyle name="Comma 15" xfId="2593"/>
    <cellStyle name="Comma 16" xfId="2594"/>
    <cellStyle name="Comma 17" xfId="2595"/>
    <cellStyle name="Comma 18" xfId="2596"/>
    <cellStyle name="Comma 19" xfId="2597"/>
    <cellStyle name="Comma 2" xfId="519"/>
    <cellStyle name="Comma 2 10" xfId="2598"/>
    <cellStyle name="Comma 2 11" xfId="2599"/>
    <cellStyle name="Comma 2 12" xfId="2600"/>
    <cellStyle name="Comma 2 13" xfId="2601"/>
    <cellStyle name="Comma 2 14" xfId="2602"/>
    <cellStyle name="Comma 2 15" xfId="2603"/>
    <cellStyle name="Comma 2 16" xfId="2604"/>
    <cellStyle name="Comma 2 17" xfId="2605"/>
    <cellStyle name="Comma 2 18" xfId="2606"/>
    <cellStyle name="Comma 2 19" xfId="2607"/>
    <cellStyle name="Comma 2 2" xfId="520"/>
    <cellStyle name="Comma 2 2 2" xfId="521"/>
    <cellStyle name="Comma 2 2 2 2" xfId="2608"/>
    <cellStyle name="Comma 2 2 2 2 2" xfId="2609"/>
    <cellStyle name="Comma 2 2 2 3" xfId="2610"/>
    <cellStyle name="Comma 2 2 2 4" xfId="2611"/>
    <cellStyle name="Comma 2 2 2_BS_PL_Nov 2011 v2" xfId="2612"/>
    <cellStyle name="Comma 2 2 3" xfId="522"/>
    <cellStyle name="Comma 2 2 4" xfId="523"/>
    <cellStyle name="Comma 2 2 5" xfId="2613"/>
    <cellStyle name="Comma 2 2_. PROVISION Dec-2011" xfId="2614"/>
    <cellStyle name="Comma 2 20" xfId="2615"/>
    <cellStyle name="Comma 2 21" xfId="2616"/>
    <cellStyle name="Comma 2 22" xfId="2617"/>
    <cellStyle name="Comma 2 23" xfId="2618"/>
    <cellStyle name="Comma 2 23 2" xfId="4456"/>
    <cellStyle name="Comma 2 28" xfId="2619"/>
    <cellStyle name="Comma 2 29" xfId="2620"/>
    <cellStyle name="Comma 2 3" xfId="524"/>
    <cellStyle name="Comma 2 3 2" xfId="2621"/>
    <cellStyle name="Comma 2 3 3" xfId="2622"/>
    <cellStyle name="Comma 2 3_BS_PL_Nov 2011 v2" xfId="2623"/>
    <cellStyle name="Comma 2 4" xfId="525"/>
    <cellStyle name="Comma 2 4 2" xfId="2624"/>
    <cellStyle name="Comma 2 4 3" xfId="2625"/>
    <cellStyle name="Comma 2 4_BS_PL_Nov 2011 v2" xfId="2626"/>
    <cellStyle name="Comma 2 5" xfId="526"/>
    <cellStyle name="Comma 2 5 2" xfId="2627"/>
    <cellStyle name="Comma 2 6" xfId="2628"/>
    <cellStyle name="Comma 2 7" xfId="2629"/>
    <cellStyle name="Comma 2 8" xfId="2630"/>
    <cellStyle name="Comma 2 9" xfId="2631"/>
    <cellStyle name="Comma 2_43 B TBZ Ltd 31.3.2011" xfId="2632"/>
    <cellStyle name="Comma 20" xfId="2633"/>
    <cellStyle name="Comma 21" xfId="2634"/>
    <cellStyle name="Comma 22" xfId="2635"/>
    <cellStyle name="Comma 23" xfId="2636"/>
    <cellStyle name="Comma 24" xfId="2637"/>
    <cellStyle name="Comma 25" xfId="2638"/>
    <cellStyle name="Comma 26" xfId="2639"/>
    <cellStyle name="Comma 27" xfId="2640"/>
    <cellStyle name="Comma 28" xfId="2641"/>
    <cellStyle name="Comma 28 2" xfId="2642"/>
    <cellStyle name="Comma 29" xfId="2643"/>
    <cellStyle name="Comma 29 2" xfId="2644"/>
    <cellStyle name="Comma 3" xfId="527"/>
    <cellStyle name="Comma 3 2" xfId="528"/>
    <cellStyle name="Comma 3 2 2" xfId="2645"/>
    <cellStyle name="Comma 3 2 3" xfId="2646"/>
    <cellStyle name="Comma 3 2_BS_PL_Nov 2011 v2" xfId="2647"/>
    <cellStyle name="Comma 3 3" xfId="529"/>
    <cellStyle name="Comma 3 4" xfId="530"/>
    <cellStyle name="Comma 3 5" xfId="2648"/>
    <cellStyle name="Comma 3_BS_PL_Nov 2011 v2" xfId="2649"/>
    <cellStyle name="Comma 30" xfId="2650"/>
    <cellStyle name="Comma 31" xfId="2651"/>
    <cellStyle name="Comma 31 2" xfId="2652"/>
    <cellStyle name="Comma 32" xfId="2653"/>
    <cellStyle name="Comma 33" xfId="2654"/>
    <cellStyle name="Comma 34" xfId="2655"/>
    <cellStyle name="Comma 35" xfId="2656"/>
    <cellStyle name="Comma 36" xfId="2657"/>
    <cellStyle name="Comma 37" xfId="2658"/>
    <cellStyle name="Comma 38" xfId="2659"/>
    <cellStyle name="Comma 39" xfId="2660"/>
    <cellStyle name="Comma 39 2" xfId="2661"/>
    <cellStyle name="Comma 4" xfId="531"/>
    <cellStyle name="Comma 4 2" xfId="532"/>
    <cellStyle name="Comma 4 2 2" xfId="2662"/>
    <cellStyle name="Comma 4 3" xfId="533"/>
    <cellStyle name="Comma 4 4" xfId="2663"/>
    <cellStyle name="Comma 4 5" xfId="2664"/>
    <cellStyle name="Comma 4 6" xfId="2665"/>
    <cellStyle name="Comma 4_Advance Tax -Nov 11" xfId="2666"/>
    <cellStyle name="Comma 40" xfId="2667"/>
    <cellStyle name="Comma 41" xfId="2668"/>
    <cellStyle name="Comma 42" xfId="2669"/>
    <cellStyle name="Comma 42 2" xfId="2670"/>
    <cellStyle name="Comma 43" xfId="2671"/>
    <cellStyle name="Comma 44" xfId="2672"/>
    <cellStyle name="Comma 45" xfId="2673"/>
    <cellStyle name="Comma 46" xfId="2674"/>
    <cellStyle name="Comma 47" xfId="2675"/>
    <cellStyle name="Comma 48" xfId="2676"/>
    <cellStyle name="Comma 49" xfId="2677"/>
    <cellStyle name="Comma 5" xfId="534"/>
    <cellStyle name="Comma 5 2" xfId="535"/>
    <cellStyle name="Comma 5 2 2" xfId="2678"/>
    <cellStyle name="Comma 5 3" xfId="536"/>
    <cellStyle name="Comma 5 4" xfId="2679"/>
    <cellStyle name="Comma 5 5" xfId="2680"/>
    <cellStyle name="Comma 5_BS_PL_Nov 2011 v2" xfId="2681"/>
    <cellStyle name="Comma 50" xfId="2682"/>
    <cellStyle name="Comma 51" xfId="2683"/>
    <cellStyle name="Comma 6" xfId="537"/>
    <cellStyle name="Comma 6 2" xfId="538"/>
    <cellStyle name="Comma 6 3" xfId="539"/>
    <cellStyle name="Comma 6 4" xfId="4457"/>
    <cellStyle name="Comma 6_BS_PL_Nov 2011 v2" xfId="2684"/>
    <cellStyle name="Comma 7" xfId="540"/>
    <cellStyle name="Comma 7 2" xfId="541"/>
    <cellStyle name="Comma 7 2 2" xfId="4459"/>
    <cellStyle name="Comma 7 3" xfId="542"/>
    <cellStyle name="Comma 7 4" xfId="2685"/>
    <cellStyle name="Comma 7 5" xfId="4458"/>
    <cellStyle name="Comma 7_BS_PL_Nov 2011 v2" xfId="2686"/>
    <cellStyle name="Comma 8" xfId="543"/>
    <cellStyle name="Comma 8 2" xfId="2687"/>
    <cellStyle name="Comma 8 2 2" xfId="2688"/>
    <cellStyle name="Comma 8 3" xfId="2689"/>
    <cellStyle name="Comma 8 4" xfId="2690"/>
    <cellStyle name="Comma 8_BS_PL_Nov 2011 v2" xfId="2691"/>
    <cellStyle name="Comma 9" xfId="544"/>
    <cellStyle name="Comma 9 2" xfId="545"/>
    <cellStyle name="Comma 9 3" xfId="2692"/>
    <cellStyle name="Comma 9 4" xfId="2693"/>
    <cellStyle name="Comma 9_BS_PL_Nov 2011 v2" xfId="2694"/>
    <cellStyle name="comma zerodec" xfId="2695"/>
    <cellStyle name="comma(0)" xfId="2696"/>
    <cellStyle name="Comma,0" xfId="2697"/>
    <cellStyle name="Comma,1" xfId="2698"/>
    <cellStyle name="Comma,2" xfId="2699"/>
    <cellStyle name="Comma0" xfId="2700"/>
    <cellStyle name="Comma0 - Modelo1" xfId="2701"/>
    <cellStyle name="Comma0 - Style1" xfId="2702"/>
    <cellStyle name="Comma1 - Modelo2" xfId="2703"/>
    <cellStyle name="Comma1 - Style2" xfId="2704"/>
    <cellStyle name="Copied" xfId="2705"/>
    <cellStyle name="Credit" xfId="2706"/>
    <cellStyle name="Credit subtotal" xfId="2707"/>
    <cellStyle name="Credit subtotal 2" xfId="2708"/>
    <cellStyle name="Credit Total" xfId="2709"/>
    <cellStyle name="Currency [00]" xfId="2710"/>
    <cellStyle name="Currency 0" xfId="2711"/>
    <cellStyle name="Currency 2" xfId="546"/>
    <cellStyle name="Currency 2 2" xfId="547"/>
    <cellStyle name="Currency 2 3" xfId="2712"/>
    <cellStyle name="Currency 2 4" xfId="2713"/>
    <cellStyle name="Currency 3" xfId="2714"/>
    <cellStyle name="Currency 4" xfId="2715"/>
    <cellStyle name="Currency 5" xfId="2716"/>
    <cellStyle name="Currency 6" xfId="2717"/>
    <cellStyle name="Currency 7" xfId="2718"/>
    <cellStyle name="Currency 8" xfId="2719"/>
    <cellStyle name="Currency(DM)" xfId="2720"/>
    <cellStyle name="Currency(UK)" xfId="2721"/>
    <cellStyle name="Currency,0" xfId="2722"/>
    <cellStyle name="Currency,2" xfId="2723"/>
    <cellStyle name="Currency0" xfId="2724"/>
    <cellStyle name="Currency1" xfId="2725"/>
    <cellStyle name="Custom - Style8" xfId="548"/>
    <cellStyle name="Custom - Style8 2" xfId="2726"/>
    <cellStyle name="Custom - Style8 3" xfId="2727"/>
    <cellStyle name="Data   - Style2" xfId="549"/>
    <cellStyle name="Data   - Style2 2" xfId="550"/>
    <cellStyle name="Data   - Style2 2 2" xfId="2728"/>
    <cellStyle name="Data   - Style2 2 3" xfId="2729"/>
    <cellStyle name="Data   - Style2 2 4" xfId="2730"/>
    <cellStyle name="Data   - Style2 2 5" xfId="2731"/>
    <cellStyle name="Data   - Style2 2 6" xfId="2732"/>
    <cellStyle name="Data   - Style2 3" xfId="551"/>
    <cellStyle name="Data   - Style2 3 2" xfId="2733"/>
    <cellStyle name="Data   - Style2 3 3" xfId="2734"/>
    <cellStyle name="Data   - Style2 3 4" xfId="2735"/>
    <cellStyle name="Data   - Style2 3 5" xfId="2736"/>
    <cellStyle name="Data   - Style2 3 6" xfId="2737"/>
    <cellStyle name="Data   - Style2 4" xfId="2738"/>
    <cellStyle name="Data   - Style2 5" xfId="2739"/>
    <cellStyle name="Data   - Style2 6" xfId="2740"/>
    <cellStyle name="Data   - Style2 7" xfId="2741"/>
    <cellStyle name="Data   - Style2 8" xfId="2742"/>
    <cellStyle name="Date" xfId="2743"/>
    <cellStyle name="Date Aligned" xfId="2744"/>
    <cellStyle name="Date Short" xfId="2745"/>
    <cellStyle name="DATUM" xfId="2746"/>
    <cellStyle name="Datum(text)" xfId="2747"/>
    <cellStyle name="Debit" xfId="2748"/>
    <cellStyle name="Debit subtotal" xfId="2749"/>
    <cellStyle name="Debit subtotal 2" xfId="2750"/>
    <cellStyle name="Debit Total" xfId="2751"/>
    <cellStyle name="Define your own named style" xfId="552"/>
    <cellStyle name="DELTA" xfId="2752"/>
    <cellStyle name="Dezimal [0]_5.6" xfId="2753"/>
    <cellStyle name="Dezimal_5.6" xfId="2754"/>
    <cellStyle name="Dia" xfId="2755"/>
    <cellStyle name="Dollar (zero dec)" xfId="2756"/>
    <cellStyle name="Dotted Line" xfId="2757"/>
    <cellStyle name="Double Accounting" xfId="2758"/>
    <cellStyle name="Draw lines around data in range" xfId="553"/>
    <cellStyle name="Draw lines around data in range 2" xfId="554"/>
    <cellStyle name="Draw lines around data in range 2 2" xfId="2759"/>
    <cellStyle name="Draw lines around data in range 2 3" xfId="2760"/>
    <cellStyle name="Draw lines around data in range 2 4" xfId="2761"/>
    <cellStyle name="Draw lines around data in range 2 5" xfId="2762"/>
    <cellStyle name="Draw lines around data in range 2 6" xfId="2763"/>
    <cellStyle name="Draw lines around data in range 3" xfId="555"/>
    <cellStyle name="Draw lines around data in range 3 2" xfId="2764"/>
    <cellStyle name="Draw lines around data in range 3 3" xfId="2765"/>
    <cellStyle name="Draw lines around data in range 3 4" xfId="2766"/>
    <cellStyle name="Draw lines around data in range 3 5" xfId="2767"/>
    <cellStyle name="Draw lines around data in range 3 6" xfId="2768"/>
    <cellStyle name="Draw lines around data in range 4" xfId="2769"/>
    <cellStyle name="Draw lines around data in range 5" xfId="2770"/>
    <cellStyle name="Draw lines around data in range 6" xfId="2771"/>
    <cellStyle name="Draw lines around data in range 7" xfId="2772"/>
    <cellStyle name="Draw lines around data in range 8" xfId="2773"/>
    <cellStyle name="Draw shadow and lines within range" xfId="556"/>
    <cellStyle name="Draw shadow and lines within range 2" xfId="557"/>
    <cellStyle name="Draw shadow and lines within range 2 2" xfId="2774"/>
    <cellStyle name="Draw shadow and lines within range 2 3" xfId="2775"/>
    <cellStyle name="Draw shadow and lines within range 2 4" xfId="2776"/>
    <cellStyle name="Draw shadow and lines within range 2 5" xfId="2777"/>
    <cellStyle name="Draw shadow and lines within range 2 6" xfId="2778"/>
    <cellStyle name="Draw shadow and lines within range 3" xfId="558"/>
    <cellStyle name="Draw shadow and lines within range 3 2" xfId="2779"/>
    <cellStyle name="Draw shadow and lines within range 3 3" xfId="2780"/>
    <cellStyle name="Draw shadow and lines within range 3 4" xfId="2781"/>
    <cellStyle name="Draw shadow and lines within range 3 5" xfId="2782"/>
    <cellStyle name="Draw shadow and lines within range 3 6" xfId="2783"/>
    <cellStyle name="Draw shadow and lines within range 4" xfId="2784"/>
    <cellStyle name="Draw shadow and lines within range 5" xfId="2785"/>
    <cellStyle name="Draw shadow and lines within range 6" xfId="2786"/>
    <cellStyle name="Draw shadow and lines within range 7" xfId="2787"/>
    <cellStyle name="Draw shadow and lines within range 8" xfId="2788"/>
    <cellStyle name="Emphasis 1" xfId="559"/>
    <cellStyle name="Emphasis 2" xfId="560"/>
    <cellStyle name="Emphasis 3" xfId="561"/>
    <cellStyle name="Encabez1" xfId="2789"/>
    <cellStyle name="Encabez2" xfId="2790"/>
    <cellStyle name="Enlarge title text, yellow on blue" xfId="562"/>
    <cellStyle name="Enter Currency (0)" xfId="2791"/>
    <cellStyle name="Enter Currency (2)" xfId="2792"/>
    <cellStyle name="Enter Units (0)" xfId="2793"/>
    <cellStyle name="Enter Units (1)" xfId="2794"/>
    <cellStyle name="Enter Units (2)" xfId="2795"/>
    <cellStyle name="Entered" xfId="2796"/>
    <cellStyle name="Euro" xfId="2797"/>
    <cellStyle name="Euro 2" xfId="2798"/>
    <cellStyle name="Euro 3" xfId="2799"/>
    <cellStyle name="Euro_FINAL SPCPL BS AS ON 31.03.2011 10.12.2011" xfId="2800"/>
    <cellStyle name="Excel Built-in Normal" xfId="2801"/>
    <cellStyle name="Excel.Chart" xfId="2802"/>
    <cellStyle name="Explanatory Text 10" xfId="2803"/>
    <cellStyle name="Explanatory Text 11" xfId="2804"/>
    <cellStyle name="Explanatory Text 12" xfId="2805"/>
    <cellStyle name="Explanatory Text 13" xfId="2806"/>
    <cellStyle name="Explanatory Text 14" xfId="2807"/>
    <cellStyle name="Explanatory Text 15" xfId="2808"/>
    <cellStyle name="Explanatory Text 16" xfId="2809"/>
    <cellStyle name="Explanatory Text 17" xfId="2810"/>
    <cellStyle name="Explanatory Text 18" xfId="2811"/>
    <cellStyle name="Explanatory Text 19" xfId="2812"/>
    <cellStyle name="Explanatory Text 2" xfId="563"/>
    <cellStyle name="Explanatory Text 2 2" xfId="2813"/>
    <cellStyle name="Explanatory Text 2 3" xfId="2814"/>
    <cellStyle name="Explanatory Text 20" xfId="2815"/>
    <cellStyle name="Explanatory Text 3" xfId="2816"/>
    <cellStyle name="Explanatory Text 4" xfId="2817"/>
    <cellStyle name="Explanatory Text 5" xfId="2818"/>
    <cellStyle name="Explanatory Text 6" xfId="2819"/>
    <cellStyle name="Explanatory Text 7" xfId="2820"/>
    <cellStyle name="Explanatory Text 8" xfId="2821"/>
    <cellStyle name="Explanatory Text 9" xfId="2822"/>
    <cellStyle name="F2" xfId="2823"/>
    <cellStyle name="F3" xfId="2824"/>
    <cellStyle name="F4" xfId="2825"/>
    <cellStyle name="F5" xfId="2826"/>
    <cellStyle name="F6" xfId="2827"/>
    <cellStyle name="F7" xfId="2828"/>
    <cellStyle name="F8" xfId="2829"/>
    <cellStyle name="FDC-Pos" xfId="2830"/>
    <cellStyle name="Fijo" xfId="2831"/>
    <cellStyle name="Financiero" xfId="2832"/>
    <cellStyle name="Fixed" xfId="2833"/>
    <cellStyle name="Flag" xfId="2834"/>
    <cellStyle name="Footnote" xfId="2835"/>
    <cellStyle name="Format a column of totals" xfId="564"/>
    <cellStyle name="Format a row of totals" xfId="565"/>
    <cellStyle name="Format a row of totals 2" xfId="566"/>
    <cellStyle name="Format a row of totals 2 2" xfId="2836"/>
    <cellStyle name="Format a row of totals 2 3" xfId="2837"/>
    <cellStyle name="Format a row of totals 2 4" xfId="2838"/>
    <cellStyle name="Format a row of totals 2 5" xfId="2839"/>
    <cellStyle name="Format a row of totals 2 6" xfId="2840"/>
    <cellStyle name="Format a row of totals 3" xfId="567"/>
    <cellStyle name="Format a row of totals 3 2" xfId="2841"/>
    <cellStyle name="Format a row of totals 3 3" xfId="2842"/>
    <cellStyle name="Format a row of totals 3 4" xfId="2843"/>
    <cellStyle name="Format a row of totals 3 5" xfId="2844"/>
    <cellStyle name="Format a row of totals 3 6" xfId="2845"/>
    <cellStyle name="Format a row of totals 4" xfId="2846"/>
    <cellStyle name="Format a row of totals 5" xfId="2847"/>
    <cellStyle name="Format a row of totals 6" xfId="2848"/>
    <cellStyle name="Format a row of totals 7" xfId="2849"/>
    <cellStyle name="Format a row of totals 8" xfId="2850"/>
    <cellStyle name="Format text as bold, black on yellow" xfId="568"/>
    <cellStyle name="Format text as bold, black on yellow 2" xfId="569"/>
    <cellStyle name="Format text as bold, black on yellow 2 2" xfId="2851"/>
    <cellStyle name="Format text as bold, black on yellow 2 3" xfId="2852"/>
    <cellStyle name="Format text as bold, black on yellow 2 4" xfId="2853"/>
    <cellStyle name="Format text as bold, black on yellow 2 5" xfId="2854"/>
    <cellStyle name="Format text as bold, black on yellow 2 6" xfId="2855"/>
    <cellStyle name="Format text as bold, black on yellow 3" xfId="570"/>
    <cellStyle name="Format text as bold, black on yellow 3 2" xfId="2856"/>
    <cellStyle name="Format text as bold, black on yellow 3 3" xfId="2857"/>
    <cellStyle name="Format text as bold, black on yellow 3 4" xfId="2858"/>
    <cellStyle name="Format text as bold, black on yellow 3 5" xfId="2859"/>
    <cellStyle name="Format text as bold, black on yellow 3 6" xfId="2860"/>
    <cellStyle name="Format text as bold, black on yellow 4" xfId="2861"/>
    <cellStyle name="Format text as bold, black on yellow 5" xfId="2862"/>
    <cellStyle name="Format text as bold, black on yellow 6" xfId="2863"/>
    <cellStyle name="Format text as bold, black on yellow 7" xfId="2864"/>
    <cellStyle name="Format text as bold, black on yellow 8" xfId="2865"/>
    <cellStyle name="Form-name" xfId="2866"/>
    <cellStyle name="Form-nr" xfId="2867"/>
    <cellStyle name="FRxAmtStyle" xfId="571"/>
    <cellStyle name="Good 10" xfId="2868"/>
    <cellStyle name="Good 11" xfId="2869"/>
    <cellStyle name="Good 12" xfId="2870"/>
    <cellStyle name="Good 13" xfId="2871"/>
    <cellStyle name="Good 14" xfId="2872"/>
    <cellStyle name="Good 15" xfId="2873"/>
    <cellStyle name="Good 16" xfId="2874"/>
    <cellStyle name="Good 17" xfId="2875"/>
    <cellStyle name="Good 18" xfId="2876"/>
    <cellStyle name="Good 19" xfId="2877"/>
    <cellStyle name="Good 2" xfId="572"/>
    <cellStyle name="Good 2 2" xfId="2878"/>
    <cellStyle name="Good 2 3" xfId="2879"/>
    <cellStyle name="Good 2 4" xfId="2880"/>
    <cellStyle name="Good 2 5" xfId="2881"/>
    <cellStyle name="Good 2 6" xfId="2882"/>
    <cellStyle name="Good 20" xfId="2883"/>
    <cellStyle name="Good 3" xfId="2884"/>
    <cellStyle name="Good 3 2" xfId="2885"/>
    <cellStyle name="Good 3 3" xfId="2886"/>
    <cellStyle name="Good 3 4" xfId="2887"/>
    <cellStyle name="Good 4" xfId="2888"/>
    <cellStyle name="Good 5" xfId="2889"/>
    <cellStyle name="Good 6" xfId="2890"/>
    <cellStyle name="Good 7" xfId="2891"/>
    <cellStyle name="Good 8" xfId="2892"/>
    <cellStyle name="Good 9" xfId="2893"/>
    <cellStyle name="Grey" xfId="2894"/>
    <cellStyle name="Hard Percent" xfId="2895"/>
    <cellStyle name="Header" xfId="2896"/>
    <cellStyle name="Header1" xfId="573"/>
    <cellStyle name="Header2" xfId="574"/>
    <cellStyle name="Header2 2" xfId="2897"/>
    <cellStyle name="Header2 3" xfId="2898"/>
    <cellStyle name="Header2 4" xfId="2899"/>
    <cellStyle name="Header2 5" xfId="2900"/>
    <cellStyle name="Header2 6" xfId="2901"/>
    <cellStyle name="Heading 1 10" xfId="2902"/>
    <cellStyle name="Heading 1 11" xfId="2903"/>
    <cellStyle name="Heading 1 12" xfId="2904"/>
    <cellStyle name="Heading 1 13" xfId="2905"/>
    <cellStyle name="Heading 1 14" xfId="2906"/>
    <cellStyle name="Heading 1 15" xfId="2907"/>
    <cellStyle name="Heading 1 16" xfId="2908"/>
    <cellStyle name="Heading 1 17" xfId="2909"/>
    <cellStyle name="Heading 1 18" xfId="2910"/>
    <cellStyle name="Heading 1 19" xfId="2911"/>
    <cellStyle name="Heading 1 2" xfId="575"/>
    <cellStyle name="Heading 1 2 2" xfId="2912"/>
    <cellStyle name="Heading 1 2 3" xfId="2913"/>
    <cellStyle name="Heading 1 2 4" xfId="2914"/>
    <cellStyle name="Heading 1 2 5" xfId="2915"/>
    <cellStyle name="Heading 1 2 6" xfId="2916"/>
    <cellStyle name="Heading 1 20" xfId="2917"/>
    <cellStyle name="Heading 1 3" xfId="2918"/>
    <cellStyle name="Heading 1 3 2" xfId="2919"/>
    <cellStyle name="Heading 1 3 3" xfId="2920"/>
    <cellStyle name="Heading 1 3 4" xfId="2921"/>
    <cellStyle name="Heading 1 4" xfId="2922"/>
    <cellStyle name="Heading 1 5" xfId="2923"/>
    <cellStyle name="Heading 1 6" xfId="2924"/>
    <cellStyle name="Heading 1 7" xfId="2925"/>
    <cellStyle name="Heading 1 8" xfId="2926"/>
    <cellStyle name="Heading 1 9" xfId="2927"/>
    <cellStyle name="Heading 2 10" xfId="2928"/>
    <cellStyle name="Heading 2 11" xfId="2929"/>
    <cellStyle name="Heading 2 12" xfId="2930"/>
    <cellStyle name="Heading 2 13" xfId="2931"/>
    <cellStyle name="Heading 2 14" xfId="2932"/>
    <cellStyle name="Heading 2 15" xfId="2933"/>
    <cellStyle name="Heading 2 16" xfId="2934"/>
    <cellStyle name="Heading 2 17" xfId="2935"/>
    <cellStyle name="Heading 2 18" xfId="2936"/>
    <cellStyle name="Heading 2 19" xfId="2937"/>
    <cellStyle name="Heading 2 2" xfId="576"/>
    <cellStyle name="Heading 2 2 2" xfId="2938"/>
    <cellStyle name="Heading 2 2 3" xfId="2939"/>
    <cellStyle name="Heading 2 2 4" xfId="2940"/>
    <cellStyle name="Heading 2 2 5" xfId="2941"/>
    <cellStyle name="Heading 2 2 6" xfId="2942"/>
    <cellStyle name="Heading 2 20" xfId="2943"/>
    <cellStyle name="Heading 2 3" xfId="2944"/>
    <cellStyle name="Heading 2 3 2" xfId="2945"/>
    <cellStyle name="Heading 2 3 3" xfId="2946"/>
    <cellStyle name="Heading 2 3 4" xfId="2947"/>
    <cellStyle name="Heading 2 4" xfId="2948"/>
    <cellStyle name="Heading 2 5" xfId="2949"/>
    <cellStyle name="Heading 2 6" xfId="2950"/>
    <cellStyle name="Heading 2 7" xfId="2951"/>
    <cellStyle name="Heading 2 8" xfId="2952"/>
    <cellStyle name="Heading 2 9" xfId="2953"/>
    <cellStyle name="Heading 3 10" xfId="2954"/>
    <cellStyle name="Heading 3 11" xfId="2955"/>
    <cellStyle name="Heading 3 12" xfId="2956"/>
    <cellStyle name="Heading 3 13" xfId="2957"/>
    <cellStyle name="Heading 3 14" xfId="2958"/>
    <cellStyle name="Heading 3 15" xfId="2959"/>
    <cellStyle name="Heading 3 16" xfId="2960"/>
    <cellStyle name="Heading 3 17" xfId="2961"/>
    <cellStyle name="Heading 3 18" xfId="2962"/>
    <cellStyle name="Heading 3 19" xfId="2963"/>
    <cellStyle name="Heading 3 2" xfId="577"/>
    <cellStyle name="Heading 3 2 2" xfId="2964"/>
    <cellStyle name="Heading 3 2 3" xfId="2965"/>
    <cellStyle name="Heading 3 2 4" xfId="2966"/>
    <cellStyle name="Heading 3 2 5" xfId="2967"/>
    <cellStyle name="Heading 3 2 6" xfId="2968"/>
    <cellStyle name="Heading 3 20" xfId="2969"/>
    <cellStyle name="Heading 3 3" xfId="2970"/>
    <cellStyle name="Heading 3 3 2" xfId="2971"/>
    <cellStyle name="Heading 3 3 3" xfId="2972"/>
    <cellStyle name="Heading 3 3 4" xfId="2973"/>
    <cellStyle name="Heading 3 4" xfId="2974"/>
    <cellStyle name="Heading 3 5" xfId="2975"/>
    <cellStyle name="Heading 3 6" xfId="2976"/>
    <cellStyle name="Heading 3 7" xfId="2977"/>
    <cellStyle name="Heading 3 8" xfId="2978"/>
    <cellStyle name="Heading 3 9" xfId="2979"/>
    <cellStyle name="Heading 4 10" xfId="2980"/>
    <cellStyle name="Heading 4 11" xfId="2981"/>
    <cellStyle name="Heading 4 12" xfId="2982"/>
    <cellStyle name="Heading 4 13" xfId="2983"/>
    <cellStyle name="Heading 4 14" xfId="2984"/>
    <cellStyle name="Heading 4 15" xfId="2985"/>
    <cellStyle name="Heading 4 16" xfId="2986"/>
    <cellStyle name="Heading 4 17" xfId="2987"/>
    <cellStyle name="Heading 4 18" xfId="2988"/>
    <cellStyle name="Heading 4 19" xfId="2989"/>
    <cellStyle name="Heading 4 2" xfId="578"/>
    <cellStyle name="Heading 4 2 2" xfId="2990"/>
    <cellStyle name="Heading 4 2 3" xfId="2991"/>
    <cellStyle name="Heading 4 2 4" xfId="2992"/>
    <cellStyle name="Heading 4 2 5" xfId="2993"/>
    <cellStyle name="Heading 4 2 6" xfId="2994"/>
    <cellStyle name="Heading 4 20" xfId="2995"/>
    <cellStyle name="Heading 4 3" xfId="2996"/>
    <cellStyle name="Heading 4 3 2" xfId="2997"/>
    <cellStyle name="Heading 4 3 3" xfId="2998"/>
    <cellStyle name="Heading 4 3 4" xfId="2999"/>
    <cellStyle name="Heading 4 4" xfId="3000"/>
    <cellStyle name="Heading 4 5" xfId="3001"/>
    <cellStyle name="Heading 4 6" xfId="3002"/>
    <cellStyle name="Heading 4 7" xfId="3003"/>
    <cellStyle name="Heading 4 8" xfId="3004"/>
    <cellStyle name="Heading 4 9" xfId="3005"/>
    <cellStyle name="Heading1" xfId="3006"/>
    <cellStyle name="Heading2" xfId="3007"/>
    <cellStyle name="Hyperlink 10" xfId="3008"/>
    <cellStyle name="Hyperlink 2" xfId="579"/>
    <cellStyle name="Hyperlink 2 2" xfId="3009"/>
    <cellStyle name="Hyperlink 2 3" xfId="3010"/>
    <cellStyle name="Hyperlink 2_BS_PL_Nov 2011 v2" xfId="3011"/>
    <cellStyle name="Hyperlink 3" xfId="3012"/>
    <cellStyle name="Hyperlink 4" xfId="3013"/>
    <cellStyle name="Hyperlink 5" xfId="3014"/>
    <cellStyle name="Hyperlink 6" xfId="3015"/>
    <cellStyle name="Hyperlink 7" xfId="3016"/>
    <cellStyle name="Hyperlink 8" xfId="3017"/>
    <cellStyle name="Hyperlink 9" xfId="3018"/>
    <cellStyle name="Hypertextový odkaz" xfId="3019"/>
    <cellStyle name="Hypertextový odkaz 10" xfId="3020"/>
    <cellStyle name="Hypertextový odkaz 11" xfId="3021"/>
    <cellStyle name="Hypertextový odkaz 12" xfId="3022"/>
    <cellStyle name="Hypertextový odkaz 13" xfId="3023"/>
    <cellStyle name="Hypertextový odkaz 14" xfId="3024"/>
    <cellStyle name="Hypertextový odkaz 15" xfId="3025"/>
    <cellStyle name="Hypertextový odkaz 16" xfId="3026"/>
    <cellStyle name="Hypertextový odkaz 17" xfId="3027"/>
    <cellStyle name="Hypertextový odkaz 18" xfId="3028"/>
    <cellStyle name="Hypertextový odkaz 19" xfId="3029"/>
    <cellStyle name="Hypertextový odkaz 2" xfId="3030"/>
    <cellStyle name="Hypertextový odkaz 20" xfId="3031"/>
    <cellStyle name="Hypertextový odkaz 21" xfId="3032"/>
    <cellStyle name="Hypertextový odkaz 22" xfId="3033"/>
    <cellStyle name="Hypertextový odkaz 23" xfId="3034"/>
    <cellStyle name="Hypertextový odkaz 24" xfId="3035"/>
    <cellStyle name="Hypertextový odkaz 25" xfId="3036"/>
    <cellStyle name="Hypertextový odkaz 26" xfId="3037"/>
    <cellStyle name="Hypertextový odkaz 27" xfId="3038"/>
    <cellStyle name="Hypertextový odkaz 28" xfId="3039"/>
    <cellStyle name="Hypertextový odkaz 3" xfId="3040"/>
    <cellStyle name="Hypertextový odkaz 4" xfId="3041"/>
    <cellStyle name="Hypertextový odkaz 5" xfId="3042"/>
    <cellStyle name="Hypertextový odkaz 6" xfId="3043"/>
    <cellStyle name="Hypertextový odkaz 7" xfId="3044"/>
    <cellStyle name="Hypertextový odkaz 8" xfId="3045"/>
    <cellStyle name="Hypertextový odkaz 9" xfId="3046"/>
    <cellStyle name="Hypertextový odkaz_amd" xfId="3047"/>
    <cellStyle name="Input [yellow]" xfId="3048"/>
    <cellStyle name="Input 10" xfId="3049"/>
    <cellStyle name="Input 11" xfId="3050"/>
    <cellStyle name="Input 12" xfId="3051"/>
    <cellStyle name="Input 13" xfId="3052"/>
    <cellStyle name="Input 14" xfId="3053"/>
    <cellStyle name="Input 15" xfId="3054"/>
    <cellStyle name="Input 16" xfId="3055"/>
    <cellStyle name="Input 17" xfId="3056"/>
    <cellStyle name="Input 18" xfId="3057"/>
    <cellStyle name="Input 19" xfId="3058"/>
    <cellStyle name="Input 2" xfId="580"/>
    <cellStyle name="Input 2 2" xfId="581"/>
    <cellStyle name="Input 2 2 2" xfId="3059"/>
    <cellStyle name="Input 2 2 3" xfId="3060"/>
    <cellStyle name="Input 2 2 4" xfId="3061"/>
    <cellStyle name="Input 2 2 5" xfId="3062"/>
    <cellStyle name="Input 2 2 6" xfId="3063"/>
    <cellStyle name="Input 2 3" xfId="582"/>
    <cellStyle name="Input 2 3 2" xfId="3064"/>
    <cellStyle name="Input 2 3 3" xfId="3065"/>
    <cellStyle name="Input 2 3 4" xfId="3066"/>
    <cellStyle name="Input 2 3 5" xfId="3067"/>
    <cellStyle name="Input 2 3 6" xfId="3068"/>
    <cellStyle name="Input 2 4" xfId="3069"/>
    <cellStyle name="Input 2 5" xfId="3070"/>
    <cellStyle name="Input 2 6" xfId="3071"/>
    <cellStyle name="Input 2 7" xfId="3072"/>
    <cellStyle name="Input 2 8" xfId="3073"/>
    <cellStyle name="Input 20" xfId="3074"/>
    <cellStyle name="Input 21" xfId="3075"/>
    <cellStyle name="Input 22" xfId="3076"/>
    <cellStyle name="Input 23" xfId="3077"/>
    <cellStyle name="Input 24" xfId="3078"/>
    <cellStyle name="Input 25" xfId="3079"/>
    <cellStyle name="Input 26" xfId="3080"/>
    <cellStyle name="Input 3" xfId="3081"/>
    <cellStyle name="Input 3 2" xfId="3082"/>
    <cellStyle name="Input 3 3" xfId="3083"/>
    <cellStyle name="Input 3 4" xfId="3084"/>
    <cellStyle name="Input 4" xfId="3085"/>
    <cellStyle name="Input 5" xfId="3086"/>
    <cellStyle name="Input 6" xfId="3087"/>
    <cellStyle name="Input 7" xfId="3088"/>
    <cellStyle name="Input 8" xfId="3089"/>
    <cellStyle name="Input 9" xfId="3090"/>
    <cellStyle name="item2" xfId="3091"/>
    <cellStyle name="KGName" xfId="3092"/>
    <cellStyle name="KG-Nr" xfId="3093"/>
    <cellStyle name="Kol.-Titel" xfId="3094"/>
    <cellStyle name="KPMG Heading 1" xfId="3095"/>
    <cellStyle name="KPMG Heading 2" xfId="3096"/>
    <cellStyle name="KPMG Heading 3" xfId="3097"/>
    <cellStyle name="KPMG Heading 4" xfId="3098"/>
    <cellStyle name="KPMG Normal" xfId="3099"/>
    <cellStyle name="KPMG Normal Text" xfId="3100"/>
    <cellStyle name="Labels - Style3" xfId="583"/>
    <cellStyle name="Labels - Style3 2" xfId="584"/>
    <cellStyle name="Labels - Style3 2 2" xfId="3101"/>
    <cellStyle name="Labels - Style3 2 3" xfId="3102"/>
    <cellStyle name="Labels - Style3 2 4" xfId="3103"/>
    <cellStyle name="Labels - Style3 2 5" xfId="3104"/>
    <cellStyle name="Labels - Style3 2 6" xfId="3105"/>
    <cellStyle name="Labels - Style3 3" xfId="585"/>
    <cellStyle name="Labels - Style3 3 2" xfId="3106"/>
    <cellStyle name="Labels - Style3 3 3" xfId="3107"/>
    <cellStyle name="Labels - Style3 3 4" xfId="3108"/>
    <cellStyle name="Labels - Style3 3 5" xfId="3109"/>
    <cellStyle name="Labels - Style3 3 6" xfId="3110"/>
    <cellStyle name="Labels - Style3 4" xfId="3111"/>
    <cellStyle name="Labels - Style3 5" xfId="3112"/>
    <cellStyle name="Labels - Style3 6" xfId="3113"/>
    <cellStyle name="Labels - Style3 7" xfId="3114"/>
    <cellStyle name="Labels - Style3 8" xfId="3115"/>
    <cellStyle name="Linie" xfId="3116"/>
    <cellStyle name="Linie-nr" xfId="3117"/>
    <cellStyle name="Link Currency (0)" xfId="3118"/>
    <cellStyle name="Link Currency (2)" xfId="3119"/>
    <cellStyle name="Link Units (0)" xfId="3120"/>
    <cellStyle name="Link Units (1)" xfId="3121"/>
    <cellStyle name="Link Units (2)" xfId="3122"/>
    <cellStyle name="Linked Cell 10" xfId="3123"/>
    <cellStyle name="Linked Cell 11" xfId="3124"/>
    <cellStyle name="Linked Cell 12" xfId="3125"/>
    <cellStyle name="Linked Cell 13" xfId="3126"/>
    <cellStyle name="Linked Cell 14" xfId="3127"/>
    <cellStyle name="Linked Cell 15" xfId="3128"/>
    <cellStyle name="Linked Cell 16" xfId="3129"/>
    <cellStyle name="Linked Cell 17" xfId="3130"/>
    <cellStyle name="Linked Cell 18" xfId="3131"/>
    <cellStyle name="Linked Cell 19" xfId="3132"/>
    <cellStyle name="Linked Cell 2" xfId="586"/>
    <cellStyle name="Linked Cell 2 2" xfId="3133"/>
    <cellStyle name="Linked Cell 2 3" xfId="3134"/>
    <cellStyle name="Linked Cell 2 4" xfId="3135"/>
    <cellStyle name="Linked Cell 2 5" xfId="3136"/>
    <cellStyle name="Linked Cell 2 6" xfId="3137"/>
    <cellStyle name="Linked Cell 20" xfId="3138"/>
    <cellStyle name="Linked Cell 3" xfId="3139"/>
    <cellStyle name="Linked Cell 3 2" xfId="3140"/>
    <cellStyle name="Linked Cell 3 3" xfId="3141"/>
    <cellStyle name="Linked Cell 3 4" xfId="3142"/>
    <cellStyle name="Linked Cell 4" xfId="3143"/>
    <cellStyle name="Linked Cell 5" xfId="3144"/>
    <cellStyle name="Linked Cell 6" xfId="3145"/>
    <cellStyle name="Linked Cell 7" xfId="3146"/>
    <cellStyle name="Linked Cell 8" xfId="3147"/>
    <cellStyle name="Linked Cell 9" xfId="3148"/>
    <cellStyle name="MANKAD" xfId="3149"/>
    <cellStyle name="Map Labels" xfId="3150"/>
    <cellStyle name="Map Legend" xfId="3151"/>
    <cellStyle name="Map Title" xfId="3152"/>
    <cellStyle name="Microsoft Excel Application" xfId="3153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3154"/>
    <cellStyle name="Millares [0]_ARE" xfId="3155"/>
    <cellStyle name="Millares_ARE" xfId="3156"/>
    <cellStyle name="Milliarden" xfId="3157"/>
    <cellStyle name="Milliers [0]_AR1194" xfId="3158"/>
    <cellStyle name="Milliers_AR1194" xfId="3159"/>
    <cellStyle name="Mio" xfId="3160"/>
    <cellStyle name="Moneda [0]_ARE" xfId="3161"/>
    <cellStyle name="Moneda_ARE" xfId="3162"/>
    <cellStyle name="Monétaire [0]_AR1194" xfId="3163"/>
    <cellStyle name="Monétaire_AR1194" xfId="3164"/>
    <cellStyle name="Monetario" xfId="3165"/>
    <cellStyle name="Multiple" xfId="3166"/>
    <cellStyle name="MultipleBelow" xfId="3167"/>
    <cellStyle name="Neutral 10" xfId="3168"/>
    <cellStyle name="Neutral 11" xfId="3169"/>
    <cellStyle name="Neutral 12" xfId="3170"/>
    <cellStyle name="Neutral 13" xfId="3171"/>
    <cellStyle name="Neutral 14" xfId="3172"/>
    <cellStyle name="Neutral 15" xfId="3173"/>
    <cellStyle name="Neutral 16" xfId="3174"/>
    <cellStyle name="Neutral 17" xfId="3175"/>
    <cellStyle name="Neutral 18" xfId="3176"/>
    <cellStyle name="Neutral 19" xfId="3177"/>
    <cellStyle name="Neutral 2" xfId="587"/>
    <cellStyle name="Neutral 2 2" xfId="3178"/>
    <cellStyle name="Neutral 2 3" xfId="3179"/>
    <cellStyle name="Neutral 2 4" xfId="3180"/>
    <cellStyle name="Neutral 2 5" xfId="3181"/>
    <cellStyle name="Neutral 2 6" xfId="3182"/>
    <cellStyle name="Neutral 20" xfId="3183"/>
    <cellStyle name="Neutral 3" xfId="3184"/>
    <cellStyle name="Neutral 3 2" xfId="3185"/>
    <cellStyle name="Neutral 3 3" xfId="3186"/>
    <cellStyle name="Neutral 3 4" xfId="3187"/>
    <cellStyle name="Neutral 4" xfId="3188"/>
    <cellStyle name="Neutral 5" xfId="3189"/>
    <cellStyle name="Neutral 6" xfId="3190"/>
    <cellStyle name="Neutral 7" xfId="3191"/>
    <cellStyle name="Neutral 8" xfId="3192"/>
    <cellStyle name="Neutral 9" xfId="3193"/>
    <cellStyle name="no dec" xfId="588"/>
    <cellStyle name="no dec 10" xfId="3194"/>
    <cellStyle name="no dec 11" xfId="3195"/>
    <cellStyle name="no dec 12" xfId="3196"/>
    <cellStyle name="no dec 13" xfId="3197"/>
    <cellStyle name="no dec 14" xfId="3198"/>
    <cellStyle name="no dec 15" xfId="3199"/>
    <cellStyle name="no dec 16" xfId="3200"/>
    <cellStyle name="no dec 17" xfId="3201"/>
    <cellStyle name="no dec 18" xfId="3202"/>
    <cellStyle name="no dec 19" xfId="3203"/>
    <cellStyle name="no dec 2" xfId="3204"/>
    <cellStyle name="no dec 20" xfId="3205"/>
    <cellStyle name="no dec 21" xfId="3206"/>
    <cellStyle name="no dec 22" xfId="3207"/>
    <cellStyle name="no dec 23" xfId="3208"/>
    <cellStyle name="no dec 24" xfId="3209"/>
    <cellStyle name="no dec 25" xfId="3210"/>
    <cellStyle name="no dec 26" xfId="3211"/>
    <cellStyle name="no dec 27" xfId="3212"/>
    <cellStyle name="no dec 28" xfId="3213"/>
    <cellStyle name="no dec 3" xfId="3214"/>
    <cellStyle name="no dec 4" xfId="3215"/>
    <cellStyle name="no dec 5" xfId="3216"/>
    <cellStyle name="no dec 6" xfId="3217"/>
    <cellStyle name="no dec 7" xfId="3218"/>
    <cellStyle name="no dec 8" xfId="3219"/>
    <cellStyle name="no dec 9" xfId="3220"/>
    <cellStyle name="no dec_amd" xfId="3221"/>
    <cellStyle name="No-definido" xfId="3222"/>
    <cellStyle name="Nor}al" xfId="3223"/>
    <cellStyle name="Norm੎੎" xfId="3224"/>
    <cellStyle name="Norma,_4441-THANA MAT" xfId="3225"/>
    <cellStyle name="Normal" xfId="0" builtinId="0"/>
    <cellStyle name="Normal - Style1" xfId="589"/>
    <cellStyle name="Normal - Style1 2" xfId="3226"/>
    <cellStyle name="Normal - Style1 3" xfId="3227"/>
    <cellStyle name="Normal - Style1 4" xfId="3228"/>
    <cellStyle name="Normal - Style1_FINAL SPCPL BS AS ON 31.03.2011 10.12.2011" xfId="3229"/>
    <cellStyle name="Normal - Style2" xfId="3230"/>
    <cellStyle name="Normal 10" xfId="590"/>
    <cellStyle name="Normal 10 2" xfId="3231"/>
    <cellStyle name="Normal 10 2 2" xfId="3232"/>
    <cellStyle name="Normal 10 3" xfId="3233"/>
    <cellStyle name="Normal 10 4" xfId="3234"/>
    <cellStyle name="Normal 10 4 2" xfId="3235"/>
    <cellStyle name="Normal 10 4 2 2" xfId="4461"/>
    <cellStyle name="Normal 10 4 3" xfId="4460"/>
    <cellStyle name="Normal 10 5" xfId="3236"/>
    <cellStyle name="Normal 10_Book1" xfId="3237"/>
    <cellStyle name="Normal 11" xfId="591"/>
    <cellStyle name="Normal 11 2" xfId="3238"/>
    <cellStyle name="Normal 11 2 2" xfId="4462"/>
    <cellStyle name="Normal 11 3" xfId="3239"/>
    <cellStyle name="Normal 12" xfId="592"/>
    <cellStyle name="Normal 13" xfId="593"/>
    <cellStyle name="Normal 14" xfId="594"/>
    <cellStyle name="Normal 14 2" xfId="3240"/>
    <cellStyle name="Normal 14 2 2" xfId="3241"/>
    <cellStyle name="Normal 14 2 2 2" xfId="4464"/>
    <cellStyle name="Normal 14 2 3" xfId="4463"/>
    <cellStyle name="Normal 15" xfId="595"/>
    <cellStyle name="Normal 15 2" xfId="3242"/>
    <cellStyle name="Normal 16" xfId="596"/>
    <cellStyle name="Normal 16 2" xfId="3243"/>
    <cellStyle name="Normal 17" xfId="597"/>
    <cellStyle name="Normal 17 2" xfId="3244"/>
    <cellStyle name="Normal 18" xfId="598"/>
    <cellStyle name="Normal 18 2" xfId="3245"/>
    <cellStyle name="Normal 19" xfId="599"/>
    <cellStyle name="Normal 19 2" xfId="3246"/>
    <cellStyle name="Normal 19 3" xfId="4465"/>
    <cellStyle name="Normal 2" xfId="600"/>
    <cellStyle name="Normal 2 10" xfId="601"/>
    <cellStyle name="Normal 2 11" xfId="602"/>
    <cellStyle name="Normal 2 12" xfId="603"/>
    <cellStyle name="Normal 2 13" xfId="604"/>
    <cellStyle name="Normal 2 14" xfId="605"/>
    <cellStyle name="Normal 2 15" xfId="606"/>
    <cellStyle name="Normal 2 16" xfId="607"/>
    <cellStyle name="Normal 2 17" xfId="608"/>
    <cellStyle name="Normal 2 18" xfId="609"/>
    <cellStyle name="Normal 2 19" xfId="610"/>
    <cellStyle name="Normal 2 2" xfId="611"/>
    <cellStyle name="Normal 2 2 10" xfId="612"/>
    <cellStyle name="Normal 2 2 11" xfId="613"/>
    <cellStyle name="Normal 2 2 12" xfId="614"/>
    <cellStyle name="Normal 2 2 13" xfId="615"/>
    <cellStyle name="Normal 2 2 14" xfId="616"/>
    <cellStyle name="Normal 2 2 15" xfId="617"/>
    <cellStyle name="Normal 2 2 16" xfId="618"/>
    <cellStyle name="Normal 2 2 17" xfId="619"/>
    <cellStyle name="Normal 2 2 18" xfId="620"/>
    <cellStyle name="Normal 2 2 19" xfId="621"/>
    <cellStyle name="Normal 2 2 2" xfId="622"/>
    <cellStyle name="Normal 2 2 2 10" xfId="623"/>
    <cellStyle name="Normal 2 2 2 11" xfId="624"/>
    <cellStyle name="Normal 2 2 2 12" xfId="625"/>
    <cellStyle name="Normal 2 2 2 13" xfId="626"/>
    <cellStyle name="Normal 2 2 2 14" xfId="627"/>
    <cellStyle name="Normal 2 2 2 15" xfId="628"/>
    <cellStyle name="Normal 2 2 2 16" xfId="629"/>
    <cellStyle name="Normal 2 2 2 17" xfId="630"/>
    <cellStyle name="Normal 2 2 2 18" xfId="631"/>
    <cellStyle name="Normal 2 2 2 19" xfId="632"/>
    <cellStyle name="Normal 2 2 2 2" xfId="633"/>
    <cellStyle name="Normal 2 2 2 2 2" xfId="3247"/>
    <cellStyle name="Normal 2 2 2 20" xfId="634"/>
    <cellStyle name="Normal 2 2 2 21" xfId="635"/>
    <cellStyle name="Normal 2 2 2 22" xfId="636"/>
    <cellStyle name="Normal 2 2 2 23" xfId="637"/>
    <cellStyle name="Normal 2 2 2 24" xfId="638"/>
    <cellStyle name="Normal 2 2 2 25" xfId="639"/>
    <cellStyle name="Normal 2 2 2 26" xfId="640"/>
    <cellStyle name="Normal 2 2 2 27" xfId="641"/>
    <cellStyle name="Normal 2 2 2 28" xfId="642"/>
    <cellStyle name="Normal 2 2 2 29" xfId="643"/>
    <cellStyle name="Normal 2 2 2 3" xfId="644"/>
    <cellStyle name="Normal 2 2 2 3 2" xfId="3248"/>
    <cellStyle name="Normal 2 2 2 30" xfId="645"/>
    <cellStyle name="Normal 2 2 2 31" xfId="646"/>
    <cellStyle name="Normal 2 2 2 4" xfId="647"/>
    <cellStyle name="Normal 2 2 2 4 2" xfId="3249"/>
    <cellStyle name="Normal 2 2 2 5" xfId="648"/>
    <cellStyle name="Normal 2 2 2 5 2" xfId="3250"/>
    <cellStyle name="Normal 2 2 2 5 2 2" xfId="4466"/>
    <cellStyle name="Normal 2 2 2 6" xfId="649"/>
    <cellStyle name="Normal 2 2 2 7" xfId="650"/>
    <cellStyle name="Normal 2 2 2 8" xfId="651"/>
    <cellStyle name="Normal 2 2 2 9" xfId="652"/>
    <cellStyle name="Normal 2 2 2_Copy of BS_PL_March 11 v2_17.5.2011 KK" xfId="3251"/>
    <cellStyle name="Normal 2 2 20" xfId="653"/>
    <cellStyle name="Normal 2 2 21" xfId="654"/>
    <cellStyle name="Normal 2 2 22" xfId="655"/>
    <cellStyle name="Normal 2 2 23" xfId="656"/>
    <cellStyle name="Normal 2 2 24" xfId="657"/>
    <cellStyle name="Normal 2 2 25" xfId="658"/>
    <cellStyle name="Normal 2 2 26" xfId="659"/>
    <cellStyle name="Normal 2 2 27" xfId="660"/>
    <cellStyle name="Normal 2 2 28" xfId="661"/>
    <cellStyle name="Normal 2 2 29" xfId="662"/>
    <cellStyle name="Normal 2 2 3" xfId="663"/>
    <cellStyle name="Normal 2 2 3 2" xfId="3252"/>
    <cellStyle name="Normal 2 2 3 2 2" xfId="3253"/>
    <cellStyle name="Normal 2 2 3 2 2 2" xfId="4468"/>
    <cellStyle name="Normal 2 2 3 2 3" xfId="4467"/>
    <cellStyle name="Normal 2 2 30" xfId="664"/>
    <cellStyle name="Normal 2 2 31" xfId="665"/>
    <cellStyle name="Normal 2 2 32" xfId="666"/>
    <cellStyle name="Normal 2 2 33" xfId="3254"/>
    <cellStyle name="Normal 2 2 4" xfId="667"/>
    <cellStyle name="Normal 2 2 5" xfId="668"/>
    <cellStyle name="Normal 2 2 6" xfId="669"/>
    <cellStyle name="Normal 2 2 7" xfId="670"/>
    <cellStyle name="Normal 2 2 8" xfId="671"/>
    <cellStyle name="Normal 2 2 9" xfId="672"/>
    <cellStyle name="Normal 2 2_Book1" xfId="3255"/>
    <cellStyle name="Normal 2 20" xfId="673"/>
    <cellStyle name="Normal 2 21" xfId="674"/>
    <cellStyle name="Normal 2 22" xfId="675"/>
    <cellStyle name="Normal 2 23" xfId="676"/>
    <cellStyle name="Normal 2 24" xfId="677"/>
    <cellStyle name="Normal 2 25" xfId="678"/>
    <cellStyle name="Normal 2 26" xfId="679"/>
    <cellStyle name="Normal 2 27" xfId="680"/>
    <cellStyle name="Normal 2 28" xfId="681"/>
    <cellStyle name="Normal 2 29" xfId="682"/>
    <cellStyle name="Normal 2 3" xfId="683"/>
    <cellStyle name="Normal 2 3 2" xfId="3256"/>
    <cellStyle name="Normal 2 3_BS_PL_Nov 2011 v2" xfId="3257"/>
    <cellStyle name="Normal 2 30" xfId="684"/>
    <cellStyle name="Normal 2 31" xfId="685"/>
    <cellStyle name="Normal 2 32" xfId="686"/>
    <cellStyle name="Normal 2 33" xfId="687"/>
    <cellStyle name="Normal 2 33 2" xfId="4469"/>
    <cellStyle name="Normal 2 34" xfId="3258"/>
    <cellStyle name="Normal 2 35" xfId="3259"/>
    <cellStyle name="Normal 2 36" xfId="3260"/>
    <cellStyle name="Normal 2 37" xfId="3261"/>
    <cellStyle name="Normal 2 38" xfId="3262"/>
    <cellStyle name="Normal 2 39" xfId="3263"/>
    <cellStyle name="Normal 2 4" xfId="688"/>
    <cellStyle name="Normal 2 4 2" xfId="3264"/>
    <cellStyle name="Normal 2 40" xfId="3265"/>
    <cellStyle name="Normal 2 41" xfId="3266"/>
    <cellStyle name="Normal 2 42" xfId="3267"/>
    <cellStyle name="Normal 2 43" xfId="3268"/>
    <cellStyle name="Normal 2 44" xfId="3269"/>
    <cellStyle name="Normal 2 45" xfId="3270"/>
    <cellStyle name="Normal 2 46" xfId="3271"/>
    <cellStyle name="Normal 2 47" xfId="3272"/>
    <cellStyle name="Normal 2 47 2" xfId="3273"/>
    <cellStyle name="Normal 2 47 2 2" xfId="4471"/>
    <cellStyle name="Normal 2 47 3" xfId="4470"/>
    <cellStyle name="Normal 2 5" xfId="689"/>
    <cellStyle name="Normal 2 5 2" xfId="3274"/>
    <cellStyle name="Normal 2 6" xfId="690"/>
    <cellStyle name="Normal 2 6 2" xfId="3275"/>
    <cellStyle name="Normal 2 7" xfId="691"/>
    <cellStyle name="Normal 2 8" xfId="692"/>
    <cellStyle name="Normal 2 9" xfId="693"/>
    <cellStyle name="Normal 2_. PROVISION Dec-2011" xfId="3276"/>
    <cellStyle name="Normal 20" xfId="694"/>
    <cellStyle name="Normal 20 2" xfId="3277"/>
    <cellStyle name="Normal 21" xfId="695"/>
    <cellStyle name="Normal 21 2" xfId="3278"/>
    <cellStyle name="Normal 21 2 2" xfId="3279"/>
    <cellStyle name="Normal 21 2 2 2" xfId="4473"/>
    <cellStyle name="Normal 21 2 3" xfId="4472"/>
    <cellStyle name="Normal 21 3" xfId="3280"/>
    <cellStyle name="Normal 21_TBZ - COI Final" xfId="3281"/>
    <cellStyle name="Normal 22" xfId="696"/>
    <cellStyle name="Normal 22 2" xfId="3282"/>
    <cellStyle name="Normal 23" xfId="697"/>
    <cellStyle name="Normal 23 2" xfId="3283"/>
    <cellStyle name="Normal 24" xfId="698"/>
    <cellStyle name="Normal 24 2" xfId="3284"/>
    <cellStyle name="Normal 24 3" xfId="3285"/>
    <cellStyle name="Normal 25" xfId="699"/>
    <cellStyle name="Normal 26" xfId="700"/>
    <cellStyle name="Normal 27" xfId="701"/>
    <cellStyle name="Normal 28" xfId="702"/>
    <cellStyle name="Normal 28 2" xfId="3286"/>
    <cellStyle name="Normal 28 2 2" xfId="4474"/>
    <cellStyle name="Normal 29" xfId="703"/>
    <cellStyle name="Normal 29 2" xfId="3287"/>
    <cellStyle name="Normal 29 2 2" xfId="4476"/>
    <cellStyle name="Normal 29 3" xfId="4475"/>
    <cellStyle name="Normal 3" xfId="704"/>
    <cellStyle name="Normal 3 10" xfId="3288"/>
    <cellStyle name="Normal 3 2" xfId="705"/>
    <cellStyle name="Normal 3 2 2" xfId="706"/>
    <cellStyle name="Normal 3 2 3" xfId="707"/>
    <cellStyle name="Normal 3 2_BS_PL_Nov 2011 v2" xfId="3289"/>
    <cellStyle name="Normal 3 3" xfId="708"/>
    <cellStyle name="Normal 3 3 2" xfId="3290"/>
    <cellStyle name="Normal 3 4" xfId="709"/>
    <cellStyle name="Normal 3 4 2" xfId="3291"/>
    <cellStyle name="Normal 3 5" xfId="3292"/>
    <cellStyle name="Normal 3 5 2" xfId="3293"/>
    <cellStyle name="Normal 3 5 3" xfId="4477"/>
    <cellStyle name="Normal 3 6" xfId="3294"/>
    <cellStyle name="Normal 3 6 2" xfId="4478"/>
    <cellStyle name="Normal 3 7" xfId="3295"/>
    <cellStyle name="Normal 3 7 2" xfId="3296"/>
    <cellStyle name="Normal 3 7 2 2" xfId="4480"/>
    <cellStyle name="Normal 3 7 3" xfId="4479"/>
    <cellStyle name="Normal 3 8" xfId="3297"/>
    <cellStyle name="Normal 3 8 2" xfId="4481"/>
    <cellStyle name="Normal 3 9" xfId="3298"/>
    <cellStyle name="Normal 3 9 2" xfId="4482"/>
    <cellStyle name="Normal 3_. PROVISION Dec-2011" xfId="3299"/>
    <cellStyle name="Normal 30" xfId="710"/>
    <cellStyle name="Normal 30 2" xfId="3300"/>
    <cellStyle name="Normal 30 2 2" xfId="4484"/>
    <cellStyle name="Normal 30 3" xfId="4483"/>
    <cellStyle name="Normal 31" xfId="903"/>
    <cellStyle name="Normal 31 2" xfId="3301"/>
    <cellStyle name="Normal 31 3" xfId="4485"/>
    <cellStyle name="Normal 32" xfId="3302"/>
    <cellStyle name="Normal 33" xfId="3303"/>
    <cellStyle name="Normal 34" xfId="3304"/>
    <cellStyle name="Normal 35" xfId="3305"/>
    <cellStyle name="Normal 36" xfId="3306"/>
    <cellStyle name="Normal 37" xfId="3307"/>
    <cellStyle name="Normal 37 2" xfId="4486"/>
    <cellStyle name="Normal 38" xfId="3308"/>
    <cellStyle name="Normal 39" xfId="3309"/>
    <cellStyle name="Normal 4" xfId="711"/>
    <cellStyle name="Normal 4 10" xfId="3310"/>
    <cellStyle name="Normal 4 2" xfId="712"/>
    <cellStyle name="Normal 4 2 2" xfId="3311"/>
    <cellStyle name="Normal 4 2 2 2" xfId="3312"/>
    <cellStyle name="Normal 4 2 2 2 2" xfId="4488"/>
    <cellStyle name="Normal 4 2 2 3" xfId="4487"/>
    <cellStyle name="Normal 4 3" xfId="713"/>
    <cellStyle name="Normal 4 3 2" xfId="3313"/>
    <cellStyle name="Normal 4 3 2 2" xfId="3314"/>
    <cellStyle name="Normal 4 3 2 2 2" xfId="4490"/>
    <cellStyle name="Normal 4 3 2 3" xfId="4489"/>
    <cellStyle name="Normal 4 4" xfId="3315"/>
    <cellStyle name="Normal 4 4 2" xfId="4491"/>
    <cellStyle name="Normal 4 5" xfId="3316"/>
    <cellStyle name="Normal 4 5 2" xfId="4492"/>
    <cellStyle name="Normal 4 6" xfId="3317"/>
    <cellStyle name="Normal 4 6 2" xfId="4493"/>
    <cellStyle name="Normal 4 7" xfId="3318"/>
    <cellStyle name="Normal 4 7 2" xfId="4494"/>
    <cellStyle name="Normal 4 8" xfId="3319"/>
    <cellStyle name="Normal 4 8 2" xfId="4495"/>
    <cellStyle name="Normal 4 9" xfId="3320"/>
    <cellStyle name="Normal 4 9 2" xfId="4496"/>
    <cellStyle name="Normal 4_. PROVISION Dec-2011" xfId="3321"/>
    <cellStyle name="Normal 40" xfId="3322"/>
    <cellStyle name="Normal 41" xfId="3323"/>
    <cellStyle name="Normal 41 2" xfId="4497"/>
    <cellStyle name="Normal 42" xfId="3324"/>
    <cellStyle name="Normal 42 2" xfId="4498"/>
    <cellStyle name="Normal 43" xfId="3325"/>
    <cellStyle name="Normal 44" xfId="3326"/>
    <cellStyle name="Normal 45" xfId="3327"/>
    <cellStyle name="Normal 46" xfId="3328"/>
    <cellStyle name="Normal 47" xfId="3329"/>
    <cellStyle name="Normal 48" xfId="3330"/>
    <cellStyle name="Normal 48 2" xfId="3331"/>
    <cellStyle name="Normal 49" xfId="3332"/>
    <cellStyle name="Normal 49 2" xfId="4499"/>
    <cellStyle name="Normal 5" xfId="714"/>
    <cellStyle name="Normal 5 10" xfId="4500"/>
    <cellStyle name="Normal 5 2" xfId="715"/>
    <cellStyle name="Normal 5 2 2" xfId="3333"/>
    <cellStyle name="Normal 5 2 3" xfId="3334"/>
    <cellStyle name="Normal 5 2 3 2" xfId="3335"/>
    <cellStyle name="Normal 5 2 3 2 2" xfId="4503"/>
    <cellStyle name="Normal 5 2 3 3" xfId="4502"/>
    <cellStyle name="Normal 5 2 4" xfId="3336"/>
    <cellStyle name="Normal 5 2 5" xfId="4501"/>
    <cellStyle name="Normal 5 2_1" xfId="3337"/>
    <cellStyle name="Normal 5 3" xfId="716"/>
    <cellStyle name="Normal 5 3 2" xfId="3338"/>
    <cellStyle name="Normal 5 3 2 2" xfId="3339"/>
    <cellStyle name="Normal 5 3 2 2 2" xfId="4505"/>
    <cellStyle name="Normal 5 3 2 3" xfId="4504"/>
    <cellStyle name="Normal 5 4" xfId="3340"/>
    <cellStyle name="Normal 5 4 2" xfId="4506"/>
    <cellStyle name="Normal 5 5" xfId="3341"/>
    <cellStyle name="Normal 5 5 2" xfId="4507"/>
    <cellStyle name="Normal 5 6" xfId="3342"/>
    <cellStyle name="Normal 5 6 2" xfId="4508"/>
    <cellStyle name="Normal 5 7" xfId="3343"/>
    <cellStyle name="Normal 5 7 2" xfId="4509"/>
    <cellStyle name="Normal 5 8" xfId="3344"/>
    <cellStyle name="Normal 5 8 2" xfId="4510"/>
    <cellStyle name="Normal 5 9" xfId="3345"/>
    <cellStyle name="Normal 5 9 2" xfId="4511"/>
    <cellStyle name="Normal 5_. PROVISION Dec-2011" xfId="3346"/>
    <cellStyle name="Normal 50" xfId="3347"/>
    <cellStyle name="Normal 50 2" xfId="4512"/>
    <cellStyle name="Normal 51" xfId="3348"/>
    <cellStyle name="Normal 51 2" xfId="4513"/>
    <cellStyle name="Normal 52" xfId="3349"/>
    <cellStyle name="Normal 52 2" xfId="4514"/>
    <cellStyle name="Normal 53" xfId="3350"/>
    <cellStyle name="Normal 53 2" xfId="4515"/>
    <cellStyle name="Normal 54" xfId="3351"/>
    <cellStyle name="Normal 54 2" xfId="4516"/>
    <cellStyle name="Normal 55" xfId="3352"/>
    <cellStyle name="Normal 55 2" xfId="4517"/>
    <cellStyle name="Normal 56" xfId="3353"/>
    <cellStyle name="Normal 56 2" xfId="4518"/>
    <cellStyle name="Normal 57" xfId="3354"/>
    <cellStyle name="Normal 57 2" xfId="4519"/>
    <cellStyle name="Normal 58" xfId="3355"/>
    <cellStyle name="Normal 58 2" xfId="4520"/>
    <cellStyle name="Normal 59" xfId="3356"/>
    <cellStyle name="Normal 6" xfId="717"/>
    <cellStyle name="Normal 6 2" xfId="718"/>
    <cellStyle name="Normal 6 2 2" xfId="3357"/>
    <cellStyle name="Normal 6 3" xfId="719"/>
    <cellStyle name="Normal 6 3 2" xfId="4522"/>
    <cellStyle name="Normal 6 4" xfId="720"/>
    <cellStyle name="Normal 6 5" xfId="3358"/>
    <cellStyle name="Normal 6 5 2" xfId="4523"/>
    <cellStyle name="Normal 6 6" xfId="4521"/>
    <cellStyle name="Normal 6_. PROVISION Dec-2011" xfId="3359"/>
    <cellStyle name="Normal 60" xfId="3360"/>
    <cellStyle name="Normal 60 2" xfId="4524"/>
    <cellStyle name="Normal 61" xfId="3361"/>
    <cellStyle name="Normal 62" xfId="3362"/>
    <cellStyle name="Normal 62 2" xfId="4525"/>
    <cellStyle name="Normal 63" xfId="4223"/>
    <cellStyle name="Normal 7" xfId="721"/>
    <cellStyle name="Normal 7 10" xfId="4526"/>
    <cellStyle name="Normal 7 2" xfId="3363"/>
    <cellStyle name="Normal 7 2 2" xfId="3364"/>
    <cellStyle name="Normal 7 2 3" xfId="4527"/>
    <cellStyle name="Normal 7 3" xfId="3365"/>
    <cellStyle name="Normal 7 3 2" xfId="4528"/>
    <cellStyle name="Normal 7 4" xfId="3366"/>
    <cellStyle name="Normal 7 4 2" xfId="4529"/>
    <cellStyle name="Normal 7 5" xfId="3367"/>
    <cellStyle name="Normal 7 5 2" xfId="4530"/>
    <cellStyle name="Normal 7 6" xfId="3368"/>
    <cellStyle name="Normal 7 6 2" xfId="4531"/>
    <cellStyle name="Normal 7 7" xfId="3369"/>
    <cellStyle name="Normal 7 7 2" xfId="4532"/>
    <cellStyle name="Normal 7 8" xfId="3370"/>
    <cellStyle name="Normal 7 8 2" xfId="4533"/>
    <cellStyle name="Normal 7 9" xfId="3371"/>
    <cellStyle name="Normal 7 9 2" xfId="4534"/>
    <cellStyle name="Normal 7_. PROVISION Dec-2011" xfId="3372"/>
    <cellStyle name="Normal 8" xfId="722"/>
    <cellStyle name="Normal 8 2" xfId="3373"/>
    <cellStyle name="Normal 8 3" xfId="3374"/>
    <cellStyle name="Normal 8 4" xfId="3375"/>
    <cellStyle name="Normal 8_Book1" xfId="3376"/>
    <cellStyle name="Normal 9" xfId="723"/>
    <cellStyle name="Normal 9 2" xfId="724"/>
    <cellStyle name="Normal 9 3" xfId="725"/>
    <cellStyle name="Normal 9 4" xfId="3377"/>
    <cellStyle name="Normal 9 5" xfId="3378"/>
    <cellStyle name="Normal 9 5 2" xfId="4535"/>
    <cellStyle name="Normal 9_Book1" xfId="3379"/>
    <cellStyle name="Note 10" xfId="3380"/>
    <cellStyle name="Note 10 2" xfId="4536"/>
    <cellStyle name="Note 11" xfId="3381"/>
    <cellStyle name="Note 11 2" xfId="4537"/>
    <cellStyle name="Note 12" xfId="3382"/>
    <cellStyle name="Note 12 2" xfId="4538"/>
    <cellStyle name="Note 13" xfId="3383"/>
    <cellStyle name="Note 13 2" xfId="4539"/>
    <cellStyle name="Note 14" xfId="3384"/>
    <cellStyle name="Note 14 2" xfId="4540"/>
    <cellStyle name="Note 15" xfId="3385"/>
    <cellStyle name="Note 15 2" xfId="4541"/>
    <cellStyle name="Note 16" xfId="3386"/>
    <cellStyle name="Note 16 2" xfId="4542"/>
    <cellStyle name="Note 17" xfId="3387"/>
    <cellStyle name="Note 17 2" xfId="4543"/>
    <cellStyle name="Note 18" xfId="3388"/>
    <cellStyle name="Note 18 2" xfId="4544"/>
    <cellStyle name="Note 19" xfId="3389"/>
    <cellStyle name="Note 2" xfId="726"/>
    <cellStyle name="Note 2 2" xfId="727"/>
    <cellStyle name="Note 2 2 2" xfId="3390"/>
    <cellStyle name="Note 2 2 3" xfId="3391"/>
    <cellStyle name="Note 2 2 4" xfId="3392"/>
    <cellStyle name="Note 2 2 5" xfId="3393"/>
    <cellStyle name="Note 2 2 6" xfId="3394"/>
    <cellStyle name="Note 2 3" xfId="728"/>
    <cellStyle name="Note 2 3 2" xfId="3395"/>
    <cellStyle name="Note 2 3 3" xfId="3396"/>
    <cellStyle name="Note 2 3 4" xfId="3397"/>
    <cellStyle name="Note 2 3 5" xfId="3398"/>
    <cellStyle name="Note 2 3 6" xfId="3399"/>
    <cellStyle name="Note 2 4" xfId="3400"/>
    <cellStyle name="Note 2 4 2" xfId="4545"/>
    <cellStyle name="Note 2 5" xfId="3401"/>
    <cellStyle name="Note 2 5 2" xfId="4546"/>
    <cellStyle name="Note 2 6" xfId="3402"/>
    <cellStyle name="Note 2 6 2" xfId="4547"/>
    <cellStyle name="Note 2 7" xfId="3403"/>
    <cellStyle name="Note 2 7 2" xfId="4548"/>
    <cellStyle name="Note 2 8" xfId="3404"/>
    <cellStyle name="Note 2 8 2" xfId="4549"/>
    <cellStyle name="Note 2 9" xfId="3405"/>
    <cellStyle name="Note 2 9 2" xfId="4550"/>
    <cellStyle name="Note 20" xfId="3406"/>
    <cellStyle name="Note 21" xfId="3407"/>
    <cellStyle name="Note 22" xfId="3408"/>
    <cellStyle name="Note 3" xfId="3409"/>
    <cellStyle name="Note 3 10" xfId="4551"/>
    <cellStyle name="Note 3 2" xfId="3410"/>
    <cellStyle name="Note 3 2 2" xfId="4552"/>
    <cellStyle name="Note 3 3" xfId="3411"/>
    <cellStyle name="Note 3 3 2" xfId="4553"/>
    <cellStyle name="Note 3 4" xfId="3412"/>
    <cellStyle name="Note 3 4 2" xfId="4554"/>
    <cellStyle name="Note 3 5" xfId="3413"/>
    <cellStyle name="Note 3 5 2" xfId="4555"/>
    <cellStyle name="Note 3 6" xfId="3414"/>
    <cellStyle name="Note 3 6 2" xfId="4556"/>
    <cellStyle name="Note 3 7" xfId="3415"/>
    <cellStyle name="Note 3 7 2" xfId="4557"/>
    <cellStyle name="Note 3 8" xfId="3416"/>
    <cellStyle name="Note 3 8 2" xfId="4558"/>
    <cellStyle name="Note 3 9" xfId="3417"/>
    <cellStyle name="Note 3 9 2" xfId="4559"/>
    <cellStyle name="Note 4" xfId="3418"/>
    <cellStyle name="Note 4 10" xfId="4560"/>
    <cellStyle name="Note 4 2" xfId="3419"/>
    <cellStyle name="Note 4 2 2" xfId="4561"/>
    <cellStyle name="Note 4 3" xfId="3420"/>
    <cellStyle name="Note 4 3 2" xfId="4562"/>
    <cellStyle name="Note 4 4" xfId="3421"/>
    <cellStyle name="Note 4 4 2" xfId="4563"/>
    <cellStyle name="Note 4 5" xfId="3422"/>
    <cellStyle name="Note 4 5 2" xfId="4564"/>
    <cellStyle name="Note 4 6" xfId="3423"/>
    <cellStyle name="Note 4 6 2" xfId="4565"/>
    <cellStyle name="Note 4 7" xfId="3424"/>
    <cellStyle name="Note 4 7 2" xfId="4566"/>
    <cellStyle name="Note 4 8" xfId="3425"/>
    <cellStyle name="Note 4 8 2" xfId="4567"/>
    <cellStyle name="Note 4 9" xfId="3426"/>
    <cellStyle name="Note 4 9 2" xfId="4568"/>
    <cellStyle name="Note 5" xfId="3427"/>
    <cellStyle name="Note 5 10" xfId="4569"/>
    <cellStyle name="Note 5 2" xfId="3428"/>
    <cellStyle name="Note 5 2 2" xfId="4570"/>
    <cellStyle name="Note 5 3" xfId="3429"/>
    <cellStyle name="Note 5 3 2" xfId="4571"/>
    <cellStyle name="Note 5 4" xfId="3430"/>
    <cellStyle name="Note 5 4 2" xfId="4572"/>
    <cellStyle name="Note 5 5" xfId="3431"/>
    <cellStyle name="Note 5 5 2" xfId="4573"/>
    <cellStyle name="Note 5 6" xfId="3432"/>
    <cellStyle name="Note 5 6 2" xfId="4574"/>
    <cellStyle name="Note 5 7" xfId="3433"/>
    <cellStyle name="Note 5 7 2" xfId="4575"/>
    <cellStyle name="Note 5 8" xfId="3434"/>
    <cellStyle name="Note 5 8 2" xfId="4576"/>
    <cellStyle name="Note 5 9" xfId="3435"/>
    <cellStyle name="Note 5 9 2" xfId="4577"/>
    <cellStyle name="Note 6" xfId="3436"/>
    <cellStyle name="Note 6 10" xfId="4578"/>
    <cellStyle name="Note 6 2" xfId="3437"/>
    <cellStyle name="Note 6 2 2" xfId="4579"/>
    <cellStyle name="Note 6 3" xfId="3438"/>
    <cellStyle name="Note 6 3 2" xfId="4580"/>
    <cellStyle name="Note 6 4" xfId="3439"/>
    <cellStyle name="Note 6 4 2" xfId="4581"/>
    <cellStyle name="Note 6 5" xfId="3440"/>
    <cellStyle name="Note 6 5 2" xfId="4582"/>
    <cellStyle name="Note 6 6" xfId="3441"/>
    <cellStyle name="Note 6 6 2" xfId="4583"/>
    <cellStyle name="Note 6 7" xfId="3442"/>
    <cellStyle name="Note 6 7 2" xfId="4584"/>
    <cellStyle name="Note 6 8" xfId="3443"/>
    <cellStyle name="Note 6 8 2" xfId="4585"/>
    <cellStyle name="Note 6 9" xfId="3444"/>
    <cellStyle name="Note 6 9 2" xfId="4586"/>
    <cellStyle name="Note 7" xfId="3445"/>
    <cellStyle name="Note 7 10" xfId="4587"/>
    <cellStyle name="Note 7 2" xfId="3446"/>
    <cellStyle name="Note 7 2 2" xfId="4588"/>
    <cellStyle name="Note 7 3" xfId="3447"/>
    <cellStyle name="Note 7 3 2" xfId="4589"/>
    <cellStyle name="Note 7 4" xfId="3448"/>
    <cellStyle name="Note 7 4 2" xfId="4590"/>
    <cellStyle name="Note 7 5" xfId="3449"/>
    <cellStyle name="Note 7 5 2" xfId="4591"/>
    <cellStyle name="Note 7 6" xfId="3450"/>
    <cellStyle name="Note 7 6 2" xfId="4592"/>
    <cellStyle name="Note 7 7" xfId="3451"/>
    <cellStyle name="Note 7 7 2" xfId="4593"/>
    <cellStyle name="Note 7 8" xfId="3452"/>
    <cellStyle name="Note 7 8 2" xfId="4594"/>
    <cellStyle name="Note 7 9" xfId="3453"/>
    <cellStyle name="Note 7 9 2" xfId="4595"/>
    <cellStyle name="Note 8" xfId="3454"/>
    <cellStyle name="Note 8 2" xfId="4596"/>
    <cellStyle name="Note 9" xfId="3455"/>
    <cellStyle name="Note 9 2" xfId="4597"/>
    <cellStyle name="number" xfId="3456"/>
    <cellStyle name="number 2" xfId="3457"/>
    <cellStyle name="number 3" xfId="3458"/>
    <cellStyle name="Œ…‹æØ‚è [0.00]_laroux" xfId="3459"/>
    <cellStyle name="Œ…‹æØ‚è_laroux" xfId="3460"/>
    <cellStyle name="Option" xfId="3461"/>
    <cellStyle name="Output 10" xfId="3462"/>
    <cellStyle name="Output 11" xfId="3463"/>
    <cellStyle name="Output 12" xfId="3464"/>
    <cellStyle name="Output 13" xfId="3465"/>
    <cellStyle name="Output 14" xfId="3466"/>
    <cellStyle name="Output 15" xfId="3467"/>
    <cellStyle name="Output 16" xfId="3468"/>
    <cellStyle name="Output 17" xfId="3469"/>
    <cellStyle name="Output 18" xfId="3470"/>
    <cellStyle name="Output 19" xfId="3471"/>
    <cellStyle name="Output 2" xfId="729"/>
    <cellStyle name="Output 2 2" xfId="730"/>
    <cellStyle name="Output 2 2 2" xfId="3472"/>
    <cellStyle name="Output 2 2 3" xfId="3473"/>
    <cellStyle name="Output 2 2 4" xfId="3474"/>
    <cellStyle name="Output 2 2 5" xfId="3475"/>
    <cellStyle name="Output 2 2 6" xfId="3476"/>
    <cellStyle name="Output 2 3" xfId="731"/>
    <cellStyle name="Output 2 3 2" xfId="3477"/>
    <cellStyle name="Output 2 3 3" xfId="3478"/>
    <cellStyle name="Output 2 3 4" xfId="3479"/>
    <cellStyle name="Output 2 3 5" xfId="3480"/>
    <cellStyle name="Output 2 3 6" xfId="3481"/>
    <cellStyle name="Output 2 4" xfId="3482"/>
    <cellStyle name="Output 2 5" xfId="3483"/>
    <cellStyle name="Output 2 6" xfId="3484"/>
    <cellStyle name="Output 2 7" xfId="3485"/>
    <cellStyle name="Output 2 8" xfId="3486"/>
    <cellStyle name="Output 20" xfId="3487"/>
    <cellStyle name="Output 3" xfId="3488"/>
    <cellStyle name="Output 3 2" xfId="3489"/>
    <cellStyle name="Output 3 3" xfId="3490"/>
    <cellStyle name="Output 3 4" xfId="3491"/>
    <cellStyle name="Output 4" xfId="3492"/>
    <cellStyle name="Output 5" xfId="3493"/>
    <cellStyle name="Output 6" xfId="3494"/>
    <cellStyle name="Output 7" xfId="3495"/>
    <cellStyle name="Output 8" xfId="3496"/>
    <cellStyle name="Output 9" xfId="3497"/>
    <cellStyle name="OverHead" xfId="3498"/>
    <cellStyle name="Page Number" xfId="3499"/>
    <cellStyle name="Pattern" xfId="3500"/>
    <cellStyle name="Percent" xfId="732" builtinId="5"/>
    <cellStyle name="Percent [0]" xfId="3501"/>
    <cellStyle name="Percent [00]" xfId="3502"/>
    <cellStyle name="Percent [2]" xfId="3503"/>
    <cellStyle name="Percent 10" xfId="733"/>
    <cellStyle name="Percent 10 2" xfId="4598"/>
    <cellStyle name="Percent 11" xfId="905"/>
    <cellStyle name="Percent 11 2" xfId="4599"/>
    <cellStyle name="Percent 12" xfId="3504"/>
    <cellStyle name="Percent 13" xfId="3505"/>
    <cellStyle name="Percent 14" xfId="3506"/>
    <cellStyle name="Percent 15" xfId="3507"/>
    <cellStyle name="Percent 16" xfId="3508"/>
    <cellStyle name="Percent 17" xfId="3509"/>
    <cellStyle name="Percent 18" xfId="3510"/>
    <cellStyle name="Percent 19" xfId="3511"/>
    <cellStyle name="Percent 2" xfId="734"/>
    <cellStyle name="Percent 2 2" xfId="735"/>
    <cellStyle name="Percent 2 2 2" xfId="736"/>
    <cellStyle name="Percent 2 2 3" xfId="737"/>
    <cellStyle name="Percent 2 3" xfId="738"/>
    <cellStyle name="Percent 2 4" xfId="739"/>
    <cellStyle name="Percent 2 4 2" xfId="4600"/>
    <cellStyle name="Percent 2 5" xfId="740"/>
    <cellStyle name="Percent 2 6" xfId="741"/>
    <cellStyle name="Percent 20" xfId="3512"/>
    <cellStyle name="Percent 21" xfId="3513"/>
    <cellStyle name="Percent 3" xfId="742"/>
    <cellStyle name="Percent 3 2" xfId="743"/>
    <cellStyle name="Percent 3 3" xfId="3514"/>
    <cellStyle name="Percent 3 3 2" xfId="4601"/>
    <cellStyle name="Percent 4" xfId="744"/>
    <cellStyle name="Percent 4 2" xfId="745"/>
    <cellStyle name="Percent 4 3" xfId="4602"/>
    <cellStyle name="Percent 5" xfId="746"/>
    <cellStyle name="Percent 5 2" xfId="747"/>
    <cellStyle name="Percent 5 3" xfId="4603"/>
    <cellStyle name="Percent 6" xfId="748"/>
    <cellStyle name="Percent 6 2" xfId="3515"/>
    <cellStyle name="Percent 7" xfId="749"/>
    <cellStyle name="Percent 8" xfId="750"/>
    <cellStyle name="Percent 8 2" xfId="4604"/>
    <cellStyle name="Percent 9" xfId="751"/>
    <cellStyle name="PERCENTAGE" xfId="3516"/>
    <cellStyle name="Periode" xfId="3517"/>
    <cellStyle name="Popis" xfId="3518"/>
    <cellStyle name="Porcentaje" xfId="3519"/>
    <cellStyle name="PrePop Currency (0)" xfId="3520"/>
    <cellStyle name="PrePop Currency (2)" xfId="3521"/>
    <cellStyle name="PrePop Units (0)" xfId="3522"/>
    <cellStyle name="PrePop Units (1)" xfId="3523"/>
    <cellStyle name="PrePop Units (2)" xfId="3524"/>
    <cellStyle name="PSChar" xfId="3525"/>
    <cellStyle name="PSDate" xfId="3526"/>
    <cellStyle name="PSDec" xfId="3527"/>
    <cellStyle name="PSHeading" xfId="3528"/>
    <cellStyle name="PSInt" xfId="3529"/>
    <cellStyle name="PSSpacer" xfId="3530"/>
    <cellStyle name="Quantity" xfId="3531"/>
    <cellStyle name="Region" xfId="3532"/>
    <cellStyle name="Reset  - Style7" xfId="752"/>
    <cellStyle name="Reset range style to defaults" xfId="753"/>
    <cellStyle name="RevList" xfId="3533"/>
    <cellStyle name="RM" xfId="3534"/>
    <cellStyle name="SAPBEXaggData" xfId="754"/>
    <cellStyle name="SAPBEXaggData 2" xfId="755"/>
    <cellStyle name="SAPBEXaggData 2 2" xfId="3535"/>
    <cellStyle name="SAPBEXaggData 2 3" xfId="3536"/>
    <cellStyle name="SAPBEXaggData 2 4" xfId="3537"/>
    <cellStyle name="SAPBEXaggData 2 5" xfId="3538"/>
    <cellStyle name="SAPBEXaggData 2 6" xfId="3539"/>
    <cellStyle name="SAPBEXaggData 3" xfId="756"/>
    <cellStyle name="SAPBEXaggData 3 2" xfId="3540"/>
    <cellStyle name="SAPBEXaggData 3 3" xfId="3541"/>
    <cellStyle name="SAPBEXaggData 3 4" xfId="3542"/>
    <cellStyle name="SAPBEXaggData 3 5" xfId="3543"/>
    <cellStyle name="SAPBEXaggData 3 6" xfId="3544"/>
    <cellStyle name="SAPBEXaggData 4" xfId="3545"/>
    <cellStyle name="SAPBEXaggData 5" xfId="3546"/>
    <cellStyle name="SAPBEXaggData 6" xfId="3547"/>
    <cellStyle name="SAPBEXaggData 7" xfId="3548"/>
    <cellStyle name="SAPBEXaggData 8" xfId="3549"/>
    <cellStyle name="SAPBEXaggDataEmph" xfId="757"/>
    <cellStyle name="SAPBEXaggDataEmph 2" xfId="758"/>
    <cellStyle name="SAPBEXaggDataEmph 2 2" xfId="3550"/>
    <cellStyle name="SAPBEXaggDataEmph 2 3" xfId="3551"/>
    <cellStyle name="SAPBEXaggDataEmph 2 4" xfId="3552"/>
    <cellStyle name="SAPBEXaggDataEmph 2 5" xfId="3553"/>
    <cellStyle name="SAPBEXaggDataEmph 2 6" xfId="3554"/>
    <cellStyle name="SAPBEXaggDataEmph 3" xfId="759"/>
    <cellStyle name="SAPBEXaggDataEmph 3 2" xfId="3555"/>
    <cellStyle name="SAPBEXaggDataEmph 3 3" xfId="3556"/>
    <cellStyle name="SAPBEXaggDataEmph 3 4" xfId="3557"/>
    <cellStyle name="SAPBEXaggDataEmph 3 5" xfId="3558"/>
    <cellStyle name="SAPBEXaggDataEmph 3 6" xfId="3559"/>
    <cellStyle name="SAPBEXaggDataEmph 4" xfId="3560"/>
    <cellStyle name="SAPBEXaggDataEmph 5" xfId="3561"/>
    <cellStyle name="SAPBEXaggDataEmph 6" xfId="3562"/>
    <cellStyle name="SAPBEXaggDataEmph 7" xfId="3563"/>
    <cellStyle name="SAPBEXaggDataEmph 8" xfId="3564"/>
    <cellStyle name="SAPBEXaggItem" xfId="760"/>
    <cellStyle name="SAPBEXaggItem 2" xfId="761"/>
    <cellStyle name="SAPBEXaggItem 2 2" xfId="3565"/>
    <cellStyle name="SAPBEXaggItem 2 3" xfId="3566"/>
    <cellStyle name="SAPBEXaggItem 2 4" xfId="3567"/>
    <cellStyle name="SAPBEXaggItem 2 5" xfId="3568"/>
    <cellStyle name="SAPBEXaggItem 2 6" xfId="3569"/>
    <cellStyle name="SAPBEXaggItem 3" xfId="762"/>
    <cellStyle name="SAPBEXaggItem 3 2" xfId="3570"/>
    <cellStyle name="SAPBEXaggItem 3 3" xfId="3571"/>
    <cellStyle name="SAPBEXaggItem 3 4" xfId="3572"/>
    <cellStyle name="SAPBEXaggItem 3 5" xfId="3573"/>
    <cellStyle name="SAPBEXaggItem 3 6" xfId="3574"/>
    <cellStyle name="SAPBEXaggItem 4" xfId="3575"/>
    <cellStyle name="SAPBEXaggItem 5" xfId="3576"/>
    <cellStyle name="SAPBEXaggItem 6" xfId="3577"/>
    <cellStyle name="SAPBEXaggItem 7" xfId="3578"/>
    <cellStyle name="SAPBEXaggItem 8" xfId="3579"/>
    <cellStyle name="SAPBEXaggItemX" xfId="763"/>
    <cellStyle name="SAPBEXaggItemX 2" xfId="764"/>
    <cellStyle name="SAPBEXaggItemX 2 2" xfId="3580"/>
    <cellStyle name="SAPBEXaggItemX 2 3" xfId="3581"/>
    <cellStyle name="SAPBEXaggItemX 2 4" xfId="3582"/>
    <cellStyle name="SAPBEXaggItemX 2 5" xfId="3583"/>
    <cellStyle name="SAPBEXaggItemX 2 6" xfId="3584"/>
    <cellStyle name="SAPBEXaggItemX 3" xfId="765"/>
    <cellStyle name="SAPBEXaggItemX 3 2" xfId="3585"/>
    <cellStyle name="SAPBEXaggItemX 3 3" xfId="3586"/>
    <cellStyle name="SAPBEXaggItemX 3 4" xfId="3587"/>
    <cellStyle name="SAPBEXaggItemX 3 5" xfId="3588"/>
    <cellStyle name="SAPBEXaggItemX 3 6" xfId="3589"/>
    <cellStyle name="SAPBEXaggItemX 4" xfId="3590"/>
    <cellStyle name="SAPBEXaggItemX 5" xfId="3591"/>
    <cellStyle name="SAPBEXaggItemX 6" xfId="3592"/>
    <cellStyle name="SAPBEXaggItemX 7" xfId="3593"/>
    <cellStyle name="SAPBEXaggItemX 8" xfId="3594"/>
    <cellStyle name="SAPBEXchaText" xfId="766"/>
    <cellStyle name="SAPBEXchaText 2" xfId="3595"/>
    <cellStyle name="SAPBEXexcBad7" xfId="767"/>
    <cellStyle name="SAPBEXexcBad7 2" xfId="768"/>
    <cellStyle name="SAPBEXexcBad7 2 2" xfId="3596"/>
    <cellStyle name="SAPBEXexcBad7 2 3" xfId="3597"/>
    <cellStyle name="SAPBEXexcBad7 2 4" xfId="3598"/>
    <cellStyle name="SAPBEXexcBad7 2 5" xfId="3599"/>
    <cellStyle name="SAPBEXexcBad7 2 6" xfId="3600"/>
    <cellStyle name="SAPBEXexcBad7 3" xfId="769"/>
    <cellStyle name="SAPBEXexcBad7 3 2" xfId="3601"/>
    <cellStyle name="SAPBEXexcBad7 3 3" xfId="3602"/>
    <cellStyle name="SAPBEXexcBad7 3 4" xfId="3603"/>
    <cellStyle name="SAPBEXexcBad7 3 5" xfId="3604"/>
    <cellStyle name="SAPBEXexcBad7 3 6" xfId="3605"/>
    <cellStyle name="SAPBEXexcBad7 4" xfId="3606"/>
    <cellStyle name="SAPBEXexcBad7 5" xfId="3607"/>
    <cellStyle name="SAPBEXexcBad7 6" xfId="3608"/>
    <cellStyle name="SAPBEXexcBad7 7" xfId="3609"/>
    <cellStyle name="SAPBEXexcBad7 8" xfId="3610"/>
    <cellStyle name="SAPBEXexcBad8" xfId="770"/>
    <cellStyle name="SAPBEXexcBad8 2" xfId="771"/>
    <cellStyle name="SAPBEXexcBad8 2 2" xfId="3611"/>
    <cellStyle name="SAPBEXexcBad8 2 3" xfId="3612"/>
    <cellStyle name="SAPBEXexcBad8 2 4" xfId="3613"/>
    <cellStyle name="SAPBEXexcBad8 2 5" xfId="3614"/>
    <cellStyle name="SAPBEXexcBad8 2 6" xfId="3615"/>
    <cellStyle name="SAPBEXexcBad8 3" xfId="772"/>
    <cellStyle name="SAPBEXexcBad8 3 2" xfId="3616"/>
    <cellStyle name="SAPBEXexcBad8 3 3" xfId="3617"/>
    <cellStyle name="SAPBEXexcBad8 3 4" xfId="3618"/>
    <cellStyle name="SAPBEXexcBad8 3 5" xfId="3619"/>
    <cellStyle name="SAPBEXexcBad8 3 6" xfId="3620"/>
    <cellStyle name="SAPBEXexcBad8 4" xfId="3621"/>
    <cellStyle name="SAPBEXexcBad8 5" xfId="3622"/>
    <cellStyle name="SAPBEXexcBad8 6" xfId="3623"/>
    <cellStyle name="SAPBEXexcBad8 7" xfId="3624"/>
    <cellStyle name="SAPBEXexcBad8 8" xfId="3625"/>
    <cellStyle name="SAPBEXexcBad9" xfId="773"/>
    <cellStyle name="SAPBEXexcBad9 2" xfId="774"/>
    <cellStyle name="SAPBEXexcBad9 2 2" xfId="3626"/>
    <cellStyle name="SAPBEXexcBad9 2 3" xfId="3627"/>
    <cellStyle name="SAPBEXexcBad9 2 4" xfId="3628"/>
    <cellStyle name="SAPBEXexcBad9 2 5" xfId="3629"/>
    <cellStyle name="SAPBEXexcBad9 2 6" xfId="3630"/>
    <cellStyle name="SAPBEXexcBad9 3" xfId="775"/>
    <cellStyle name="SAPBEXexcBad9 3 2" xfId="3631"/>
    <cellStyle name="SAPBEXexcBad9 3 3" xfId="3632"/>
    <cellStyle name="SAPBEXexcBad9 3 4" xfId="3633"/>
    <cellStyle name="SAPBEXexcBad9 3 5" xfId="3634"/>
    <cellStyle name="SAPBEXexcBad9 3 6" xfId="3635"/>
    <cellStyle name="SAPBEXexcBad9 4" xfId="3636"/>
    <cellStyle name="SAPBEXexcBad9 5" xfId="3637"/>
    <cellStyle name="SAPBEXexcBad9 6" xfId="3638"/>
    <cellStyle name="SAPBEXexcBad9 7" xfId="3639"/>
    <cellStyle name="SAPBEXexcBad9 8" xfId="3640"/>
    <cellStyle name="SAPBEXexcCritical4" xfId="776"/>
    <cellStyle name="SAPBEXexcCritical4 2" xfId="777"/>
    <cellStyle name="SAPBEXexcCritical4 2 2" xfId="3641"/>
    <cellStyle name="SAPBEXexcCritical4 2 3" xfId="3642"/>
    <cellStyle name="SAPBEXexcCritical4 2 4" xfId="3643"/>
    <cellStyle name="SAPBEXexcCritical4 2 5" xfId="3644"/>
    <cellStyle name="SAPBEXexcCritical4 2 6" xfId="3645"/>
    <cellStyle name="SAPBEXexcCritical4 3" xfId="778"/>
    <cellStyle name="SAPBEXexcCritical4 3 2" xfId="3646"/>
    <cellStyle name="SAPBEXexcCritical4 3 3" xfId="3647"/>
    <cellStyle name="SAPBEXexcCritical4 3 4" xfId="3648"/>
    <cellStyle name="SAPBEXexcCritical4 3 5" xfId="3649"/>
    <cellStyle name="SAPBEXexcCritical4 3 6" xfId="3650"/>
    <cellStyle name="SAPBEXexcCritical4 4" xfId="3651"/>
    <cellStyle name="SAPBEXexcCritical4 5" xfId="3652"/>
    <cellStyle name="SAPBEXexcCritical4 6" xfId="3653"/>
    <cellStyle name="SAPBEXexcCritical4 7" xfId="3654"/>
    <cellStyle name="SAPBEXexcCritical4 8" xfId="3655"/>
    <cellStyle name="SAPBEXexcCritical5" xfId="779"/>
    <cellStyle name="SAPBEXexcCritical5 2" xfId="780"/>
    <cellStyle name="SAPBEXexcCritical5 2 2" xfId="3656"/>
    <cellStyle name="SAPBEXexcCritical5 2 3" xfId="3657"/>
    <cellStyle name="SAPBEXexcCritical5 2 4" xfId="3658"/>
    <cellStyle name="SAPBEXexcCritical5 2 5" xfId="3659"/>
    <cellStyle name="SAPBEXexcCritical5 2 6" xfId="3660"/>
    <cellStyle name="SAPBEXexcCritical5 3" xfId="781"/>
    <cellStyle name="SAPBEXexcCritical5 3 2" xfId="3661"/>
    <cellStyle name="SAPBEXexcCritical5 3 3" xfId="3662"/>
    <cellStyle name="SAPBEXexcCritical5 3 4" xfId="3663"/>
    <cellStyle name="SAPBEXexcCritical5 3 5" xfId="3664"/>
    <cellStyle name="SAPBEXexcCritical5 3 6" xfId="3665"/>
    <cellStyle name="SAPBEXexcCritical5 4" xfId="3666"/>
    <cellStyle name="SAPBEXexcCritical5 5" xfId="3667"/>
    <cellStyle name="SAPBEXexcCritical5 6" xfId="3668"/>
    <cellStyle name="SAPBEXexcCritical5 7" xfId="3669"/>
    <cellStyle name="SAPBEXexcCritical5 8" xfId="3670"/>
    <cellStyle name="SAPBEXexcCritical6" xfId="782"/>
    <cellStyle name="SAPBEXexcCritical6 2" xfId="783"/>
    <cellStyle name="SAPBEXexcCritical6 2 2" xfId="3671"/>
    <cellStyle name="SAPBEXexcCritical6 2 3" xfId="3672"/>
    <cellStyle name="SAPBEXexcCritical6 2 4" xfId="3673"/>
    <cellStyle name="SAPBEXexcCritical6 2 5" xfId="3674"/>
    <cellStyle name="SAPBEXexcCritical6 2 6" xfId="3675"/>
    <cellStyle name="SAPBEXexcCritical6 3" xfId="784"/>
    <cellStyle name="SAPBEXexcCritical6 3 2" xfId="3676"/>
    <cellStyle name="SAPBEXexcCritical6 3 3" xfId="3677"/>
    <cellStyle name="SAPBEXexcCritical6 3 4" xfId="3678"/>
    <cellStyle name="SAPBEXexcCritical6 3 5" xfId="3679"/>
    <cellStyle name="SAPBEXexcCritical6 3 6" xfId="3680"/>
    <cellStyle name="SAPBEXexcCritical6 4" xfId="3681"/>
    <cellStyle name="SAPBEXexcCritical6 5" xfId="3682"/>
    <cellStyle name="SAPBEXexcCritical6 6" xfId="3683"/>
    <cellStyle name="SAPBEXexcCritical6 7" xfId="3684"/>
    <cellStyle name="SAPBEXexcCritical6 8" xfId="3685"/>
    <cellStyle name="SAPBEXexcGood1" xfId="785"/>
    <cellStyle name="SAPBEXexcGood1 2" xfId="786"/>
    <cellStyle name="SAPBEXexcGood1 2 2" xfId="3686"/>
    <cellStyle name="SAPBEXexcGood1 2 3" xfId="3687"/>
    <cellStyle name="SAPBEXexcGood1 2 4" xfId="3688"/>
    <cellStyle name="SAPBEXexcGood1 2 5" xfId="3689"/>
    <cellStyle name="SAPBEXexcGood1 2 6" xfId="3690"/>
    <cellStyle name="SAPBEXexcGood1 3" xfId="787"/>
    <cellStyle name="SAPBEXexcGood1 3 2" xfId="3691"/>
    <cellStyle name="SAPBEXexcGood1 3 3" xfId="3692"/>
    <cellStyle name="SAPBEXexcGood1 3 4" xfId="3693"/>
    <cellStyle name="SAPBEXexcGood1 3 5" xfId="3694"/>
    <cellStyle name="SAPBEXexcGood1 3 6" xfId="3695"/>
    <cellStyle name="SAPBEXexcGood1 4" xfId="3696"/>
    <cellStyle name="SAPBEXexcGood1 5" xfId="3697"/>
    <cellStyle name="SAPBEXexcGood1 6" xfId="3698"/>
    <cellStyle name="SAPBEXexcGood1 7" xfId="3699"/>
    <cellStyle name="SAPBEXexcGood1 8" xfId="3700"/>
    <cellStyle name="SAPBEXexcGood2" xfId="788"/>
    <cellStyle name="SAPBEXexcGood2 2" xfId="789"/>
    <cellStyle name="SAPBEXexcGood2 2 2" xfId="3701"/>
    <cellStyle name="SAPBEXexcGood2 2 3" xfId="3702"/>
    <cellStyle name="SAPBEXexcGood2 2 4" xfId="3703"/>
    <cellStyle name="SAPBEXexcGood2 2 5" xfId="3704"/>
    <cellStyle name="SAPBEXexcGood2 2 6" xfId="3705"/>
    <cellStyle name="SAPBEXexcGood2 3" xfId="790"/>
    <cellStyle name="SAPBEXexcGood2 3 2" xfId="3706"/>
    <cellStyle name="SAPBEXexcGood2 3 3" xfId="3707"/>
    <cellStyle name="SAPBEXexcGood2 3 4" xfId="3708"/>
    <cellStyle name="SAPBEXexcGood2 3 5" xfId="3709"/>
    <cellStyle name="SAPBEXexcGood2 3 6" xfId="3710"/>
    <cellStyle name="SAPBEXexcGood2 4" xfId="3711"/>
    <cellStyle name="SAPBEXexcGood2 5" xfId="3712"/>
    <cellStyle name="SAPBEXexcGood2 6" xfId="3713"/>
    <cellStyle name="SAPBEXexcGood2 7" xfId="3714"/>
    <cellStyle name="SAPBEXexcGood2 8" xfId="3715"/>
    <cellStyle name="SAPBEXexcGood3" xfId="791"/>
    <cellStyle name="SAPBEXexcGood3 2" xfId="792"/>
    <cellStyle name="SAPBEXexcGood3 2 2" xfId="3716"/>
    <cellStyle name="SAPBEXexcGood3 2 3" xfId="3717"/>
    <cellStyle name="SAPBEXexcGood3 2 4" xfId="3718"/>
    <cellStyle name="SAPBEXexcGood3 2 5" xfId="3719"/>
    <cellStyle name="SAPBEXexcGood3 2 6" xfId="3720"/>
    <cellStyle name="SAPBEXexcGood3 3" xfId="793"/>
    <cellStyle name="SAPBEXexcGood3 3 2" xfId="3721"/>
    <cellStyle name="SAPBEXexcGood3 3 3" xfId="3722"/>
    <cellStyle name="SAPBEXexcGood3 3 4" xfId="3723"/>
    <cellStyle name="SAPBEXexcGood3 3 5" xfId="3724"/>
    <cellStyle name="SAPBEXexcGood3 3 6" xfId="3725"/>
    <cellStyle name="SAPBEXexcGood3 4" xfId="3726"/>
    <cellStyle name="SAPBEXexcGood3 5" xfId="3727"/>
    <cellStyle name="SAPBEXexcGood3 6" xfId="3728"/>
    <cellStyle name="SAPBEXexcGood3 7" xfId="3729"/>
    <cellStyle name="SAPBEXexcGood3 8" xfId="3730"/>
    <cellStyle name="SAPBEXfilterDrill" xfId="794"/>
    <cellStyle name="SAPBEXfilterDrill 2" xfId="3731"/>
    <cellStyle name="SAPBEXfilterItem" xfId="795"/>
    <cellStyle name="SAPBEXfilterItem 2" xfId="3732"/>
    <cellStyle name="SAPBEXfilterText" xfId="796"/>
    <cellStyle name="SAPBEXfilterText 2" xfId="3733"/>
    <cellStyle name="SAPBEXformats" xfId="797"/>
    <cellStyle name="SAPBEXformats 2" xfId="798"/>
    <cellStyle name="SAPBEXformats 2 2" xfId="3734"/>
    <cellStyle name="SAPBEXformats 2 3" xfId="3735"/>
    <cellStyle name="SAPBEXformats 2 4" xfId="3736"/>
    <cellStyle name="SAPBEXformats 2 5" xfId="3737"/>
    <cellStyle name="SAPBEXformats 2 6" xfId="3738"/>
    <cellStyle name="SAPBEXformats 3" xfId="799"/>
    <cellStyle name="SAPBEXformats 3 2" xfId="3739"/>
    <cellStyle name="SAPBEXformats 3 3" xfId="3740"/>
    <cellStyle name="SAPBEXformats 3 4" xfId="3741"/>
    <cellStyle name="SAPBEXformats 3 5" xfId="3742"/>
    <cellStyle name="SAPBEXformats 3 6" xfId="3743"/>
    <cellStyle name="SAPBEXformats 4" xfId="3744"/>
    <cellStyle name="SAPBEXformats 5" xfId="3745"/>
    <cellStyle name="SAPBEXformats 6" xfId="3746"/>
    <cellStyle name="SAPBEXformats 7" xfId="3747"/>
    <cellStyle name="SAPBEXformats 8" xfId="3748"/>
    <cellStyle name="SAPBEXheaderItem" xfId="800"/>
    <cellStyle name="SAPBEXheaderItem 2" xfId="3749"/>
    <cellStyle name="SAPBEXheaderText" xfId="801"/>
    <cellStyle name="SAPBEXheaderText 2" xfId="3750"/>
    <cellStyle name="SAPBEXHLevel0" xfId="802"/>
    <cellStyle name="SAPBEXHLevel0 2" xfId="803"/>
    <cellStyle name="SAPBEXHLevel0 2 2" xfId="3751"/>
    <cellStyle name="SAPBEXHLevel0 2 3" xfId="3752"/>
    <cellStyle name="SAPBEXHLevel0 2 4" xfId="3753"/>
    <cellStyle name="SAPBEXHLevel0 2 5" xfId="3754"/>
    <cellStyle name="SAPBEXHLevel0 2 6" xfId="3755"/>
    <cellStyle name="SAPBEXHLevel0 3" xfId="804"/>
    <cellStyle name="SAPBEXHLevel0 3 2" xfId="3756"/>
    <cellStyle name="SAPBEXHLevel0 3 3" xfId="3757"/>
    <cellStyle name="SAPBEXHLevel0 3 4" xfId="3758"/>
    <cellStyle name="SAPBEXHLevel0 3 5" xfId="3759"/>
    <cellStyle name="SAPBEXHLevel0 3 6" xfId="3760"/>
    <cellStyle name="SAPBEXHLevel0 4" xfId="3761"/>
    <cellStyle name="SAPBEXHLevel0 5" xfId="3762"/>
    <cellStyle name="SAPBEXHLevel0 6" xfId="3763"/>
    <cellStyle name="SAPBEXHLevel0 7" xfId="3764"/>
    <cellStyle name="SAPBEXHLevel0 8" xfId="3765"/>
    <cellStyle name="SAPBEXHLevel0X" xfId="805"/>
    <cellStyle name="SAPBEXHLevel0X 2" xfId="806"/>
    <cellStyle name="SAPBEXHLevel0X 2 2" xfId="3766"/>
    <cellStyle name="SAPBEXHLevel0X 2 3" xfId="3767"/>
    <cellStyle name="SAPBEXHLevel0X 2 4" xfId="3768"/>
    <cellStyle name="SAPBEXHLevel0X 2 5" xfId="3769"/>
    <cellStyle name="SAPBEXHLevel0X 2 6" xfId="3770"/>
    <cellStyle name="SAPBEXHLevel0X 3" xfId="807"/>
    <cellStyle name="SAPBEXHLevel0X 3 2" xfId="3771"/>
    <cellStyle name="SAPBEXHLevel0X 3 3" xfId="3772"/>
    <cellStyle name="SAPBEXHLevel0X 3 4" xfId="3773"/>
    <cellStyle name="SAPBEXHLevel0X 3 5" xfId="3774"/>
    <cellStyle name="SAPBEXHLevel0X 3 6" xfId="3775"/>
    <cellStyle name="SAPBEXHLevel0X 4" xfId="3776"/>
    <cellStyle name="SAPBEXHLevel0X 5" xfId="3777"/>
    <cellStyle name="SAPBEXHLevel0X 6" xfId="3778"/>
    <cellStyle name="SAPBEXHLevel0X 7" xfId="3779"/>
    <cellStyle name="SAPBEXHLevel0X 8" xfId="3780"/>
    <cellStyle name="SAPBEXHLevel1" xfId="808"/>
    <cellStyle name="SAPBEXHLevel1 2" xfId="809"/>
    <cellStyle name="SAPBEXHLevel1 2 2" xfId="3781"/>
    <cellStyle name="SAPBEXHLevel1 2 3" xfId="3782"/>
    <cellStyle name="SAPBEXHLevel1 2 4" xfId="3783"/>
    <cellStyle name="SAPBEXHLevel1 2 5" xfId="3784"/>
    <cellStyle name="SAPBEXHLevel1 2 6" xfId="3785"/>
    <cellStyle name="SAPBEXHLevel1 3" xfId="810"/>
    <cellStyle name="SAPBEXHLevel1 3 2" xfId="3786"/>
    <cellStyle name="SAPBEXHLevel1 3 3" xfId="3787"/>
    <cellStyle name="SAPBEXHLevel1 3 4" xfId="3788"/>
    <cellStyle name="SAPBEXHLevel1 3 5" xfId="3789"/>
    <cellStyle name="SAPBEXHLevel1 3 6" xfId="3790"/>
    <cellStyle name="SAPBEXHLevel1 4" xfId="3791"/>
    <cellStyle name="SAPBEXHLevel1 5" xfId="3792"/>
    <cellStyle name="SAPBEXHLevel1 6" xfId="3793"/>
    <cellStyle name="SAPBEXHLevel1 7" xfId="3794"/>
    <cellStyle name="SAPBEXHLevel1 8" xfId="3795"/>
    <cellStyle name="SAPBEXHLevel1X" xfId="811"/>
    <cellStyle name="SAPBEXHLevel1X 2" xfId="812"/>
    <cellStyle name="SAPBEXHLevel1X 2 2" xfId="3796"/>
    <cellStyle name="SAPBEXHLevel1X 2 3" xfId="3797"/>
    <cellStyle name="SAPBEXHLevel1X 2 4" xfId="3798"/>
    <cellStyle name="SAPBEXHLevel1X 2 5" xfId="3799"/>
    <cellStyle name="SAPBEXHLevel1X 2 6" xfId="3800"/>
    <cellStyle name="SAPBEXHLevel1X 3" xfId="813"/>
    <cellStyle name="SAPBEXHLevel1X 3 2" xfId="3801"/>
    <cellStyle name="SAPBEXHLevel1X 3 3" xfId="3802"/>
    <cellStyle name="SAPBEXHLevel1X 3 4" xfId="3803"/>
    <cellStyle name="SAPBEXHLevel1X 3 5" xfId="3804"/>
    <cellStyle name="SAPBEXHLevel1X 3 6" xfId="3805"/>
    <cellStyle name="SAPBEXHLevel1X 4" xfId="3806"/>
    <cellStyle name="SAPBEXHLevel1X 5" xfId="3807"/>
    <cellStyle name="SAPBEXHLevel1X 6" xfId="3808"/>
    <cellStyle name="SAPBEXHLevel1X 7" xfId="3809"/>
    <cellStyle name="SAPBEXHLevel1X 8" xfId="3810"/>
    <cellStyle name="SAPBEXHLevel2" xfId="814"/>
    <cellStyle name="SAPBEXHLevel2 2" xfId="815"/>
    <cellStyle name="SAPBEXHLevel2 2 2" xfId="3811"/>
    <cellStyle name="SAPBEXHLevel2 2 3" xfId="3812"/>
    <cellStyle name="SAPBEXHLevel2 2 4" xfId="3813"/>
    <cellStyle name="SAPBEXHLevel2 2 5" xfId="3814"/>
    <cellStyle name="SAPBEXHLevel2 2 6" xfId="3815"/>
    <cellStyle name="SAPBEXHLevel2 3" xfId="816"/>
    <cellStyle name="SAPBEXHLevel2 3 2" xfId="3816"/>
    <cellStyle name="SAPBEXHLevel2 3 3" xfId="3817"/>
    <cellStyle name="SAPBEXHLevel2 3 4" xfId="3818"/>
    <cellStyle name="SAPBEXHLevel2 3 5" xfId="3819"/>
    <cellStyle name="SAPBEXHLevel2 3 6" xfId="3820"/>
    <cellStyle name="SAPBEXHLevel2 4" xfId="3821"/>
    <cellStyle name="SAPBEXHLevel2 5" xfId="3822"/>
    <cellStyle name="SAPBEXHLevel2 6" xfId="3823"/>
    <cellStyle name="SAPBEXHLevel2 7" xfId="3824"/>
    <cellStyle name="SAPBEXHLevel2 8" xfId="3825"/>
    <cellStyle name="SAPBEXHLevel2X" xfId="817"/>
    <cellStyle name="SAPBEXHLevel2X 2" xfId="818"/>
    <cellStyle name="SAPBEXHLevel2X 2 2" xfId="3826"/>
    <cellStyle name="SAPBEXHLevel2X 2 3" xfId="3827"/>
    <cellStyle name="SAPBEXHLevel2X 2 4" xfId="3828"/>
    <cellStyle name="SAPBEXHLevel2X 2 5" xfId="3829"/>
    <cellStyle name="SAPBEXHLevel2X 2 6" xfId="3830"/>
    <cellStyle name="SAPBEXHLevel2X 3" xfId="819"/>
    <cellStyle name="SAPBEXHLevel2X 3 2" xfId="3831"/>
    <cellStyle name="SAPBEXHLevel2X 3 3" xfId="3832"/>
    <cellStyle name="SAPBEXHLevel2X 3 4" xfId="3833"/>
    <cellStyle name="SAPBEXHLevel2X 3 5" xfId="3834"/>
    <cellStyle name="SAPBEXHLevel2X 3 6" xfId="3835"/>
    <cellStyle name="SAPBEXHLevel2X 4" xfId="3836"/>
    <cellStyle name="SAPBEXHLevel2X 5" xfId="3837"/>
    <cellStyle name="SAPBEXHLevel2X 6" xfId="3838"/>
    <cellStyle name="SAPBEXHLevel2X 7" xfId="3839"/>
    <cellStyle name="SAPBEXHLevel2X 8" xfId="3840"/>
    <cellStyle name="SAPBEXHLevel3" xfId="820"/>
    <cellStyle name="SAPBEXHLevel3 2" xfId="821"/>
    <cellStyle name="SAPBEXHLevel3 2 2" xfId="3841"/>
    <cellStyle name="SAPBEXHLevel3 2 3" xfId="3842"/>
    <cellStyle name="SAPBEXHLevel3 2 4" xfId="3843"/>
    <cellStyle name="SAPBEXHLevel3 2 5" xfId="3844"/>
    <cellStyle name="SAPBEXHLevel3 2 6" xfId="3845"/>
    <cellStyle name="SAPBEXHLevel3 3" xfId="822"/>
    <cellStyle name="SAPBEXHLevel3 3 2" xfId="3846"/>
    <cellStyle name="SAPBEXHLevel3 3 3" xfId="3847"/>
    <cellStyle name="SAPBEXHLevel3 3 4" xfId="3848"/>
    <cellStyle name="SAPBEXHLevel3 3 5" xfId="3849"/>
    <cellStyle name="SAPBEXHLevel3 3 6" xfId="3850"/>
    <cellStyle name="SAPBEXHLevel3 4" xfId="3851"/>
    <cellStyle name="SAPBEXHLevel3 5" xfId="3852"/>
    <cellStyle name="SAPBEXHLevel3 6" xfId="3853"/>
    <cellStyle name="SAPBEXHLevel3 7" xfId="3854"/>
    <cellStyle name="SAPBEXHLevel3 8" xfId="3855"/>
    <cellStyle name="SAPBEXHLevel3X" xfId="823"/>
    <cellStyle name="SAPBEXHLevel3X 2" xfId="824"/>
    <cellStyle name="SAPBEXHLevel3X 2 2" xfId="3856"/>
    <cellStyle name="SAPBEXHLevel3X 2 3" xfId="3857"/>
    <cellStyle name="SAPBEXHLevel3X 2 4" xfId="3858"/>
    <cellStyle name="SAPBEXHLevel3X 2 5" xfId="3859"/>
    <cellStyle name="SAPBEXHLevel3X 2 6" xfId="3860"/>
    <cellStyle name="SAPBEXHLevel3X 3" xfId="825"/>
    <cellStyle name="SAPBEXHLevel3X 3 2" xfId="3861"/>
    <cellStyle name="SAPBEXHLevel3X 3 3" xfId="3862"/>
    <cellStyle name="SAPBEXHLevel3X 3 4" xfId="3863"/>
    <cellStyle name="SAPBEXHLevel3X 3 5" xfId="3864"/>
    <cellStyle name="SAPBEXHLevel3X 3 6" xfId="3865"/>
    <cellStyle name="SAPBEXHLevel3X 4" xfId="3866"/>
    <cellStyle name="SAPBEXHLevel3X 5" xfId="3867"/>
    <cellStyle name="SAPBEXHLevel3X 6" xfId="3868"/>
    <cellStyle name="SAPBEXHLevel3X 7" xfId="3869"/>
    <cellStyle name="SAPBEXHLevel3X 8" xfId="3870"/>
    <cellStyle name="SAPBEXinputData" xfId="826"/>
    <cellStyle name="SAPBEXinputData 2" xfId="3871"/>
    <cellStyle name="SAPBEXinputData 3" xfId="3872"/>
    <cellStyle name="SAPBEXinputData 4" xfId="3873"/>
    <cellStyle name="SAPBEXinputData 5" xfId="3874"/>
    <cellStyle name="SAPBEXinputData 6" xfId="3875"/>
    <cellStyle name="SAPBEXinputData 7" xfId="3876"/>
    <cellStyle name="SAPBEXresData" xfId="827"/>
    <cellStyle name="SAPBEXresData 2" xfId="828"/>
    <cellStyle name="SAPBEXresData 2 2" xfId="3877"/>
    <cellStyle name="SAPBEXresData 2 3" xfId="3878"/>
    <cellStyle name="SAPBEXresData 2 4" xfId="3879"/>
    <cellStyle name="SAPBEXresData 2 5" xfId="3880"/>
    <cellStyle name="SAPBEXresData 2 6" xfId="3881"/>
    <cellStyle name="SAPBEXresData 3" xfId="829"/>
    <cellStyle name="SAPBEXresData 3 2" xfId="3882"/>
    <cellStyle name="SAPBEXresData 3 3" xfId="3883"/>
    <cellStyle name="SAPBEXresData 3 4" xfId="3884"/>
    <cellStyle name="SAPBEXresData 3 5" xfId="3885"/>
    <cellStyle name="SAPBEXresData 3 6" xfId="3886"/>
    <cellStyle name="SAPBEXresData 4" xfId="3887"/>
    <cellStyle name="SAPBEXresData 5" xfId="3888"/>
    <cellStyle name="SAPBEXresData 6" xfId="3889"/>
    <cellStyle name="SAPBEXresData 7" xfId="3890"/>
    <cellStyle name="SAPBEXresData 8" xfId="3891"/>
    <cellStyle name="SAPBEXresDataEmph" xfId="830"/>
    <cellStyle name="SAPBEXresDataEmph 2" xfId="831"/>
    <cellStyle name="SAPBEXresDataEmph 2 2" xfId="3892"/>
    <cellStyle name="SAPBEXresDataEmph 2 3" xfId="3893"/>
    <cellStyle name="SAPBEXresDataEmph 2 4" xfId="3894"/>
    <cellStyle name="SAPBEXresDataEmph 2 5" xfId="3895"/>
    <cellStyle name="SAPBEXresDataEmph 2 6" xfId="3896"/>
    <cellStyle name="SAPBEXresDataEmph 3" xfId="832"/>
    <cellStyle name="SAPBEXresDataEmph 3 2" xfId="3897"/>
    <cellStyle name="SAPBEXresDataEmph 3 3" xfId="3898"/>
    <cellStyle name="SAPBEXresDataEmph 3 4" xfId="3899"/>
    <cellStyle name="SAPBEXresDataEmph 3 5" xfId="3900"/>
    <cellStyle name="SAPBEXresDataEmph 3 6" xfId="3901"/>
    <cellStyle name="SAPBEXresDataEmph 4" xfId="3902"/>
    <cellStyle name="SAPBEXresDataEmph 5" xfId="3903"/>
    <cellStyle name="SAPBEXresDataEmph 6" xfId="3904"/>
    <cellStyle name="SAPBEXresDataEmph 7" xfId="3905"/>
    <cellStyle name="SAPBEXresDataEmph 8" xfId="3906"/>
    <cellStyle name="SAPBEXresItem" xfId="833"/>
    <cellStyle name="SAPBEXresItem 2" xfId="834"/>
    <cellStyle name="SAPBEXresItem 2 2" xfId="3907"/>
    <cellStyle name="SAPBEXresItem 2 3" xfId="3908"/>
    <cellStyle name="SAPBEXresItem 2 4" xfId="3909"/>
    <cellStyle name="SAPBEXresItem 2 5" xfId="3910"/>
    <cellStyle name="SAPBEXresItem 2 6" xfId="3911"/>
    <cellStyle name="SAPBEXresItem 3" xfId="835"/>
    <cellStyle name="SAPBEXresItem 3 2" xfId="3912"/>
    <cellStyle name="SAPBEXresItem 3 3" xfId="3913"/>
    <cellStyle name="SAPBEXresItem 3 4" xfId="3914"/>
    <cellStyle name="SAPBEXresItem 3 5" xfId="3915"/>
    <cellStyle name="SAPBEXresItem 3 6" xfId="3916"/>
    <cellStyle name="SAPBEXresItem 4" xfId="3917"/>
    <cellStyle name="SAPBEXresItem 5" xfId="3918"/>
    <cellStyle name="SAPBEXresItem 6" xfId="3919"/>
    <cellStyle name="SAPBEXresItem 7" xfId="3920"/>
    <cellStyle name="SAPBEXresItem 8" xfId="3921"/>
    <cellStyle name="SAPBEXresItemX" xfId="836"/>
    <cellStyle name="SAPBEXresItemX 2" xfId="837"/>
    <cellStyle name="SAPBEXresItemX 2 2" xfId="3922"/>
    <cellStyle name="SAPBEXresItemX 2 3" xfId="3923"/>
    <cellStyle name="SAPBEXresItemX 2 4" xfId="3924"/>
    <cellStyle name="SAPBEXresItemX 2 5" xfId="3925"/>
    <cellStyle name="SAPBEXresItemX 2 6" xfId="3926"/>
    <cellStyle name="SAPBEXresItemX 3" xfId="838"/>
    <cellStyle name="SAPBEXresItemX 3 2" xfId="3927"/>
    <cellStyle name="SAPBEXresItemX 3 3" xfId="3928"/>
    <cellStyle name="SAPBEXresItemX 3 4" xfId="3929"/>
    <cellStyle name="SAPBEXresItemX 3 5" xfId="3930"/>
    <cellStyle name="SAPBEXresItemX 3 6" xfId="3931"/>
    <cellStyle name="SAPBEXresItemX 4" xfId="3932"/>
    <cellStyle name="SAPBEXresItemX 5" xfId="3933"/>
    <cellStyle name="SAPBEXresItemX 6" xfId="3934"/>
    <cellStyle name="SAPBEXresItemX 7" xfId="3935"/>
    <cellStyle name="SAPBEXresItemX 8" xfId="3936"/>
    <cellStyle name="SAPBEXstdData" xfId="839"/>
    <cellStyle name="SAPBEXstdData 2" xfId="840"/>
    <cellStyle name="SAPBEXstdData 2 2" xfId="3937"/>
    <cellStyle name="SAPBEXstdData 2 3" xfId="3938"/>
    <cellStyle name="SAPBEXstdData 2 4" xfId="3939"/>
    <cellStyle name="SAPBEXstdData 2 5" xfId="3940"/>
    <cellStyle name="SAPBEXstdData 2 6" xfId="3941"/>
    <cellStyle name="SAPBEXstdData 3" xfId="841"/>
    <cellStyle name="SAPBEXstdData 3 2" xfId="3942"/>
    <cellStyle name="SAPBEXstdData 3 3" xfId="3943"/>
    <cellStyle name="SAPBEXstdData 3 4" xfId="3944"/>
    <cellStyle name="SAPBEXstdData 3 5" xfId="3945"/>
    <cellStyle name="SAPBEXstdData 3 6" xfId="3946"/>
    <cellStyle name="SAPBEXstdData 4" xfId="3947"/>
    <cellStyle name="SAPBEXstdData 5" xfId="3948"/>
    <cellStyle name="SAPBEXstdData 6" xfId="3949"/>
    <cellStyle name="SAPBEXstdData 7" xfId="3950"/>
    <cellStyle name="SAPBEXstdData 8" xfId="3951"/>
    <cellStyle name="SAPBEXstdDataEmph" xfId="842"/>
    <cellStyle name="SAPBEXstdDataEmph 2" xfId="843"/>
    <cellStyle name="SAPBEXstdDataEmph 2 2" xfId="3952"/>
    <cellStyle name="SAPBEXstdDataEmph 2 3" xfId="3953"/>
    <cellStyle name="SAPBEXstdDataEmph 2 4" xfId="3954"/>
    <cellStyle name="SAPBEXstdDataEmph 2 5" xfId="3955"/>
    <cellStyle name="SAPBEXstdDataEmph 2 6" xfId="3956"/>
    <cellStyle name="SAPBEXstdDataEmph 3" xfId="844"/>
    <cellStyle name="SAPBEXstdDataEmph 3 2" xfId="3957"/>
    <cellStyle name="SAPBEXstdDataEmph 3 3" xfId="3958"/>
    <cellStyle name="SAPBEXstdDataEmph 3 4" xfId="3959"/>
    <cellStyle name="SAPBEXstdDataEmph 3 5" xfId="3960"/>
    <cellStyle name="SAPBEXstdDataEmph 3 6" xfId="3961"/>
    <cellStyle name="SAPBEXstdDataEmph 4" xfId="3962"/>
    <cellStyle name="SAPBEXstdDataEmph 5" xfId="3963"/>
    <cellStyle name="SAPBEXstdDataEmph 6" xfId="3964"/>
    <cellStyle name="SAPBEXstdDataEmph 7" xfId="3965"/>
    <cellStyle name="SAPBEXstdDataEmph 8" xfId="3966"/>
    <cellStyle name="SAPBEXstdItem" xfId="845"/>
    <cellStyle name="SAPBEXstdItem 2" xfId="846"/>
    <cellStyle name="SAPBEXstdItem 2 2" xfId="3967"/>
    <cellStyle name="SAPBEXstdItem 2 3" xfId="3968"/>
    <cellStyle name="SAPBEXstdItem 2 4" xfId="3969"/>
    <cellStyle name="SAPBEXstdItem 2 5" xfId="3970"/>
    <cellStyle name="SAPBEXstdItem 2 6" xfId="3971"/>
    <cellStyle name="SAPBEXstdItem 3" xfId="847"/>
    <cellStyle name="SAPBEXstdItem 3 2" xfId="3972"/>
    <cellStyle name="SAPBEXstdItem 3 3" xfId="3973"/>
    <cellStyle name="SAPBEXstdItem 3 4" xfId="3974"/>
    <cellStyle name="SAPBEXstdItem 3 5" xfId="3975"/>
    <cellStyle name="SAPBEXstdItem 3 6" xfId="3976"/>
    <cellStyle name="SAPBEXstdItem 4" xfId="3977"/>
    <cellStyle name="SAPBEXstdItem 5" xfId="3978"/>
    <cellStyle name="SAPBEXstdItem 6" xfId="3979"/>
    <cellStyle name="SAPBEXstdItem 7" xfId="3980"/>
    <cellStyle name="SAPBEXstdItem 8" xfId="3981"/>
    <cellStyle name="SAPBEXstdItemX" xfId="848"/>
    <cellStyle name="SAPBEXstdItemX 2" xfId="849"/>
    <cellStyle name="SAPBEXstdItemX 2 2" xfId="3982"/>
    <cellStyle name="SAPBEXstdItemX 2 3" xfId="3983"/>
    <cellStyle name="SAPBEXstdItemX 2 4" xfId="3984"/>
    <cellStyle name="SAPBEXstdItemX 2 5" xfId="3985"/>
    <cellStyle name="SAPBEXstdItemX 2 6" xfId="3986"/>
    <cellStyle name="SAPBEXstdItemX 3" xfId="850"/>
    <cellStyle name="SAPBEXstdItemX 3 2" xfId="3987"/>
    <cellStyle name="SAPBEXstdItemX 3 3" xfId="3988"/>
    <cellStyle name="SAPBEXstdItemX 3 4" xfId="3989"/>
    <cellStyle name="SAPBEXstdItemX 3 5" xfId="3990"/>
    <cellStyle name="SAPBEXstdItemX 3 6" xfId="3991"/>
    <cellStyle name="SAPBEXstdItemX 4" xfId="3992"/>
    <cellStyle name="SAPBEXstdItemX 5" xfId="3993"/>
    <cellStyle name="SAPBEXstdItemX 6" xfId="3994"/>
    <cellStyle name="SAPBEXstdItemX 7" xfId="3995"/>
    <cellStyle name="SAPBEXstdItemX 8" xfId="3996"/>
    <cellStyle name="SAPBEXtitle" xfId="851"/>
    <cellStyle name="SAPBEXtitle 2" xfId="3997"/>
    <cellStyle name="SAPBEXundefined" xfId="852"/>
    <cellStyle name="SAPBEXundefined 2" xfId="853"/>
    <cellStyle name="SAPBEXundefined 2 2" xfId="3998"/>
    <cellStyle name="SAPBEXundefined 2 3" xfId="3999"/>
    <cellStyle name="SAPBEXundefined 2 4" xfId="4000"/>
    <cellStyle name="SAPBEXundefined 2 5" xfId="4001"/>
    <cellStyle name="SAPBEXundefined 2 6" xfId="4002"/>
    <cellStyle name="SAPBEXundefined 3" xfId="854"/>
    <cellStyle name="SAPBEXundefined 3 2" xfId="4003"/>
    <cellStyle name="SAPBEXundefined 3 3" xfId="4004"/>
    <cellStyle name="SAPBEXundefined 3 4" xfId="4005"/>
    <cellStyle name="SAPBEXundefined 3 5" xfId="4006"/>
    <cellStyle name="SAPBEXundefined 3 6" xfId="4007"/>
    <cellStyle name="SAPBEXundefined 4" xfId="4008"/>
    <cellStyle name="SAPBEXundefined 5" xfId="4009"/>
    <cellStyle name="SAPBEXundefined 6" xfId="4010"/>
    <cellStyle name="SAPBEXundefined 7" xfId="4011"/>
    <cellStyle name="SAPBEXundefined 8" xfId="4012"/>
    <cellStyle name="SAPError" xfId="4013"/>
    <cellStyle name="SAPKey" xfId="4014"/>
    <cellStyle name="SAPLocked" xfId="4015"/>
    <cellStyle name="SAPOutput" xfId="4016"/>
    <cellStyle name="SAPSpace" xfId="4017"/>
    <cellStyle name="SAPText" xfId="4018"/>
    <cellStyle name="SAPUnLocked" xfId="4019"/>
    <cellStyle name="Seite" xfId="4020"/>
    <cellStyle name="Sheet Title" xfId="855"/>
    <cellStyle name="Single Accounting" xfId="4021"/>
    <cellStyle name="Sledovaný hypertextový odkaz" xfId="4022"/>
    <cellStyle name="Sledovaný hypertextový odkaz 10" xfId="4023"/>
    <cellStyle name="Sledovaný hypertextový odkaz 11" xfId="4024"/>
    <cellStyle name="Sledovaný hypertextový odkaz 12" xfId="4025"/>
    <cellStyle name="Sledovaný hypertextový odkaz 13" xfId="4026"/>
    <cellStyle name="Sledovaný hypertextový odkaz 14" xfId="4027"/>
    <cellStyle name="Sledovaný hypertextový odkaz 15" xfId="4028"/>
    <cellStyle name="Sledovaný hypertextový odkaz 16" xfId="4029"/>
    <cellStyle name="Sledovaný hypertextový odkaz 17" xfId="4030"/>
    <cellStyle name="Sledovaný hypertextový odkaz 18" xfId="4031"/>
    <cellStyle name="Sledovaný hypertextový odkaz 19" xfId="4032"/>
    <cellStyle name="Sledovaný hypertextový odkaz 2" xfId="4033"/>
    <cellStyle name="Sledovaný hypertextový odkaz 20" xfId="4034"/>
    <cellStyle name="Sledovaný hypertextový odkaz 21" xfId="4035"/>
    <cellStyle name="Sledovaný hypertextový odkaz 22" xfId="4036"/>
    <cellStyle name="Sledovaný hypertextový odkaz 23" xfId="4037"/>
    <cellStyle name="Sledovaný hypertextový odkaz 24" xfId="4038"/>
    <cellStyle name="Sledovaný hypertextový odkaz 25" xfId="4039"/>
    <cellStyle name="Sledovaný hypertextový odkaz 26" xfId="4040"/>
    <cellStyle name="Sledovaný hypertextový odkaz 27" xfId="4041"/>
    <cellStyle name="Sledovaný hypertextový odkaz 28" xfId="4042"/>
    <cellStyle name="Sledovaný hypertextový odkaz 3" xfId="4043"/>
    <cellStyle name="Sledovaný hypertextový odkaz 4" xfId="4044"/>
    <cellStyle name="Sledovaný hypertextový odkaz 5" xfId="4045"/>
    <cellStyle name="Sledovaný hypertextový odkaz 6" xfId="4046"/>
    <cellStyle name="Sledovaný hypertextový odkaz 7" xfId="4047"/>
    <cellStyle name="Sledovaný hypertextový odkaz 8" xfId="4048"/>
    <cellStyle name="Sledovaný hypertextový odkaz 9" xfId="4049"/>
    <cellStyle name="Sledovaný hypertextový odkaz_amd" xfId="4050"/>
    <cellStyle name="Standaard_UCM-StatBull mrt 2006 2-6" xfId="856"/>
    <cellStyle name="Standard_5.4c" xfId="4051"/>
    <cellStyle name="STYL1 - Style1" xfId="4052"/>
    <cellStyle name="Style 1" xfId="857"/>
    <cellStyle name="Style 1 10" xfId="858"/>
    <cellStyle name="Style 1 11" xfId="859"/>
    <cellStyle name="Style 1 12" xfId="860"/>
    <cellStyle name="Style 1 13" xfId="861"/>
    <cellStyle name="Style 1 14" xfId="862"/>
    <cellStyle name="Style 1 15" xfId="863"/>
    <cellStyle name="Style 1 16" xfId="864"/>
    <cellStyle name="Style 1 17" xfId="865"/>
    <cellStyle name="Style 1 18" xfId="866"/>
    <cellStyle name="Style 1 19" xfId="867"/>
    <cellStyle name="Style 1 2" xfId="868"/>
    <cellStyle name="Style 1 2 2" xfId="4053"/>
    <cellStyle name="Style 1 20" xfId="869"/>
    <cellStyle name="Style 1 21" xfId="870"/>
    <cellStyle name="Style 1 22" xfId="871"/>
    <cellStyle name="Style 1 23" xfId="872"/>
    <cellStyle name="Style 1 24" xfId="873"/>
    <cellStyle name="Style 1 25" xfId="874"/>
    <cellStyle name="Style 1 26" xfId="875"/>
    <cellStyle name="Style 1 27" xfId="876"/>
    <cellStyle name="Style 1 28" xfId="877"/>
    <cellStyle name="Style 1 29" xfId="878"/>
    <cellStyle name="Style 1 3" xfId="879"/>
    <cellStyle name="Style 1 30" xfId="880"/>
    <cellStyle name="Style 1 31" xfId="881"/>
    <cellStyle name="Style 1 32" xfId="882"/>
    <cellStyle name="Style 1 4" xfId="883"/>
    <cellStyle name="Style 1 5" xfId="884"/>
    <cellStyle name="Style 1 6" xfId="885"/>
    <cellStyle name="Style 1 7" xfId="886"/>
    <cellStyle name="Style 1 8" xfId="887"/>
    <cellStyle name="Style 1 9" xfId="888"/>
    <cellStyle name="Style 1_Export Benefits Nov 2011" xfId="4054"/>
    <cellStyle name="Style 2" xfId="4055"/>
    <cellStyle name="Subsidy" xfId="889"/>
    <cellStyle name="Subsidy 2" xfId="4056"/>
    <cellStyle name="Subsidy 3" xfId="4057"/>
    <cellStyle name="Subsidy 4" xfId="4058"/>
    <cellStyle name="Subsidy 5" xfId="4059"/>
    <cellStyle name="Subsidy 6" xfId="4060"/>
    <cellStyle name="Subsidy 7" xfId="4061"/>
    <cellStyle name="Subtotal" xfId="4062"/>
    <cellStyle name="Sulzer" xfId="4063"/>
    <cellStyle name="SUNIL N" xfId="4064"/>
    <cellStyle name="t" xfId="4065"/>
    <cellStyle name="Table  - Style6" xfId="890"/>
    <cellStyle name="Table  - Style6 2" xfId="891"/>
    <cellStyle name="Table  - Style6 2 2" xfId="4066"/>
    <cellStyle name="Table  - Style6 2 3" xfId="4067"/>
    <cellStyle name="Table  - Style6 2 4" xfId="4068"/>
    <cellStyle name="Table  - Style6 2 5" xfId="4069"/>
    <cellStyle name="Table  - Style6 2 6" xfId="4070"/>
    <cellStyle name="Table  - Style6 3" xfId="892"/>
    <cellStyle name="Table  - Style6 3 2" xfId="4071"/>
    <cellStyle name="Table  - Style6 3 3" xfId="4072"/>
    <cellStyle name="Table  - Style6 3 4" xfId="4073"/>
    <cellStyle name="Table  - Style6 3 5" xfId="4074"/>
    <cellStyle name="Table  - Style6 3 6" xfId="4075"/>
    <cellStyle name="Table  - Style6 4" xfId="4076"/>
    <cellStyle name="Table  - Style6 5" xfId="4077"/>
    <cellStyle name="Table  - Style6 6" xfId="4078"/>
    <cellStyle name="Table  - Style6 7" xfId="4079"/>
    <cellStyle name="Table  - Style6 8" xfId="4080"/>
    <cellStyle name="Table Head" xfId="4081"/>
    <cellStyle name="Table Head Aligned" xfId="4082"/>
    <cellStyle name="Table Head Blue" xfId="4083"/>
    <cellStyle name="Table Head Green" xfId="4084"/>
    <cellStyle name="Table Title" xfId="4085"/>
    <cellStyle name="Table Units" xfId="4086"/>
    <cellStyle name="Table_Header" xfId="4087"/>
    <cellStyle name="Text Indent A" xfId="4088"/>
    <cellStyle name="Text Indent B" xfId="4089"/>
    <cellStyle name="Text Indent C" xfId="4090"/>
    <cellStyle name="þ_x001d_ð'_x000c_ïþ÷_x000c_âþU_x0001_Ó_x0007_©_x000e__x000f__x0001__x0001_" xfId="4091"/>
    <cellStyle name="Times 10" xfId="4092"/>
    <cellStyle name="Times 12" xfId="4093"/>
    <cellStyle name="Times New Roman" xfId="4094"/>
    <cellStyle name="Title  - Style1" xfId="893"/>
    <cellStyle name="Title 10" xfId="4095"/>
    <cellStyle name="Title 11" xfId="4096"/>
    <cellStyle name="Title 12" xfId="4097"/>
    <cellStyle name="Title 13" xfId="4098"/>
    <cellStyle name="Title 14" xfId="4099"/>
    <cellStyle name="Title 15" xfId="4100"/>
    <cellStyle name="Title 16" xfId="4101"/>
    <cellStyle name="Title 17" xfId="4102"/>
    <cellStyle name="Title 18" xfId="4103"/>
    <cellStyle name="Title 19" xfId="4104"/>
    <cellStyle name="Title 2" xfId="894"/>
    <cellStyle name="Title 2 2" xfId="4105"/>
    <cellStyle name="Title 2 3" xfId="4106"/>
    <cellStyle name="Title 2 4" xfId="4107"/>
    <cellStyle name="Title 2 5" xfId="4108"/>
    <cellStyle name="Title 2 6" xfId="4109"/>
    <cellStyle name="Title 3" xfId="4110"/>
    <cellStyle name="Title 3 2" xfId="4111"/>
    <cellStyle name="Title 3 3" xfId="4112"/>
    <cellStyle name="Title 3 4" xfId="4113"/>
    <cellStyle name="Title 4" xfId="4114"/>
    <cellStyle name="Title 5" xfId="4115"/>
    <cellStyle name="Title 6" xfId="4116"/>
    <cellStyle name="Title 7" xfId="4117"/>
    <cellStyle name="Title 8" xfId="4118"/>
    <cellStyle name="Title 9" xfId="4119"/>
    <cellStyle name="Titre1" xfId="4120"/>
    <cellStyle name="Titre2" xfId="4121"/>
    <cellStyle name="Total 10" xfId="4122"/>
    <cellStyle name="Total 11" xfId="4123"/>
    <cellStyle name="Total 12" xfId="4124"/>
    <cellStyle name="Total 13" xfId="4125"/>
    <cellStyle name="Total 14" xfId="4126"/>
    <cellStyle name="Total 15" xfId="4127"/>
    <cellStyle name="Total 16" xfId="4128"/>
    <cellStyle name="Total 17" xfId="4129"/>
    <cellStyle name="Total 18" xfId="4130"/>
    <cellStyle name="Total 19" xfId="4131"/>
    <cellStyle name="Total 2" xfId="895"/>
    <cellStyle name="Total 2 2" xfId="896"/>
    <cellStyle name="Total 2 2 2" xfId="4132"/>
    <cellStyle name="Total 2 2 3" xfId="4133"/>
    <cellStyle name="Total 2 2 4" xfId="4134"/>
    <cellStyle name="Total 2 2 5" xfId="4135"/>
    <cellStyle name="Total 2 2 6" xfId="4136"/>
    <cellStyle name="Total 2 3" xfId="897"/>
    <cellStyle name="Total 2 3 2" xfId="4137"/>
    <cellStyle name="Total 2 3 3" xfId="4138"/>
    <cellStyle name="Total 2 3 4" xfId="4139"/>
    <cellStyle name="Total 2 3 5" xfId="4140"/>
    <cellStyle name="Total 2 3 6" xfId="4141"/>
    <cellStyle name="Total 2 4" xfId="4142"/>
    <cellStyle name="Total 2 5" xfId="4143"/>
    <cellStyle name="Total 2 6" xfId="4144"/>
    <cellStyle name="Total 2 7" xfId="4145"/>
    <cellStyle name="Total 2 8" xfId="4146"/>
    <cellStyle name="Total 20" xfId="4147"/>
    <cellStyle name="Total 3" xfId="4148"/>
    <cellStyle name="Total 3 2" xfId="4149"/>
    <cellStyle name="Total 3 3" xfId="4150"/>
    <cellStyle name="Total 3 4" xfId="4151"/>
    <cellStyle name="Total 4" xfId="4152"/>
    <cellStyle name="Total 5" xfId="4153"/>
    <cellStyle name="Total 6" xfId="4154"/>
    <cellStyle name="Total 7" xfId="4155"/>
    <cellStyle name="Total 8" xfId="4156"/>
    <cellStyle name="Total 9" xfId="4157"/>
    <cellStyle name="TotCol - Style5" xfId="898"/>
    <cellStyle name="TotRow - Style4" xfId="899"/>
    <cellStyle name="TotRow - Style4 2" xfId="900"/>
    <cellStyle name="TotRow - Style4 2 2" xfId="4158"/>
    <cellStyle name="TotRow - Style4 2 3" xfId="4159"/>
    <cellStyle name="TotRow - Style4 2 4" xfId="4160"/>
    <cellStyle name="TotRow - Style4 2 5" xfId="4161"/>
    <cellStyle name="TotRow - Style4 2 6" xfId="4162"/>
    <cellStyle name="TotRow - Style4 3" xfId="901"/>
    <cellStyle name="TotRow - Style4 3 2" xfId="4163"/>
    <cellStyle name="TotRow - Style4 3 3" xfId="4164"/>
    <cellStyle name="TotRow - Style4 3 4" xfId="4165"/>
    <cellStyle name="TotRow - Style4 3 5" xfId="4166"/>
    <cellStyle name="TotRow - Style4 3 6" xfId="4167"/>
    <cellStyle name="TotRow - Style4 4" xfId="4168"/>
    <cellStyle name="TotRow - Style4 5" xfId="4169"/>
    <cellStyle name="TotRow - Style4 6" xfId="4170"/>
    <cellStyle name="TotRow - Style4 7" xfId="4171"/>
    <cellStyle name="TotRow - Style4 8" xfId="4172"/>
    <cellStyle name="Tusental (0)_pldt" xfId="4173"/>
    <cellStyle name="Tusental_pldt" xfId="4174"/>
    <cellStyle name="UB/PB/KG" xfId="4175"/>
    <cellStyle name="Underline_Double" xfId="4176"/>
    <cellStyle name="Validation" xfId="4177"/>
    <cellStyle name="Valuta (0)_pldt" xfId="4178"/>
    <cellStyle name="Valuta_pldt" xfId="4179"/>
    <cellStyle name="Vide" xfId="4180"/>
    <cellStyle name="Währung [0]_5.4c" xfId="4181"/>
    <cellStyle name="Währung_5.4c" xfId="4182"/>
    <cellStyle name="Warning Text 10" xfId="4183"/>
    <cellStyle name="Warning Text 11" xfId="4184"/>
    <cellStyle name="Warning Text 12" xfId="4185"/>
    <cellStyle name="Warning Text 13" xfId="4186"/>
    <cellStyle name="Warning Text 14" xfId="4187"/>
    <cellStyle name="Warning Text 15" xfId="4188"/>
    <cellStyle name="Warning Text 16" xfId="4189"/>
    <cellStyle name="Warning Text 17" xfId="4190"/>
    <cellStyle name="Warning Text 18" xfId="4191"/>
    <cellStyle name="Warning Text 19" xfId="4192"/>
    <cellStyle name="Warning Text 2" xfId="902"/>
    <cellStyle name="Warning Text 2 2" xfId="4193"/>
    <cellStyle name="Warning Text 2 3" xfId="4194"/>
    <cellStyle name="Warning Text 20" xfId="4195"/>
    <cellStyle name="Warning Text 3" xfId="4196"/>
    <cellStyle name="Warning Text 4" xfId="4197"/>
    <cellStyle name="Warning Text 5" xfId="4198"/>
    <cellStyle name="Warning Text 6" xfId="4199"/>
    <cellStyle name="Warning Text 7" xfId="4200"/>
    <cellStyle name="Warning Text 8" xfId="4201"/>
    <cellStyle name="Warning Text 9" xfId="4202"/>
    <cellStyle name="WhiteCells" xfId="4203"/>
    <cellStyle name="WingDing" xfId="4204"/>
    <cellStyle name="Wrap" xfId="4205"/>
    <cellStyle name="W臧rung [0]_Pr.Ev. CCC" xfId="4206"/>
    <cellStyle name="W臧rung_Pr.Ev. CCC" xfId="4207"/>
    <cellStyle name="Yen" xfId="4208"/>
    <cellStyle name="_HZO-PNL" xfId="4209"/>
    <cellStyle name="통화 [0]_Manualformat" xfId="4210"/>
    <cellStyle name="통화_Manualformat" xfId="4211"/>
    <cellStyle name="표준_Manualformat" xfId="4212"/>
    <cellStyle name="千位分隔[0]_Forecast 1999" xfId="4213"/>
    <cellStyle name="千位分隔_Forecast 1999" xfId="4214"/>
    <cellStyle name="常规_2000年丁字帐汇总表" xfId="4215"/>
    <cellStyle name="桁区切り [0.00]_ARAVA" xfId="4216"/>
    <cellStyle name="桁区切り_ARAVA" xfId="4217"/>
    <cellStyle name="標準_ARAVA" xfId="4218"/>
    <cellStyle name="货币[0]_2000年丁字帐汇总表" xfId="4219"/>
    <cellStyle name="货币_2000年丁字帐汇总表" xfId="4220"/>
    <cellStyle name="通貨 [0.00]_ARAVA" xfId="4221"/>
    <cellStyle name="通貨_ARAVA" xfId="4222"/>
  </cellStyles>
  <dxfs count="2"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colors>
    <mruColors>
      <color rgb="FF99FF99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externalLink" Target="externalLinks/externalLink24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externalLink" Target="externalLinks/externalLink27.xml"/><Relationship Id="rId47" Type="http://schemas.openxmlformats.org/officeDocument/2006/relationships/externalLink" Target="externalLinks/externalLink32.xml"/><Relationship Id="rId50" Type="http://schemas.openxmlformats.org/officeDocument/2006/relationships/externalLink" Target="externalLinks/externalLink35.xml"/><Relationship Id="rId55" Type="http://schemas.openxmlformats.org/officeDocument/2006/relationships/externalLink" Target="externalLinks/externalLink40.xml"/><Relationship Id="rId63" Type="http://schemas.openxmlformats.org/officeDocument/2006/relationships/externalLink" Target="externalLinks/externalLink48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externalLink" Target="externalLinks/externalLink25.xml"/><Relationship Id="rId45" Type="http://schemas.openxmlformats.org/officeDocument/2006/relationships/externalLink" Target="externalLinks/externalLink30.xml"/><Relationship Id="rId53" Type="http://schemas.openxmlformats.org/officeDocument/2006/relationships/externalLink" Target="externalLinks/externalLink38.xml"/><Relationship Id="rId58" Type="http://schemas.openxmlformats.org/officeDocument/2006/relationships/externalLink" Target="externalLinks/externalLink43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49" Type="http://schemas.openxmlformats.org/officeDocument/2006/relationships/externalLink" Target="externalLinks/externalLink34.xml"/><Relationship Id="rId57" Type="http://schemas.openxmlformats.org/officeDocument/2006/relationships/externalLink" Target="externalLinks/externalLink42.xml"/><Relationship Id="rId61" Type="http://schemas.openxmlformats.org/officeDocument/2006/relationships/externalLink" Target="externalLinks/externalLink46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externalLink" Target="externalLinks/externalLink29.xml"/><Relationship Id="rId52" Type="http://schemas.openxmlformats.org/officeDocument/2006/relationships/externalLink" Target="externalLinks/externalLink37.xml"/><Relationship Id="rId60" Type="http://schemas.openxmlformats.org/officeDocument/2006/relationships/externalLink" Target="externalLinks/externalLink45.xml"/><Relationship Id="rId65" Type="http://schemas.openxmlformats.org/officeDocument/2006/relationships/externalLink" Target="externalLinks/externalLink5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externalLink" Target="externalLinks/externalLink28.xml"/><Relationship Id="rId48" Type="http://schemas.openxmlformats.org/officeDocument/2006/relationships/externalLink" Target="externalLinks/externalLink33.xml"/><Relationship Id="rId56" Type="http://schemas.openxmlformats.org/officeDocument/2006/relationships/externalLink" Target="externalLinks/externalLink41.xml"/><Relationship Id="rId64" Type="http://schemas.openxmlformats.org/officeDocument/2006/relationships/externalLink" Target="externalLinks/externalLink49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externalLink" Target="externalLinks/externalLink31.xml"/><Relationship Id="rId59" Type="http://schemas.openxmlformats.org/officeDocument/2006/relationships/externalLink" Target="externalLinks/externalLink44.xml"/><Relationship Id="rId67" Type="http://schemas.openxmlformats.org/officeDocument/2006/relationships/styles" Target="styles.xml"/><Relationship Id="rId20" Type="http://schemas.openxmlformats.org/officeDocument/2006/relationships/externalLink" Target="externalLinks/externalLink5.xml"/><Relationship Id="rId41" Type="http://schemas.openxmlformats.org/officeDocument/2006/relationships/externalLink" Target="externalLinks/externalLink26.xml"/><Relationship Id="rId54" Type="http://schemas.openxmlformats.org/officeDocument/2006/relationships/externalLink" Target="externalLinks/externalLink39.xml"/><Relationship Id="rId62" Type="http://schemas.openxmlformats.org/officeDocument/2006/relationships/externalLink" Target="externalLinks/externalLink4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s\slide%202005%202\windows\TEMP\WINDOWS\TEMP\Actual%20Cost%20Line%20Ite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lanki\slide%202004%202\DOCUME~1\hek10190\LOCALS~1\Temp\HLCL%20ABP%202004-05_022504_revRM%2025%20Feb%200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KASH.KEDIA/Desktop/ABP%20Scenarios/ABP%20Docs%2023rd%20May/Final%20Folder/VVF/Annual_Business_Planning/Final%20Budgets/VVf%20Financial%20Statements/Financial%20Statements%202007-0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Contract%20Profitability\Documents%20and%20Settings\SHREYAS.BARATHARAJ\Local%20Settings\Temp\wz1e8d\costing\Final%20sheets\data\materiality\Costs\All%20assumptions%20and%20inputs\backups\Sales%20Oleo%20(April-%20Dec)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192\Shared_MIS\Documents%20and%20Settings\AKASH.KEDIA\Desktop\ABP%20Scenarios\ABP%20Docs%2023rd%20May\Final%20Folder\VVF\Annual_Business_Planning\Final%20Budgets\VVf%20Financial%20Statements\Financial%20Statements%202007-0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192\shared_mis\Documents%20and%20Settings\SUDHANSHU.SINGHI\Desktop\ABP\Expense%20Budget%20Folder\Interest%20&amp;%20Financial%20Charges\BANK%20CHARGES-2007-2008_Mahesh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_kapadia\md\Revised%20Budget-March,2000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200\Backup\DOCUME~1\RAJHAN~1.WAD\LOCALS~1\Temp\quarter%20inventory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192\shared_mis\MIS\Dec%2009\Costing%20Dec%2009\Oleo%20cost%20sheet%20for%20Dec%20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SRIRAM/Sriram/2013-14_Actuals/q1/Oleo%20cost%20sheet%20for%20Apr'%2013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f1200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pdomain\Finance\Documents%20and%20Settings\vivekk\Local%20Settings\Temporary%20Internet%20Files\OLK498\SSC%20Prepaid%20Schedule%20-%2031st%20October%20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bhijit\c\Abhijit\Financials\2005-06\June%2005\Working%20Files\FA%20Schedule%20working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ITR%20-%206%2008-09/VVF%20Revised%20Return/ITR6_2009_10_R1g%20-%20VVF-final_revision%20due%20to%20tds%20receivabl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STING\lanbak\SB~SC~BR\2000-01\042000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AJESH\Audit%20F.Y.2005-06%20GPT%20Steel\Documents%20and%20Settings\GPT\Local%20Settings\Temporary%20Internet%20Files\OLK28\Monthly%20stat%20March%200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200\Backup\Users\anil.ingrole\AppData\Local\Microsoft\Windows\Temporary%20Internet%20Files\OLK694D\2nd%20quarter%20inventory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pdomain\Finance\Documents%20and%20Settings\vivekk\Local%20Settings\Temporary%20Internet%20Files\OLK498\SYN%20Monthly%20Prepaid%20Schedul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mi.Pathak/Local%20Settings/Temporary%20Internet%20Files/OLK18C/jv-inter%20unit-30251%20to%2030005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pdomain\Finance\Firm\Clients\Kuoni%20Nitin\HO%20DEC%202008\HO_SSC_SYN%20Details%20-%2031st%20December%202008%20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rashant.shirsath/Local%20Settings/Temporary%20Internet%20Files/OLK98/By%20product%20working%20till%2021-June-11%20Prashant%20freight%20Rajita%20FOB%20CIF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ANSFER\KALPESH\1998-999\RM\LP-Mar-99-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192\Shared_MIS\MIS\Apr%2011\Operation%20Review\Oleo%20Operation%20Apr-11\Impact%20on%20Change%20of%20Yield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cs_mes\manthan-muw\WINDOWS\Desktop\muw\2B2%20MUW%20Final\Dump%202B2%20Form%20MU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192\CommonFolder\Documents%20and%20Settings\hsagle\Desktop\REVISED%20INPUT%20FORMAT%20-%20Sampl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neha.VVF2000/Local%20Settings/Temporary%20Internet%20Files/OLK7A/2nd%20quarter%20inventory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200\Backup\Documents%20and%20Settings\sneha.VVF2000\Local%20Settings\Temporary%20Internet%20Files\OLK7A\2nd%20quarter%20inventory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server\Accounts%20Audit%20Data\AGRO%202001-2002\OCTOBER%20-%20ISAGRO%20-%20FINAL\HEAD%20OFFICE%20SCHEDULES-PWC\2529-5321-5322-5323-5325-5327-5329%20EMPLOYEE%20LOAN%20SCHEDULE-REVISED%2028.12.0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200\Backup\Program%20files\biju%20assignment\inventory\quarter%20inventory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rhouse15\DTH_HR\DOCUME~1\denizs\LOCALS~1\Temp\Live\August05\MASTERS_RELATED\MASTERS_AUG05NEW_FROM_SHARO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Weekly%20Cost%20Sheet%20yearwise/Weekly%20Cost%20Sheet/2006-07/July%202006%20cost%20sheet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ocuments%20and%20Settings\AKASH.KEDIA\Desktop\ABP%20Scenarios\ABP%20Docs%2023rd%20May\Final%20Folder\VVF\Annual_Business_Planning\Final%20Budgets\VVf%20Financial%20Statements\Financial%20Statements%202007-08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st_5\cement\Cem-1999-0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.sriram/AppData/Local/Microsoft/Windows/Temporary%20Internet%20Files/Content.Outlook/XOGM6UUL/Copy%20of%20Financial%20Report%20HO%20Format%20May%20Period%20-%20Revised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Microsoft/Windows/Temporary%20Internet%20Files/Content.Outlook/TH53ASV0/Financials_KPMG%20v9_VVF%20INDIA%20LTD.xlsm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Monthly%20Vat%2011-12\JULY%202011\Provisional%20Purchase%20June%2011\Purchases%20July%20201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Contract%20Profitability\Documents%20and%20Settings\SHREYAS.BARATHARAJ\Local%20Settings\Temp\wze0b1\Accenture%20confidential\VVF-%20Business%20transformation%20project\VVF%20work\costing\Formats%20for%20PCP\Location%20combinations%20for%20rec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than6\manthan%20ammo\Phase2\2B2%20Ammonia%20Rev%200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192\shared_mis\PE\PWC-2nd%20Assignment\2009-10\Sales%2009-10\Revenue%20analyses_Oleo%20sales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shared_mis\PE\Project%20Lotus%202nd%20Assignment\Due%20Diligence\FY10-11\YTD%20March11\VVF%20YTD%20March%2011\VVF%20%20Apr'10%20to%20%20March'%201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200\Backup\Program%20files\biju%20assignment\inventory\Copy%20of%202nd%20quarter%20inventory2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192\shared_mis\MIS\Jan%2011\Costing%20Jan%2011\Oleo%20cost%20sheet%20for%20Jan%2011-V12%201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than6\c\vijay\2B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ubha01/Desktop/as%20per%20return%2008-09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192\Shared%20Finance\INTER%20UNIT\Year%2010-11\August'10\ZGRIR_INTCOMP%20as%20on%2030.08.2010(30.08.2010)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192\shared_mis\MIS\Feb%2011\Costing%20For%20Feb'11\Rm%20prices%20for%20Feb%2011\RM%20consumption%20for%20Feb%201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0.0.192\Shared%20Finance\VVF%20accounts%20closing\BS%20&amp;%20PL%20as%20on%20Dec'11\New%20Demerger%20Balance%20sheet%20and%20schedules\Schedue%20by%20Anjali\Inventory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(C)%208332%20TOD-Operating%20Expense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rabhijitd-gsc/Local%20Settings/Temporary%20Internet%20Files/OLK1E/Revised%20RPP%20Format%20-%20USA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vind.k.VVF2003/AppData/Local/Microsoft/Windows/Temporary%20Internet%20Files/Content.Outlook/05CX75JT/ABP%20Sales%20target%20value%20addit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Up"/>
      <sheetName val="Plan"/>
      <sheetName val="Managerial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of Contents"/>
      <sheetName val="Sheet1"/>
      <sheetName val="Prodn. sale  summ"/>
      <sheetName val="State level Sales"/>
      <sheetName val="Input sheet"/>
      <sheetName val="HLCL-P&amp;L"/>
      <sheetName val="Fertilizers - P&amp;L"/>
      <sheetName val="Chemicals - P&amp;L"/>
      <sheetName val="Balance Sheet"/>
      <sheetName val="RMAssumptions"/>
      <sheetName val="Sub-Cal"/>
      <sheetName val="Subsidy summary"/>
      <sheetName val="avaS"/>
      <sheetName val="Tax"/>
      <sheetName val="Pdt.wise  contn-Fert"/>
      <sheetName val=" Fertilizers productwise"/>
      <sheetName val="DAP Flow"/>
      <sheetName val="NDAP Flow"/>
      <sheetName val="NPK10 Flow"/>
      <sheetName val="NPK12 Flow"/>
      <sheetName val="NPK15 Flow"/>
      <sheetName val="Pdt.wise  contn-Chem"/>
      <sheetName val="MOP Flow"/>
      <sheetName val="NSSP Flow"/>
      <sheetName val="Chemicals Productwise"/>
      <sheetName val="STPP"/>
      <sheetName val="SULPHURIC ACID"/>
      <sheetName val="SULPHONIC"/>
      <sheetName val="GYPSUM"/>
      <sheetName val="RM ASSM FERT"/>
      <sheetName val="RM ASSM CHEM"/>
      <sheetName val="Fin Dep(in Rs)"/>
      <sheetName val="Fin Dep"/>
      <sheetName val="IPP"/>
      <sheetName val="OHs"/>
      <sheetName val="Discounts"/>
      <sheetName val="DAP"/>
      <sheetName val="Chem Intermediates"/>
      <sheetName val="NPK"/>
      <sheetName val="SSP"/>
      <sheetName val="Dist Cost"/>
      <sheetName val="Mop"/>
      <sheetName val="Cashflow"/>
      <sheetName val="Stk"/>
      <sheetName val="Drs"/>
      <sheetName val="Crs"/>
      <sheetName val="MAP"/>
      <sheetName val="p2o5"/>
      <sheetName val="NH3"/>
      <sheetName val="Rock-HG"/>
      <sheetName val="Rock-LG"/>
      <sheetName val="Sulphur"/>
      <sheetName val="MOP-arrsal"/>
      <sheetName val="MOP-arrRM"/>
      <sheetName val="MFg P2O5"/>
      <sheetName val="RM Clg"/>
      <sheetName val="Prod. Sch"/>
      <sheetName val="Other Cost Chem"/>
      <sheetName val="Other Cost Fe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Sheet3"/>
      <sheetName val="GROUPINGS"/>
      <sheetName val="TRIAL BALANCE"/>
      <sheetName val="BALANCE SHEET"/>
      <sheetName val="P&amp;L"/>
      <sheetName val="SCHEDULES"/>
      <sheetName val="BALANCE SHEET(LAKHS)"/>
      <sheetName val="P&amp;L(lakhs)"/>
      <sheetName val="SCHEDULES (LAKHS)"/>
      <sheetName val="CASHFLOW"/>
      <sheetName val="CASH FLOW WORKING"/>
      <sheetName val="Adjuste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Sheet"/>
      <sheetName val="Sheet3 (Final)"/>
      <sheetName val="Sheet3"/>
      <sheetName val="Sheet2"/>
      <sheetName val="pivo"/>
      <sheetName val="Sheet5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Sheet3"/>
      <sheetName val="GROUPINGS"/>
      <sheetName val="TRIAL BALANCE"/>
      <sheetName val="BALANCE SHEET"/>
      <sheetName val="P&amp;L"/>
      <sheetName val="SCHEDULES"/>
      <sheetName val="BALANCE SHEET(LAKHS)"/>
      <sheetName val="P&amp;L(lakhs)"/>
      <sheetName val="SCHEDULES (LAKHS)"/>
      <sheetName val="CASHFLOW"/>
      <sheetName val="CASH FLOW WORKING"/>
      <sheetName val="Adjuste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4"/>
      <sheetName val="Sheet1"/>
    </sheetNames>
    <sheetDataSet>
      <sheetData sheetId="0" refreshError="1"/>
      <sheetData sheetId="1" refreshError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Sheet-Variable Costs"/>
      <sheetName val="Sheet1"/>
      <sheetName val="Input Sheet - Production Plan"/>
      <sheetName val="Soda Ash - Customer Database"/>
      <sheetName val="Input Sheet-Selling Prices"/>
      <sheetName val="Input Sheet-Rebates"/>
      <sheetName val="Input Sheet-Fixed Costs"/>
      <sheetName val="Input Sheet-Selling Expenses"/>
      <sheetName val="Input Sheet-Depreciation"/>
      <sheetName val="Debtors"/>
      <sheetName val="Stocks"/>
      <sheetName val="Working Capital-Stocks Summary"/>
      <sheetName val="Tax"/>
      <sheetName val="Cashflow"/>
      <sheetName val="P&amp;L Account-Soda Ash Group"/>
      <sheetName val="P&amp;L Account-Bicarb Group"/>
      <sheetName val="P&amp;L Account-Chlor Caustic Group"/>
      <sheetName val="P&amp;L Account-Salt Group"/>
      <sheetName val="P&amp;L Account-Marine Group"/>
      <sheetName val="P&amp;L-Chemicals"/>
      <sheetName val="P&amp;L-Detergent"/>
      <sheetName val="P&amp;L-Cement"/>
      <sheetName val="P&amp;L-Fertiliser"/>
      <sheetName val="Total - Monthly"/>
      <sheetName val="Total - Quarter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st quarter"/>
      <sheetName val="2nd quarter"/>
      <sheetName val="3rd quarter"/>
      <sheetName val="4th quarter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>
        <row r="902">
          <cell r="A902" t="str">
            <v>NO:</v>
          </cell>
        </row>
        <row r="905">
          <cell r="A905" t="str">
            <v>NO:</v>
          </cell>
          <cell r="B905" t="str">
            <v>RM</v>
          </cell>
          <cell r="C905" t="str">
            <v>FM</v>
          </cell>
          <cell r="D905" t="str">
            <v>MATERIAL</v>
          </cell>
          <cell r="E905" t="str">
            <v>CPKO-23%</v>
          </cell>
          <cell r="F905">
            <v>109</v>
          </cell>
          <cell r="G905" t="str">
            <v>109 B</v>
          </cell>
          <cell r="H905" t="str">
            <v>SEWREE</v>
          </cell>
          <cell r="I905" t="str">
            <v>TALOJA</v>
          </cell>
          <cell r="J905" t="str">
            <v>KUTCH-1</v>
          </cell>
          <cell r="K905" t="str">
            <v>KUTCH-2</v>
          </cell>
          <cell r="L905" t="str">
            <v>KUTCH-O</v>
          </cell>
          <cell r="M905" t="str">
            <v>GIT</v>
          </cell>
          <cell r="N905" t="str">
            <v>BADDI</v>
          </cell>
          <cell r="O905">
            <v>109</v>
          </cell>
          <cell r="P905" t="str">
            <v>109 B</v>
          </cell>
          <cell r="Q905" t="str">
            <v>SEWREE</v>
          </cell>
          <cell r="R905" t="str">
            <v>TALOJA</v>
          </cell>
          <cell r="S905" t="str">
            <v>KUTCH-1</v>
          </cell>
          <cell r="T905" t="str">
            <v>KUTCH-2</v>
          </cell>
          <cell r="U905" t="str">
            <v>KUTCH-O</v>
          </cell>
          <cell r="V905" t="str">
            <v>GIT</v>
          </cell>
          <cell r="W905" t="str">
            <v>BADDI</v>
          </cell>
          <cell r="X905">
            <v>109</v>
          </cell>
          <cell r="Y905" t="str">
            <v>109 B</v>
          </cell>
          <cell r="Z905" t="str">
            <v>SEWREE</v>
          </cell>
          <cell r="AA905" t="str">
            <v>TALOJA</v>
          </cell>
          <cell r="AB905" t="str">
            <v>KUTCH-1</v>
          </cell>
          <cell r="AC905" t="str">
            <v>KUTCH-2</v>
          </cell>
          <cell r="AD905" t="str">
            <v>KUTCH-O</v>
          </cell>
          <cell r="AE905" t="str">
            <v>GIT</v>
          </cell>
          <cell r="AF905" t="str">
            <v>BADDI</v>
          </cell>
          <cell r="AG905">
            <v>109</v>
          </cell>
          <cell r="AH905" t="str">
            <v>109 B</v>
          </cell>
          <cell r="AI905" t="str">
            <v>SEWREE</v>
          </cell>
          <cell r="AJ905" t="str">
            <v>TALOJA</v>
          </cell>
          <cell r="AK905" t="str">
            <v>KUTCH-1</v>
          </cell>
          <cell r="AL905" t="str">
            <v>KUTCH-2</v>
          </cell>
          <cell r="AM905" t="str">
            <v>KUTCH-O</v>
          </cell>
          <cell r="AN905" t="str">
            <v>GIT</v>
          </cell>
          <cell r="AO905" t="str">
            <v>BADDI</v>
          </cell>
          <cell r="AP905">
            <v>109</v>
          </cell>
          <cell r="AQ905" t="str">
            <v>109 B</v>
          </cell>
          <cell r="AR905" t="str">
            <v>SEWREE</v>
          </cell>
          <cell r="AS905" t="str">
            <v>TALOJA</v>
          </cell>
          <cell r="AT905" t="str">
            <v>KUTCH-1</v>
          </cell>
          <cell r="AU905" t="str">
            <v>KUTCH-2</v>
          </cell>
          <cell r="AV905" t="str">
            <v>KUTCH-O</v>
          </cell>
          <cell r="AW905" t="str">
            <v>GIT</v>
          </cell>
          <cell r="AX905" t="str">
            <v>BADDI</v>
          </cell>
          <cell r="AY905">
            <v>109</v>
          </cell>
          <cell r="AZ905" t="str">
            <v>109 B</v>
          </cell>
          <cell r="BA905" t="str">
            <v>SEWREE</v>
          </cell>
          <cell r="BB905" t="str">
            <v>TALOJA</v>
          </cell>
          <cell r="BC905" t="str">
            <v>KUTCH-1</v>
          </cell>
          <cell r="BD905" t="str">
            <v>KUTCH-2</v>
          </cell>
          <cell r="BE905" t="str">
            <v>KUTCH-O</v>
          </cell>
          <cell r="BF905" t="str">
            <v>GIT</v>
          </cell>
          <cell r="BG905" t="str">
            <v>BADDI</v>
          </cell>
          <cell r="BH905">
            <v>109</v>
          </cell>
          <cell r="BI905" t="str">
            <v>109 B</v>
          </cell>
          <cell r="BJ905" t="str">
            <v>SEWREE</v>
          </cell>
          <cell r="BK905" t="str">
            <v>TALOJA</v>
          </cell>
          <cell r="BL905" t="str">
            <v>KUTCH-1</v>
          </cell>
          <cell r="BM905" t="str">
            <v>KUTCH-2</v>
          </cell>
          <cell r="BN905" t="str">
            <v>KUTCH-O</v>
          </cell>
          <cell r="BO905" t="str">
            <v>GIT</v>
          </cell>
          <cell r="BP905" t="str">
            <v>BADDI</v>
          </cell>
          <cell r="BQ905">
            <v>109</v>
          </cell>
          <cell r="BR905" t="str">
            <v>109 B</v>
          </cell>
          <cell r="BS905" t="str">
            <v>SEWREE</v>
          </cell>
          <cell r="BT905" t="str">
            <v>TALOJA</v>
          </cell>
          <cell r="BU905" t="str">
            <v>KUTCH-1</v>
          </cell>
          <cell r="BV905" t="str">
            <v>KUTCH-2</v>
          </cell>
          <cell r="BW905" t="str">
            <v>KUTCH-O</v>
          </cell>
          <cell r="BX905" t="str">
            <v>GIT</v>
          </cell>
          <cell r="BY905" t="str">
            <v>BADDI</v>
          </cell>
          <cell r="BZ905">
            <v>109</v>
          </cell>
          <cell r="CA905" t="str">
            <v>109 B</v>
          </cell>
          <cell r="CB905" t="str">
            <v>SEWREE</v>
          </cell>
          <cell r="CC905" t="str">
            <v>TALOJA</v>
          </cell>
          <cell r="CD905" t="str">
            <v>KUTCH-1</v>
          </cell>
          <cell r="CE905" t="str">
            <v>KUTCH-2</v>
          </cell>
          <cell r="CF905" t="str">
            <v>KUTCH-O</v>
          </cell>
          <cell r="CG905" t="str">
            <v>GIT</v>
          </cell>
          <cell r="CH905" t="str">
            <v>BADDI</v>
          </cell>
          <cell r="CI905">
            <v>109</v>
          </cell>
          <cell r="CJ905" t="str">
            <v>109 B</v>
          </cell>
          <cell r="CK905" t="str">
            <v>SEWREE</v>
          </cell>
          <cell r="CL905" t="str">
            <v>TALOJA</v>
          </cell>
          <cell r="CM905" t="str">
            <v>KUTCH-1</v>
          </cell>
          <cell r="CN905" t="str">
            <v>KUTCH-2</v>
          </cell>
          <cell r="CO905" t="str">
            <v>KUTCH-O</v>
          </cell>
          <cell r="CP905" t="str">
            <v>GIT</v>
          </cell>
          <cell r="CQ905" t="str">
            <v>BADDI</v>
          </cell>
          <cell r="CR905">
            <v>109</v>
          </cell>
          <cell r="CS905" t="str">
            <v>109 B</v>
          </cell>
          <cell r="CT905" t="str">
            <v>SEWREE</v>
          </cell>
          <cell r="CU905" t="str">
            <v>TALOJA</v>
          </cell>
          <cell r="CV905" t="str">
            <v>KUTCH-1</v>
          </cell>
          <cell r="CW905" t="str">
            <v>KUTCH-2</v>
          </cell>
          <cell r="CX905" t="str">
            <v>KUTCH-O</v>
          </cell>
          <cell r="CY905" t="str">
            <v>GIT</v>
          </cell>
          <cell r="CZ905" t="str">
            <v>BADDI</v>
          </cell>
          <cell r="DA905">
            <v>109</v>
          </cell>
          <cell r="DB905" t="str">
            <v>109 B</v>
          </cell>
          <cell r="DC905" t="str">
            <v>SEWREE</v>
          </cell>
          <cell r="DD905" t="str">
            <v>TALOJA</v>
          </cell>
          <cell r="DE905" t="str">
            <v>KUTCH-1</v>
          </cell>
          <cell r="DF905" t="str">
            <v>KUTCH-2</v>
          </cell>
          <cell r="DG905" t="str">
            <v>KUTCH-O</v>
          </cell>
          <cell r="DH905" t="str">
            <v>GIT</v>
          </cell>
          <cell r="DI905" t="str">
            <v>BADDI</v>
          </cell>
          <cell r="DJ905">
            <v>109</v>
          </cell>
          <cell r="DK905" t="str">
            <v>109 B</v>
          </cell>
          <cell r="DL905" t="str">
            <v>SEWREE</v>
          </cell>
          <cell r="DM905" t="str">
            <v>TALOJA</v>
          </cell>
          <cell r="DN905" t="str">
            <v>KUTCH-1</v>
          </cell>
          <cell r="DO905" t="str">
            <v>KUTCH-2</v>
          </cell>
          <cell r="DP905" t="str">
            <v>KUTCH-O</v>
          </cell>
          <cell r="DQ905" t="str">
            <v>GIT</v>
          </cell>
          <cell r="DR905" t="str">
            <v>BADDI</v>
          </cell>
        </row>
        <row r="906">
          <cell r="A906" t="str">
            <v>RAW MATERIALS</v>
          </cell>
          <cell r="B906" t="str">
            <v>RM</v>
          </cell>
          <cell r="C906" t="str">
            <v>FM</v>
          </cell>
          <cell r="D906" t="str">
            <v>CNO-C</v>
          </cell>
          <cell r="E906" t="str">
            <v>CNO-C</v>
          </cell>
          <cell r="AS906">
            <v>19.183500000000002</v>
          </cell>
          <cell r="AW906">
            <v>15.58</v>
          </cell>
          <cell r="BB906">
            <v>76.734000000000009</v>
          </cell>
        </row>
        <row r="907">
          <cell r="A907">
            <v>1</v>
          </cell>
          <cell r="B907" t="str">
            <v>RM</v>
          </cell>
          <cell r="C907" t="str">
            <v>FM</v>
          </cell>
          <cell r="D907" t="str">
            <v>CPKO-5%</v>
          </cell>
          <cell r="E907" t="str">
            <v>CPKO-5%</v>
          </cell>
          <cell r="K907">
            <v>1805.3820000000001</v>
          </cell>
          <cell r="L907">
            <v>1564.769</v>
          </cell>
          <cell r="T907">
            <v>1097.1579999999999</v>
          </cell>
          <cell r="U907">
            <v>23.028999999999996</v>
          </cell>
          <cell r="V907">
            <v>69</v>
          </cell>
          <cell r="AC907">
            <v>435.06400000000002</v>
          </cell>
          <cell r="AD907">
            <v>2034.7439999999999</v>
          </cell>
          <cell r="AL907">
            <v>53.365000000000002</v>
          </cell>
          <cell r="AM907">
            <v>7665.7569999999996</v>
          </cell>
          <cell r="AU907">
            <v>2361.65</v>
          </cell>
          <cell r="AV907">
            <v>3836.8470000000002</v>
          </cell>
          <cell r="AW907">
            <v>31.81</v>
          </cell>
          <cell r="BD907">
            <v>2410.4899999999998</v>
          </cell>
          <cell r="BE907">
            <v>2768.5259999999998</v>
          </cell>
          <cell r="BM907">
            <v>2799.6010000000001</v>
          </cell>
          <cell r="BN907">
            <v>1327.9059999999999</v>
          </cell>
          <cell r="BO907">
            <v>49.48</v>
          </cell>
          <cell r="BT907">
            <v>179</v>
          </cell>
          <cell r="BV907">
            <v>2421.346</v>
          </cell>
          <cell r="BW907">
            <v>6451.692</v>
          </cell>
          <cell r="CC907">
            <v>242.9</v>
          </cell>
          <cell r="CE907">
            <v>2797.6179999999999</v>
          </cell>
          <cell r="CF907">
            <v>4336.3670000000002</v>
          </cell>
          <cell r="CG907">
            <v>16</v>
          </cell>
          <cell r="CL907">
            <v>294.60000000000002</v>
          </cell>
          <cell r="CN907">
            <v>3421.723</v>
          </cell>
          <cell r="CO907">
            <v>1759.5389999999998</v>
          </cell>
          <cell r="CU907">
            <v>302.60000000000002</v>
          </cell>
          <cell r="CW907">
            <v>3912.8670000000002</v>
          </cell>
          <cell r="CX907">
            <v>271.69900000000001</v>
          </cell>
          <cell r="DD907">
            <v>302.60000000000002</v>
          </cell>
          <cell r="DF907">
            <v>2931.4839999999999</v>
          </cell>
          <cell r="DG907">
            <v>4.649</v>
          </cell>
          <cell r="DO907">
            <v>826.71299999999997</v>
          </cell>
          <cell r="DP907">
            <v>8938.6620000000003</v>
          </cell>
        </row>
        <row r="908">
          <cell r="A908">
            <v>2</v>
          </cell>
          <cell r="B908" t="str">
            <v>RM</v>
          </cell>
          <cell r="C908" t="str">
            <v>FM</v>
          </cell>
          <cell r="D908" t="str">
            <v>CPKO-23%</v>
          </cell>
          <cell r="E908" t="str">
            <v>CPKO-23%</v>
          </cell>
        </row>
        <row r="909">
          <cell r="A909">
            <v>3</v>
          </cell>
          <cell r="B909" t="str">
            <v>RM</v>
          </cell>
          <cell r="C909" t="str">
            <v>FM</v>
          </cell>
          <cell r="D909" t="str">
            <v>CNO-C</v>
          </cell>
          <cell r="E909" t="str">
            <v>CNO-C</v>
          </cell>
          <cell r="I909">
            <v>248.68</v>
          </cell>
          <cell r="K909">
            <v>258.79000000000002</v>
          </cell>
          <cell r="M909">
            <v>43.79</v>
          </cell>
          <cell r="R909">
            <v>340.29428571428571</v>
          </cell>
          <cell r="T909">
            <v>11.445</v>
          </cell>
          <cell r="AA909">
            <v>314.5422857142857</v>
          </cell>
          <cell r="AC909">
            <v>49.954999999999998</v>
          </cell>
          <cell r="AJ909">
            <v>75.34</v>
          </cell>
          <cell r="AL909">
            <v>92.775000000000006</v>
          </cell>
          <cell r="AS909">
            <v>19.183500000000002</v>
          </cell>
          <cell r="AU909">
            <v>92.775000000000006</v>
          </cell>
          <cell r="AW909">
            <v>15.58</v>
          </cell>
          <cell r="BB909">
            <v>76.734000000000009</v>
          </cell>
          <cell r="BD909">
            <v>92.775000000000006</v>
          </cell>
          <cell r="BF909">
            <v>87.62</v>
          </cell>
          <cell r="BT909">
            <v>161.19999999999999</v>
          </cell>
          <cell r="BX909">
            <v>16</v>
          </cell>
          <cell r="CC909">
            <v>192</v>
          </cell>
          <cell r="CL909">
            <v>181</v>
          </cell>
          <cell r="CU909">
            <v>189</v>
          </cell>
          <cell r="DD909">
            <v>204.2</v>
          </cell>
          <cell r="DM909">
            <v>126</v>
          </cell>
        </row>
        <row r="910">
          <cell r="A910">
            <v>4</v>
          </cell>
          <cell r="B910" t="str">
            <v>RM</v>
          </cell>
          <cell r="C910" t="str">
            <v>FM</v>
          </cell>
          <cell r="D910" t="str">
            <v>CNO-R</v>
          </cell>
          <cell r="E910" t="str">
            <v>CNO-R</v>
          </cell>
        </row>
        <row r="911">
          <cell r="A911">
            <v>5</v>
          </cell>
          <cell r="B911" t="str">
            <v>RM</v>
          </cell>
          <cell r="C911" t="str">
            <v>FM</v>
          </cell>
          <cell r="D911" t="str">
            <v>PKFAD</v>
          </cell>
          <cell r="E911" t="str">
            <v>PKFAD</v>
          </cell>
          <cell r="BU911">
            <v>14.904</v>
          </cell>
        </row>
        <row r="912">
          <cell r="A912">
            <v>6</v>
          </cell>
          <cell r="B912" t="str">
            <v>RM</v>
          </cell>
          <cell r="C912" t="str">
            <v>FM</v>
          </cell>
          <cell r="D912" t="str">
            <v>RBDPS</v>
          </cell>
          <cell r="E912" t="str">
            <v>RBDPS</v>
          </cell>
          <cell r="I912">
            <v>248.68</v>
          </cell>
          <cell r="K912">
            <v>258.79000000000002</v>
          </cell>
          <cell r="M912">
            <v>43.79</v>
          </cell>
          <cell r="R912">
            <v>340.29428571428571</v>
          </cell>
          <cell r="T912">
            <v>11.445</v>
          </cell>
          <cell r="AA912">
            <v>314.5422857142857</v>
          </cell>
          <cell r="AC912">
            <v>49.954999999999998</v>
          </cell>
          <cell r="AJ912">
            <v>75.34</v>
          </cell>
          <cell r="AL912">
            <v>92.775000000000006</v>
          </cell>
          <cell r="AU912">
            <v>92.775000000000006</v>
          </cell>
          <cell r="BB912">
            <v>64.38</v>
          </cell>
          <cell r="BD912">
            <v>92.775000000000006</v>
          </cell>
          <cell r="BF912">
            <v>87.62</v>
          </cell>
          <cell r="BK912">
            <v>110.36571428571429</v>
          </cell>
          <cell r="BM912">
            <v>92.775000000000006</v>
          </cell>
          <cell r="BO912">
            <v>161.16999999999999</v>
          </cell>
          <cell r="BT912">
            <v>62.540571428571404</v>
          </cell>
          <cell r="BV912">
            <v>92.775000000000006</v>
          </cell>
          <cell r="BX912">
            <v>164.85</v>
          </cell>
          <cell r="CC912">
            <v>763.4</v>
          </cell>
          <cell r="CE912">
            <v>92.775000000000006</v>
          </cell>
          <cell r="CG912">
            <v>143.4</v>
          </cell>
          <cell r="CL912">
            <v>776.2</v>
          </cell>
          <cell r="CN912">
            <v>92.775000000000006</v>
          </cell>
          <cell r="CU912">
            <v>776.2</v>
          </cell>
          <cell r="CW912">
            <v>92.775000000000006</v>
          </cell>
          <cell r="DD912">
            <v>756</v>
          </cell>
          <cell r="DF912">
            <v>92.775000000000006</v>
          </cell>
          <cell r="DM912">
            <v>573.90171428571432</v>
          </cell>
          <cell r="DO912">
            <v>92.775000000000006</v>
          </cell>
        </row>
        <row r="913">
          <cell r="A913">
            <v>7</v>
          </cell>
          <cell r="B913" t="str">
            <v>RM</v>
          </cell>
          <cell r="C913" t="str">
            <v>FM</v>
          </cell>
          <cell r="D913" t="str">
            <v>CPS-5%</v>
          </cell>
          <cell r="E913" t="str">
            <v>CPS-5%</v>
          </cell>
        </row>
        <row r="914">
          <cell r="A914">
            <v>8</v>
          </cell>
          <cell r="B914" t="str">
            <v>RM</v>
          </cell>
          <cell r="C914" t="str">
            <v>FM</v>
          </cell>
          <cell r="D914" t="str">
            <v>CPS-20%</v>
          </cell>
          <cell r="E914" t="str">
            <v>CPS-20%</v>
          </cell>
        </row>
        <row r="915">
          <cell r="A915">
            <v>9</v>
          </cell>
          <cell r="B915" t="str">
            <v>RM</v>
          </cell>
          <cell r="C915" t="str">
            <v>FM</v>
          </cell>
          <cell r="D915" t="str">
            <v>CPS-23%-HLL</v>
          </cell>
          <cell r="E915" t="str">
            <v>CPS-23%-HLL</v>
          </cell>
          <cell r="J915">
            <v>162.99600000000001</v>
          </cell>
          <cell r="K915">
            <v>674.99799999999993</v>
          </cell>
          <cell r="L915">
            <v>83.997</v>
          </cell>
          <cell r="T915">
            <v>21.858000000000001</v>
          </cell>
          <cell r="U915">
            <v>26.51</v>
          </cell>
          <cell r="V915">
            <v>182</v>
          </cell>
          <cell r="AA915">
            <v>360.52800000000002</v>
          </cell>
          <cell r="AC915">
            <v>332.59800000000001</v>
          </cell>
          <cell r="AD915">
            <v>26.51</v>
          </cell>
          <cell r="AE915">
            <v>46.17</v>
          </cell>
          <cell r="AJ915">
            <v>328.36</v>
          </cell>
          <cell r="AL915">
            <v>277.31900000000002</v>
          </cell>
          <cell r="AM915">
            <v>1182.0889999999999</v>
          </cell>
          <cell r="AR915">
            <v>1398.75</v>
          </cell>
          <cell r="AU915">
            <v>20.984000000000002</v>
          </cell>
          <cell r="AV915">
            <v>26.498000000000001</v>
          </cell>
          <cell r="AW915">
            <v>23.51</v>
          </cell>
          <cell r="BA915">
            <v>2777.92</v>
          </cell>
          <cell r="BB915">
            <v>294.14699999999999</v>
          </cell>
          <cell r="BD915">
            <v>20.984000000000002</v>
          </cell>
          <cell r="BE915">
            <v>26.498000000000001</v>
          </cell>
          <cell r="BF915">
            <v>142.69999999999999</v>
          </cell>
        </row>
        <row r="916">
          <cell r="A916">
            <v>10</v>
          </cell>
          <cell r="B916" t="str">
            <v>RM</v>
          </cell>
          <cell r="C916" t="str">
            <v>FM</v>
          </cell>
          <cell r="D916" t="str">
            <v>CPO</v>
          </cell>
          <cell r="E916" t="str">
            <v>CPO</v>
          </cell>
          <cell r="K916">
            <v>790.89499999999998</v>
          </cell>
          <cell r="T916">
            <v>807.61500000000001</v>
          </cell>
          <cell r="AL916">
            <v>157.19900000000001</v>
          </cell>
          <cell r="AN916">
            <v>16</v>
          </cell>
          <cell r="AU916">
            <v>263.10500000000002</v>
          </cell>
          <cell r="BD916">
            <v>5.2010000000000218</v>
          </cell>
        </row>
        <row r="917">
          <cell r="A917">
            <v>11</v>
          </cell>
          <cell r="B917" t="str">
            <v>RM</v>
          </cell>
          <cell r="C917" t="str">
            <v>FM</v>
          </cell>
          <cell r="D917" t="str">
            <v>RBDPN</v>
          </cell>
          <cell r="E917" t="str">
            <v>RBDPN</v>
          </cell>
          <cell r="AL917">
            <v>181.78</v>
          </cell>
        </row>
        <row r="918">
          <cell r="A918">
            <v>12</v>
          </cell>
          <cell r="B918" t="str">
            <v>RM</v>
          </cell>
          <cell r="C918" t="str">
            <v>FM</v>
          </cell>
          <cell r="D918" t="str">
            <v>PFAD</v>
          </cell>
          <cell r="E918" t="str">
            <v>PFAD</v>
          </cell>
          <cell r="F918">
            <v>264.62</v>
          </cell>
          <cell r="G918">
            <v>357.9</v>
          </cell>
          <cell r="J918">
            <v>162.99600000000001</v>
          </cell>
          <cell r="K918">
            <v>674.99799999999993</v>
          </cell>
          <cell r="L918">
            <v>83.997</v>
          </cell>
          <cell r="O918">
            <v>301.3</v>
          </cell>
          <cell r="P918">
            <v>194.71</v>
          </cell>
          <cell r="R918">
            <v>794.6</v>
          </cell>
          <cell r="S918">
            <v>1140.9110000000001</v>
          </cell>
          <cell r="T918">
            <v>21.858000000000001</v>
          </cell>
          <cell r="U918">
            <v>26.51</v>
          </cell>
          <cell r="V918">
            <v>182</v>
          </cell>
          <cell r="X918">
            <v>269.20999999999998</v>
          </cell>
          <cell r="Y918">
            <v>91.71</v>
          </cell>
          <cell r="AA918">
            <v>360.52800000000002</v>
          </cell>
          <cell r="AB918">
            <v>1037.703</v>
          </cell>
          <cell r="AC918">
            <v>332.59800000000001</v>
          </cell>
          <cell r="AD918">
            <v>26.51</v>
          </cell>
          <cell r="AE918">
            <v>46.17</v>
          </cell>
          <cell r="AG918">
            <v>327.5</v>
          </cell>
          <cell r="AJ918">
            <v>328.36</v>
          </cell>
          <cell r="AK918">
            <v>978.48199999999997</v>
          </cell>
          <cell r="AL918">
            <v>277.31900000000002</v>
          </cell>
          <cell r="AM918">
            <v>1182.0889999999999</v>
          </cell>
          <cell r="AP918">
            <v>345.84</v>
          </cell>
          <cell r="AQ918">
            <v>91.71</v>
          </cell>
          <cell r="AR918">
            <v>1398.75</v>
          </cell>
          <cell r="AT918">
            <v>948.21799999999996</v>
          </cell>
          <cell r="AU918">
            <v>20.984000000000002</v>
          </cell>
          <cell r="AV918">
            <v>26.498000000000001</v>
          </cell>
          <cell r="AW918">
            <v>23.51</v>
          </cell>
          <cell r="AY918">
            <v>281.64999999999998</v>
          </cell>
          <cell r="AZ918">
            <v>91.71</v>
          </cell>
          <cell r="BA918">
            <v>2777.92</v>
          </cell>
          <cell r="BB918">
            <v>294.14699999999999</v>
          </cell>
          <cell r="BC918">
            <v>879.428</v>
          </cell>
          <cell r="BD918">
            <v>20.984000000000002</v>
          </cell>
          <cell r="BE918">
            <v>26.498000000000001</v>
          </cell>
          <cell r="BF918">
            <v>142.69999999999999</v>
          </cell>
          <cell r="BJ918">
            <v>2484.8629999999998</v>
          </cell>
          <cell r="BK918">
            <v>166.25700000000001</v>
          </cell>
          <cell r="BM918">
            <v>373.34699999999998</v>
          </cell>
          <cell r="BN918">
            <v>2347.924</v>
          </cell>
          <cell r="BS918">
            <v>2256.2530000000002</v>
          </cell>
          <cell r="BT918">
            <v>93.177000000000021</v>
          </cell>
          <cell r="BV918">
            <v>158.55199999999996</v>
          </cell>
          <cell r="BW918">
            <v>1022.981</v>
          </cell>
          <cell r="BX918">
            <v>147</v>
          </cell>
          <cell r="CB918">
            <v>1638.6869999999999</v>
          </cell>
          <cell r="CC918">
            <v>286.839</v>
          </cell>
          <cell r="CE918">
            <v>125.075</v>
          </cell>
          <cell r="CF918">
            <v>28.311</v>
          </cell>
          <cell r="CG918">
            <v>78.13</v>
          </cell>
          <cell r="CK918">
            <v>1638.6869999999999</v>
          </cell>
          <cell r="CL918">
            <v>232.029</v>
          </cell>
          <cell r="CN918">
            <v>412.98</v>
          </cell>
          <cell r="CO918">
            <v>28.311</v>
          </cell>
          <cell r="CP918">
            <v>100.36</v>
          </cell>
          <cell r="CT918">
            <v>1638.6869999999999</v>
          </cell>
          <cell r="CU918">
            <v>542.25360000000001</v>
          </cell>
          <cell r="CW918">
            <v>509.3</v>
          </cell>
          <cell r="CX918">
            <v>28.311</v>
          </cell>
          <cell r="DC918">
            <v>1638.6869999999999</v>
          </cell>
          <cell r="DD918">
            <v>438.48</v>
          </cell>
          <cell r="DF918">
            <v>509.3</v>
          </cell>
          <cell r="DG918">
            <v>28.311</v>
          </cell>
          <cell r="DH918">
            <v>218.17</v>
          </cell>
          <cell r="DL918">
            <v>1638.6869999999999</v>
          </cell>
          <cell r="DM918">
            <v>179.04600000000002</v>
          </cell>
          <cell r="DO918">
            <v>15.738</v>
          </cell>
          <cell r="DP918">
            <v>28.311</v>
          </cell>
          <cell r="DQ918">
            <v>38.83</v>
          </cell>
        </row>
        <row r="919">
          <cell r="A919">
            <v>13</v>
          </cell>
          <cell r="B919" t="str">
            <v>RM</v>
          </cell>
          <cell r="C919" t="str">
            <v>FM</v>
          </cell>
          <cell r="D919" t="str">
            <v>MUSTARD OIL-EXPELLER</v>
          </cell>
          <cell r="E919" t="str">
            <v>MUSTARD OIL-EXPELLER</v>
          </cell>
          <cell r="I919">
            <v>609.70000000000005</v>
          </cell>
          <cell r="J919">
            <v>153.61099999999999</v>
          </cell>
          <cell r="K919">
            <v>790.89499999999998</v>
          </cell>
          <cell r="T919">
            <v>807.61500000000001</v>
          </cell>
          <cell r="V919">
            <v>128</v>
          </cell>
          <cell r="AA919">
            <v>1157.8</v>
          </cell>
          <cell r="AB919">
            <v>181.316</v>
          </cell>
          <cell r="AE919">
            <v>17.14</v>
          </cell>
          <cell r="AH919">
            <v>91.71</v>
          </cell>
          <cell r="AJ919">
            <v>1262</v>
          </cell>
          <cell r="AK919">
            <v>200.26900000000001</v>
          </cell>
          <cell r="AL919">
            <v>157.19900000000001</v>
          </cell>
          <cell r="AN919">
            <v>16</v>
          </cell>
          <cell r="AS919">
            <v>1684.2</v>
          </cell>
          <cell r="AT919">
            <v>151.47300000000001</v>
          </cell>
          <cell r="AU919">
            <v>263.10500000000002</v>
          </cell>
          <cell r="BB919">
            <v>1739.4</v>
          </cell>
          <cell r="BC919">
            <v>131.303</v>
          </cell>
          <cell r="BD919">
            <v>5.2010000000000218</v>
          </cell>
          <cell r="BM919">
            <v>78.153999999999968</v>
          </cell>
          <cell r="CE919">
            <v>250.35299999999998</v>
          </cell>
          <cell r="CN919">
            <v>340.53199999999998</v>
          </cell>
          <cell r="CW919">
            <v>11.956999999999994</v>
          </cell>
          <cell r="DH919">
            <v>128.37</v>
          </cell>
          <cell r="DO919">
            <v>124.37</v>
          </cell>
        </row>
        <row r="920">
          <cell r="A920">
            <v>14</v>
          </cell>
          <cell r="B920" t="str">
            <v>RM</v>
          </cell>
          <cell r="C920" t="str">
            <v>FM</v>
          </cell>
          <cell r="D920" t="str">
            <v>MUSTARD OIL-REFINED</v>
          </cell>
          <cell r="E920" t="str">
            <v>MUSTARD OIL-REFINED</v>
          </cell>
          <cell r="AL920">
            <v>181.78</v>
          </cell>
        </row>
        <row r="921">
          <cell r="A921">
            <v>15</v>
          </cell>
          <cell r="B921" t="str">
            <v>RM</v>
          </cell>
          <cell r="C921" t="str">
            <v>FM</v>
          </cell>
          <cell r="D921" t="str">
            <v>CRUDE GLYCERINE</v>
          </cell>
          <cell r="E921" t="str">
            <v>CRUDE GLYCERINE</v>
          </cell>
          <cell r="F921">
            <v>264.62</v>
          </cell>
          <cell r="G921">
            <v>357.9</v>
          </cell>
          <cell r="J921">
            <v>1223.1969999999999</v>
          </cell>
          <cell r="K921">
            <v>1949.511</v>
          </cell>
          <cell r="O921">
            <v>301.3</v>
          </cell>
          <cell r="P921">
            <v>194.71</v>
          </cell>
          <cell r="R921">
            <v>794.6</v>
          </cell>
          <cell r="S921">
            <v>1140.9110000000001</v>
          </cell>
          <cell r="T921">
            <v>2177.3760000000002</v>
          </cell>
          <cell r="X921">
            <v>269.20999999999998</v>
          </cell>
          <cell r="Y921">
            <v>91.71</v>
          </cell>
          <cell r="AB921">
            <v>1037.703</v>
          </cell>
          <cell r="AC921">
            <v>2407.8220000000001</v>
          </cell>
          <cell r="AG921">
            <v>327.5</v>
          </cell>
          <cell r="AK921">
            <v>978.48199999999997</v>
          </cell>
          <cell r="AL921">
            <v>2474.8020000000001</v>
          </cell>
          <cell r="AP921">
            <v>345.84</v>
          </cell>
          <cell r="AQ921">
            <v>91.71</v>
          </cell>
          <cell r="AT921">
            <v>948.21799999999996</v>
          </cell>
          <cell r="AU921">
            <v>2317.2399999999998</v>
          </cell>
          <cell r="AY921">
            <v>281.64999999999998</v>
          </cell>
          <cell r="AZ921">
            <v>91.71</v>
          </cell>
          <cell r="BC921">
            <v>879.428</v>
          </cell>
          <cell r="BD921">
            <v>2449.2719999999999</v>
          </cell>
          <cell r="BH921">
            <v>275.10000000000002</v>
          </cell>
          <cell r="BI921">
            <v>91.71</v>
          </cell>
          <cell r="BM921">
            <v>2439.5920000000001</v>
          </cell>
          <cell r="BQ921">
            <v>368.11</v>
          </cell>
          <cell r="BR921">
            <v>91.71</v>
          </cell>
          <cell r="BU921">
            <v>1146.9359999999999</v>
          </cell>
          <cell r="BV921">
            <v>2407.7060000000001</v>
          </cell>
          <cell r="BZ921">
            <v>248.245</v>
          </cell>
          <cell r="CA921">
            <v>91.71</v>
          </cell>
          <cell r="CD921">
            <v>1019.328</v>
          </cell>
          <cell r="CE921">
            <v>2483.9140000000002</v>
          </cell>
          <cell r="CI921">
            <v>353.7</v>
          </cell>
          <cell r="CJ921">
            <v>91.71</v>
          </cell>
          <cell r="CM921">
            <v>952.58399999999995</v>
          </cell>
          <cell r="CN921">
            <v>2389.5</v>
          </cell>
          <cell r="CR921">
            <v>335.36</v>
          </cell>
          <cell r="CS921">
            <v>193.18</v>
          </cell>
          <cell r="CV921">
            <v>1066.432</v>
          </cell>
          <cell r="CW921">
            <v>2367.8629999999998</v>
          </cell>
          <cell r="DA921">
            <v>320.95</v>
          </cell>
          <cell r="DB921">
            <v>150.43</v>
          </cell>
          <cell r="DE921">
            <v>1171.4459999999999</v>
          </cell>
          <cell r="DF921">
            <v>2292.6799999999998</v>
          </cell>
          <cell r="DJ921">
            <v>203.70500000000001</v>
          </cell>
          <cell r="DK921">
            <v>107.01</v>
          </cell>
          <cell r="DN921">
            <v>1071.231</v>
          </cell>
          <cell r="DO921">
            <v>2481.79</v>
          </cell>
          <cell r="DQ921">
            <v>90.37</v>
          </cell>
        </row>
        <row r="922">
          <cell r="A922">
            <v>16</v>
          </cell>
          <cell r="B922" t="str">
            <v>RM</v>
          </cell>
          <cell r="C922" t="str">
            <v>FM</v>
          </cell>
          <cell r="D922" t="str">
            <v>CAUSTIC SODA</v>
          </cell>
          <cell r="E922" t="str">
            <v>CAUSTIC SODA</v>
          </cell>
          <cell r="F922">
            <v>264.62</v>
          </cell>
          <cell r="G922">
            <v>357.9</v>
          </cell>
          <cell r="H922">
            <v>0</v>
          </cell>
          <cell r="I922">
            <v>609.70000000000005</v>
          </cell>
          <cell r="J922">
            <v>153.61099999999999</v>
          </cell>
          <cell r="K922">
            <v>5479.576</v>
          </cell>
          <cell r="L922">
            <v>1648.7660000000001</v>
          </cell>
          <cell r="M922">
            <v>43.79</v>
          </cell>
          <cell r="N922">
            <v>0</v>
          </cell>
          <cell r="O922">
            <v>301.3</v>
          </cell>
          <cell r="P922">
            <v>194.71</v>
          </cell>
          <cell r="Q922">
            <v>0</v>
          </cell>
          <cell r="R922">
            <v>1134.8942857142856</v>
          </cell>
          <cell r="S922">
            <v>1179.029</v>
          </cell>
          <cell r="T922">
            <v>4115.4520000000002</v>
          </cell>
          <cell r="U922">
            <v>49.539000000000001</v>
          </cell>
          <cell r="V922">
            <v>128</v>
          </cell>
          <cell r="W922">
            <v>0</v>
          </cell>
          <cell r="X922">
            <v>269.20999999999998</v>
          </cell>
          <cell r="Y922">
            <v>91.71</v>
          </cell>
          <cell r="Z922">
            <v>0</v>
          </cell>
          <cell r="AA922">
            <v>1157.8</v>
          </cell>
          <cell r="AB922">
            <v>181.316</v>
          </cell>
          <cell r="AC922">
            <v>3225.4390000000003</v>
          </cell>
          <cell r="AD922">
            <v>2061.2539999999999</v>
          </cell>
          <cell r="AE922">
            <v>17.14</v>
          </cell>
          <cell r="AF922">
            <v>0</v>
          </cell>
          <cell r="AG922">
            <v>327.5</v>
          </cell>
          <cell r="AH922">
            <v>91.71</v>
          </cell>
          <cell r="AI922">
            <v>0</v>
          </cell>
          <cell r="AJ922">
            <v>1262</v>
          </cell>
          <cell r="AK922">
            <v>200.26900000000001</v>
          </cell>
          <cell r="AL922">
            <v>3237.2400000000002</v>
          </cell>
          <cell r="AM922">
            <v>8847.8459999999995</v>
          </cell>
          <cell r="AN922">
            <v>42.81</v>
          </cell>
          <cell r="AO922">
            <v>0</v>
          </cell>
          <cell r="AP922">
            <v>345.84</v>
          </cell>
          <cell r="AQ922">
            <v>91.71</v>
          </cell>
          <cell r="AR922">
            <v>1398.75</v>
          </cell>
          <cell r="AS922">
            <v>1684.2</v>
          </cell>
          <cell r="AT922">
            <v>151.47300000000001</v>
          </cell>
          <cell r="AU922">
            <v>5055.7539999999999</v>
          </cell>
          <cell r="AV922">
            <v>3863.3450000000003</v>
          </cell>
          <cell r="AW922">
            <v>70.900000000000006</v>
          </cell>
          <cell r="AX922">
            <v>0</v>
          </cell>
          <cell r="AY922">
            <v>281.64999999999998</v>
          </cell>
          <cell r="AZ922">
            <v>91.71</v>
          </cell>
          <cell r="BA922">
            <v>2777.92</v>
          </cell>
          <cell r="BB922">
            <v>1739.4</v>
          </cell>
          <cell r="BC922">
            <v>131.303</v>
          </cell>
          <cell r="BD922">
            <v>4978.7219999999998</v>
          </cell>
          <cell r="BE922">
            <v>2795.0239999999999</v>
          </cell>
          <cell r="BF922">
            <v>230.32</v>
          </cell>
          <cell r="BG922">
            <v>0</v>
          </cell>
          <cell r="BK922">
            <v>1575.6</v>
          </cell>
          <cell r="BO922">
            <v>82.28</v>
          </cell>
          <cell r="BT922">
            <v>1522.1</v>
          </cell>
          <cell r="BU922">
            <v>129.02000000000001</v>
          </cell>
          <cell r="CC922">
            <v>1321.3</v>
          </cell>
          <cell r="CD922">
            <v>143.77500000000001</v>
          </cell>
          <cell r="CL922">
            <v>1117.2</v>
          </cell>
          <cell r="CM922">
            <v>118.336</v>
          </cell>
          <cell r="CU922">
            <v>1044.0999999999999</v>
          </cell>
          <cell r="CV922">
            <v>94.563000000000002</v>
          </cell>
          <cell r="DD922">
            <v>999.2</v>
          </cell>
          <cell r="DE922">
            <v>107.032</v>
          </cell>
          <cell r="DM922">
            <v>731.1</v>
          </cell>
          <cell r="DN922">
            <v>132.45099999999999</v>
          </cell>
        </row>
        <row r="923">
          <cell r="A923">
            <v>17</v>
          </cell>
          <cell r="B923" t="str">
            <v>RM</v>
          </cell>
          <cell r="C923" t="str">
            <v>FM</v>
          </cell>
          <cell r="D923" t="str">
            <v>MINERAL OIL(SAVANOL-82)</v>
          </cell>
          <cell r="E923" t="str">
            <v>MINERAL OIL(SAVANOL-82)</v>
          </cell>
        </row>
        <row r="924">
          <cell r="A924">
            <v>237</v>
          </cell>
          <cell r="B924" t="str">
            <v>RM</v>
          </cell>
          <cell r="C924" t="str">
            <v>FM</v>
          </cell>
          <cell r="D924" t="str">
            <v>NEEM OIL</v>
          </cell>
          <cell r="E924" t="str">
            <v>NEEM OIL</v>
          </cell>
          <cell r="G924">
            <v>792.15</v>
          </cell>
          <cell r="I924">
            <v>345.303</v>
          </cell>
          <cell r="J924">
            <v>38.118000000000002</v>
          </cell>
          <cell r="K924">
            <v>341.04200000000003</v>
          </cell>
          <cell r="M924">
            <v>661.44</v>
          </cell>
          <cell r="P924">
            <v>400.86</v>
          </cell>
          <cell r="R924">
            <v>179.04600000000002</v>
          </cell>
          <cell r="S924">
            <v>38.118000000000002</v>
          </cell>
          <cell r="T924">
            <v>393.22899999999993</v>
          </cell>
          <cell r="V924">
            <v>959.59</v>
          </cell>
          <cell r="Y924">
            <v>517.14</v>
          </cell>
          <cell r="AA924">
            <v>458.577</v>
          </cell>
          <cell r="AB924">
            <v>38.118000000000002</v>
          </cell>
          <cell r="AC924">
            <v>1237.2049999999999</v>
          </cell>
          <cell r="AE924">
            <v>1460.46</v>
          </cell>
          <cell r="AH924">
            <v>1330.48</v>
          </cell>
          <cell r="AJ924">
            <v>476.84700000000004</v>
          </cell>
          <cell r="AK924">
            <v>38.118000000000002</v>
          </cell>
          <cell r="AL924">
            <v>1651.412</v>
          </cell>
          <cell r="AN924">
            <v>633.09</v>
          </cell>
          <cell r="AQ924">
            <v>1238.76</v>
          </cell>
          <cell r="AS924">
            <v>365.4</v>
          </cell>
          <cell r="AU924">
            <v>666.34699999999987</v>
          </cell>
          <cell r="AW924">
            <v>863.63</v>
          </cell>
          <cell r="AZ924">
            <v>1435.66</v>
          </cell>
          <cell r="BB924">
            <v>498.77100000000007</v>
          </cell>
          <cell r="BD924">
            <v>1113.921</v>
          </cell>
          <cell r="BF924">
            <v>461.5</v>
          </cell>
        </row>
        <row r="925">
          <cell r="A925">
            <v>19</v>
          </cell>
          <cell r="B925" t="str">
            <v>SRM</v>
          </cell>
          <cell r="C925" t="str">
            <v>FM</v>
          </cell>
          <cell r="D925" t="str">
            <v>RM TOTAL</v>
          </cell>
          <cell r="E925" t="str">
            <v>RM TOTAL</v>
          </cell>
          <cell r="F925">
            <v>264.62</v>
          </cell>
          <cell r="G925">
            <v>357.9</v>
          </cell>
          <cell r="H925">
            <v>0</v>
          </cell>
          <cell r="I925">
            <v>858.38000000000011</v>
          </cell>
          <cell r="J925">
            <v>1577.922</v>
          </cell>
          <cell r="K925">
            <v>5479.576</v>
          </cell>
          <cell r="L925">
            <v>1648.7660000000001</v>
          </cell>
          <cell r="M925">
            <v>43.79</v>
          </cell>
          <cell r="N925">
            <v>0</v>
          </cell>
          <cell r="O925">
            <v>301.3</v>
          </cell>
          <cell r="P925">
            <v>194.71</v>
          </cell>
          <cell r="Q925">
            <v>0</v>
          </cell>
          <cell r="R925">
            <v>1134.8942857142856</v>
          </cell>
          <cell r="S925">
            <v>1179.029</v>
          </cell>
          <cell r="T925">
            <v>4115.4520000000002</v>
          </cell>
          <cell r="U925">
            <v>49.539000000000001</v>
          </cell>
          <cell r="V925">
            <v>379</v>
          </cell>
          <cell r="W925">
            <v>0</v>
          </cell>
          <cell r="X925">
            <v>269.20999999999998</v>
          </cell>
          <cell r="Y925">
            <v>91.71</v>
          </cell>
          <cell r="Z925">
            <v>0</v>
          </cell>
          <cell r="AA925">
            <v>1832.8702857142857</v>
          </cell>
          <cell r="AB925">
            <v>1257.1369999999999</v>
          </cell>
          <cell r="AC925">
            <v>3225.4390000000003</v>
          </cell>
          <cell r="AD925">
            <v>2061.2539999999999</v>
          </cell>
          <cell r="AE925">
            <v>63.31</v>
          </cell>
          <cell r="AF925">
            <v>0</v>
          </cell>
          <cell r="AG925">
            <v>327.5</v>
          </cell>
          <cell r="AH925">
            <v>91.71</v>
          </cell>
          <cell r="AI925">
            <v>0</v>
          </cell>
          <cell r="AJ925">
            <v>1665.7</v>
          </cell>
          <cell r="AK925">
            <v>1216.8689999999999</v>
          </cell>
          <cell r="AL925">
            <v>3237.2400000000002</v>
          </cell>
          <cell r="AM925">
            <v>8847.8459999999995</v>
          </cell>
          <cell r="AN925">
            <v>58.81</v>
          </cell>
          <cell r="AO925">
            <v>0</v>
          </cell>
          <cell r="AP925">
            <v>345.84</v>
          </cell>
          <cell r="AQ925">
            <v>91.71</v>
          </cell>
          <cell r="AR925">
            <v>1398.75</v>
          </cell>
          <cell r="AS925">
            <v>1703.3835000000001</v>
          </cell>
          <cell r="AT925">
            <v>1099.691</v>
          </cell>
          <cell r="AU925">
            <v>5055.7539999999999</v>
          </cell>
          <cell r="AV925">
            <v>3863.3450000000003</v>
          </cell>
          <cell r="AW925">
            <v>70.900000000000006</v>
          </cell>
          <cell r="AX925">
            <v>0</v>
          </cell>
          <cell r="AY925">
            <v>281.64999999999998</v>
          </cell>
          <cell r="AZ925">
            <v>91.71</v>
          </cell>
          <cell r="BA925">
            <v>2777.92</v>
          </cell>
          <cell r="BB925">
            <v>2174.6610000000001</v>
          </cell>
          <cell r="BC925">
            <v>1010.731</v>
          </cell>
          <cell r="BD925">
            <v>4978.7219999999998</v>
          </cell>
          <cell r="BE925">
            <v>2795.0239999999999</v>
          </cell>
          <cell r="BF925">
            <v>230.32</v>
          </cell>
          <cell r="BG925">
            <v>0</v>
          </cell>
          <cell r="BH925">
            <v>275.10000000000002</v>
          </cell>
          <cell r="BI925">
            <v>91.71</v>
          </cell>
          <cell r="BJ925">
            <v>2484.8629999999998</v>
          </cell>
          <cell r="BK925">
            <v>1852.2227142857141</v>
          </cell>
          <cell r="BL925">
            <v>0</v>
          </cell>
          <cell r="BM925">
            <v>5783.4690000000001</v>
          </cell>
          <cell r="BN925">
            <v>3675.83</v>
          </cell>
          <cell r="BO925">
            <v>292.92999999999995</v>
          </cell>
          <cell r="BP925">
            <v>0</v>
          </cell>
          <cell r="BQ925">
            <v>368.11</v>
          </cell>
          <cell r="BR925">
            <v>91.71</v>
          </cell>
          <cell r="BS925">
            <v>2256.2530000000002</v>
          </cell>
          <cell r="BT925">
            <v>2018.0175714285713</v>
          </cell>
          <cell r="BU925">
            <v>1290.8599999999999</v>
          </cell>
          <cell r="BV925">
            <v>5080.3790000000008</v>
          </cell>
          <cell r="BW925">
            <v>7474.6729999999998</v>
          </cell>
          <cell r="BX925">
            <v>327.85</v>
          </cell>
          <cell r="BY925">
            <v>0</v>
          </cell>
          <cell r="BZ925">
            <v>248.245</v>
          </cell>
          <cell r="CA925">
            <v>91.71</v>
          </cell>
          <cell r="CB925">
            <v>1638.6869999999999</v>
          </cell>
          <cell r="CC925">
            <v>2806.4389999999999</v>
          </cell>
          <cell r="CD925">
            <v>1163.1030000000001</v>
          </cell>
          <cell r="CE925">
            <v>5749.7350000000006</v>
          </cell>
          <cell r="CF925">
            <v>4364.6779999999999</v>
          </cell>
          <cell r="CG925">
            <v>237.53</v>
          </cell>
          <cell r="CH925">
            <v>0</v>
          </cell>
          <cell r="CI925">
            <v>353.7</v>
          </cell>
          <cell r="CJ925">
            <v>91.71</v>
          </cell>
          <cell r="CK925">
            <v>1638.6869999999999</v>
          </cell>
          <cell r="CL925">
            <v>2601.0290000000005</v>
          </cell>
          <cell r="CM925">
            <v>1070.9199999999998</v>
          </cell>
          <cell r="CN925">
            <v>6657.51</v>
          </cell>
          <cell r="CO925">
            <v>1787.8499999999997</v>
          </cell>
          <cell r="CP925">
            <v>100.36</v>
          </cell>
          <cell r="CQ925">
            <v>0</v>
          </cell>
          <cell r="CR925">
            <v>335.36</v>
          </cell>
          <cell r="CS925">
            <v>193.18</v>
          </cell>
          <cell r="CT925">
            <v>1638.6869999999999</v>
          </cell>
          <cell r="CU925">
            <v>2854.1536000000001</v>
          </cell>
          <cell r="CV925">
            <v>1160.9950000000001</v>
          </cell>
          <cell r="CW925">
            <v>6894.7620000000006</v>
          </cell>
          <cell r="CX925">
            <v>300.01</v>
          </cell>
          <cell r="CY925">
            <v>0</v>
          </cell>
          <cell r="CZ925">
            <v>0</v>
          </cell>
          <cell r="DA925">
            <v>320.95</v>
          </cell>
          <cell r="DB925">
            <v>150.43</v>
          </cell>
          <cell r="DC925">
            <v>1638.6869999999999</v>
          </cell>
          <cell r="DD925">
            <v>2700.48</v>
          </cell>
          <cell r="DE925">
            <v>1278.4779999999998</v>
          </cell>
          <cell r="DF925">
            <v>5826.2389999999996</v>
          </cell>
          <cell r="DG925">
            <v>32.96</v>
          </cell>
          <cell r="DH925">
            <v>346.53999999999996</v>
          </cell>
          <cell r="DI925">
            <v>0</v>
          </cell>
          <cell r="DJ925">
            <v>203.70500000000001</v>
          </cell>
          <cell r="DK925">
            <v>107.01</v>
          </cell>
          <cell r="DL925">
            <v>1638.6869999999999</v>
          </cell>
          <cell r="DM925">
            <v>1610.0477142857144</v>
          </cell>
          <cell r="DN925">
            <v>1203.682</v>
          </cell>
          <cell r="DO925">
            <v>3541.386</v>
          </cell>
          <cell r="DP925">
            <v>8966.973</v>
          </cell>
          <cell r="DQ925">
            <v>129.19999999999999</v>
          </cell>
          <cell r="DR925">
            <v>0</v>
          </cell>
        </row>
        <row r="926">
          <cell r="A926" t="str">
            <v>SPLIT FATTY ACIDS</v>
          </cell>
          <cell r="B926" t="str">
            <v>SRM</v>
          </cell>
          <cell r="C926" t="str">
            <v>FM</v>
          </cell>
          <cell r="D926" t="str">
            <v>SCPKO-HLL</v>
          </cell>
          <cell r="E926" t="str">
            <v>SCPKO-HLL</v>
          </cell>
        </row>
        <row r="927">
          <cell r="A927">
            <v>18</v>
          </cell>
          <cell r="B927" t="str">
            <v>SRM</v>
          </cell>
          <cell r="C927" t="str">
            <v>FM</v>
          </cell>
          <cell r="D927" t="str">
            <v>SCPKO</v>
          </cell>
          <cell r="E927" t="str">
            <v>SCPKO</v>
          </cell>
          <cell r="G927">
            <v>792.15</v>
          </cell>
          <cell r="I927">
            <v>345.303</v>
          </cell>
          <cell r="K927">
            <v>341.04200000000003</v>
          </cell>
          <cell r="M927">
            <v>661.44</v>
          </cell>
          <cell r="P927">
            <v>400.86</v>
          </cell>
          <cell r="R927">
            <v>179.04600000000002</v>
          </cell>
          <cell r="T927">
            <v>393.22899999999993</v>
          </cell>
          <cell r="V927">
            <v>959.59</v>
          </cell>
          <cell r="Y927">
            <v>517.14</v>
          </cell>
          <cell r="AA927">
            <v>458.577</v>
          </cell>
          <cell r="AC927">
            <v>1237.2049999999999</v>
          </cell>
          <cell r="AE927">
            <v>1460.46</v>
          </cell>
          <cell r="AH927">
            <v>1330.48</v>
          </cell>
          <cell r="AJ927">
            <v>476.84700000000004</v>
          </cell>
          <cell r="AL927">
            <v>1651.412</v>
          </cell>
          <cell r="AN927">
            <v>633.09</v>
          </cell>
          <cell r="AQ927">
            <v>1238.76</v>
          </cell>
          <cell r="AS927">
            <v>365.4</v>
          </cell>
          <cell r="AU927">
            <v>666.34699999999987</v>
          </cell>
          <cell r="AW927">
            <v>863.63</v>
          </cell>
          <cell r="AZ927">
            <v>1435.66</v>
          </cell>
          <cell r="BB927">
            <v>498.77100000000007</v>
          </cell>
          <cell r="BD927">
            <v>1113.921</v>
          </cell>
          <cell r="BF927">
            <v>461.5</v>
          </cell>
          <cell r="BI927">
            <v>1136.3800000000001</v>
          </cell>
          <cell r="BK927">
            <v>484.15499999999997</v>
          </cell>
          <cell r="BM927">
            <v>729.41100000000006</v>
          </cell>
          <cell r="BO927">
            <v>1299.21</v>
          </cell>
          <cell r="BR927">
            <v>713.4</v>
          </cell>
          <cell r="BT927">
            <v>588.29399999999998</v>
          </cell>
          <cell r="BV927">
            <v>291.15800000000002</v>
          </cell>
          <cell r="BX927">
            <v>1057</v>
          </cell>
          <cell r="CA927">
            <v>691.98</v>
          </cell>
          <cell r="CC927">
            <v>274.05</v>
          </cell>
          <cell r="CE927">
            <v>438.32600000000002</v>
          </cell>
          <cell r="CG927">
            <v>1242.97</v>
          </cell>
          <cell r="CL927">
            <v>537.13800000000003</v>
          </cell>
          <cell r="CN927">
            <v>895.60699999999997</v>
          </cell>
          <cell r="CP927">
            <v>101.84</v>
          </cell>
          <cell r="CU927">
            <v>133.37100000000001</v>
          </cell>
          <cell r="CW927">
            <v>288.53500000000003</v>
          </cell>
          <cell r="CY927">
            <v>685.86</v>
          </cell>
          <cell r="DD927">
            <v>40.194000000000052</v>
          </cell>
          <cell r="DF927">
            <v>474.77199999999993</v>
          </cell>
          <cell r="DH927">
            <v>359.7</v>
          </cell>
          <cell r="DM927">
            <v>754.74199999999996</v>
          </cell>
          <cell r="DO927">
            <v>2128.1669999999999</v>
          </cell>
          <cell r="DQ927">
            <v>568.94000000000005</v>
          </cell>
        </row>
        <row r="928">
          <cell r="A928">
            <v>19</v>
          </cell>
          <cell r="B928" t="str">
            <v>SRM</v>
          </cell>
          <cell r="C928" t="str">
            <v>FM</v>
          </cell>
          <cell r="D928" t="str">
            <v>SCNO</v>
          </cell>
          <cell r="E928" t="str">
            <v>SCNO</v>
          </cell>
        </row>
        <row r="929">
          <cell r="A929">
            <v>20</v>
          </cell>
          <cell r="B929" t="str">
            <v>SRM</v>
          </cell>
          <cell r="C929" t="str">
            <v>FM</v>
          </cell>
          <cell r="D929" t="str">
            <v>SCPKO-HLL</v>
          </cell>
          <cell r="E929" t="str">
            <v>SCPKO-HLL</v>
          </cell>
          <cell r="G929">
            <v>201.39660000000001</v>
          </cell>
          <cell r="K929">
            <v>28.806999999999999</v>
          </cell>
          <cell r="P929">
            <v>201.39660000000001</v>
          </cell>
          <cell r="T929">
            <v>37.424999999999997</v>
          </cell>
          <cell r="V929">
            <v>233</v>
          </cell>
          <cell r="X929">
            <v>410.4</v>
          </cell>
          <cell r="AC929">
            <v>37.424999999999997</v>
          </cell>
          <cell r="AG929">
            <v>505.30500000000001</v>
          </cell>
          <cell r="AL929">
            <v>37.424999999999997</v>
          </cell>
          <cell r="AP929">
            <v>505.30500000000001</v>
          </cell>
          <cell r="AU929">
            <v>37.424999999999997</v>
          </cell>
          <cell r="AY929">
            <v>505.30500000000001</v>
          </cell>
          <cell r="BD929">
            <v>37.424999999999997</v>
          </cell>
        </row>
        <row r="930">
          <cell r="A930">
            <v>21</v>
          </cell>
          <cell r="B930" t="str">
            <v>SRM</v>
          </cell>
          <cell r="C930" t="str">
            <v>FM</v>
          </cell>
          <cell r="D930" t="str">
            <v>SPKFAD</v>
          </cell>
          <cell r="E930" t="str">
            <v>SPKFAD</v>
          </cell>
          <cell r="K930">
            <v>209.65</v>
          </cell>
          <cell r="T930">
            <v>209.65</v>
          </cell>
          <cell r="AC930">
            <v>209.65</v>
          </cell>
          <cell r="AL930">
            <v>209.65</v>
          </cell>
          <cell r="AU930">
            <v>209.65</v>
          </cell>
          <cell r="BD930">
            <v>209.65</v>
          </cell>
          <cell r="BM930">
            <v>152.36000000000001</v>
          </cell>
          <cell r="BV930">
            <v>152.36000000000001</v>
          </cell>
          <cell r="CE930">
            <v>152.36000000000001</v>
          </cell>
          <cell r="CN930">
            <v>152.36000000000001</v>
          </cell>
          <cell r="CW930">
            <v>152.36000000000001</v>
          </cell>
          <cell r="DF930">
            <v>152.36000000000001</v>
          </cell>
          <cell r="DO930">
            <v>152.36000000000001</v>
          </cell>
        </row>
        <row r="931">
          <cell r="A931">
            <v>22</v>
          </cell>
          <cell r="B931" t="str">
            <v>SRM</v>
          </cell>
          <cell r="C931" t="str">
            <v>FM</v>
          </cell>
          <cell r="D931" t="str">
            <v>SCPS</v>
          </cell>
          <cell r="E931" t="str">
            <v>SCPS</v>
          </cell>
          <cell r="F931">
            <v>163.30500000000001</v>
          </cell>
          <cell r="G931">
            <v>18.75</v>
          </cell>
          <cell r="H931">
            <v>4.42</v>
          </cell>
          <cell r="K931">
            <v>524.18499999999995</v>
          </cell>
          <cell r="M931">
            <v>832.73</v>
          </cell>
          <cell r="P931">
            <v>175</v>
          </cell>
          <cell r="Q931">
            <v>4.42</v>
          </cell>
          <cell r="R931">
            <v>239.12571428571425</v>
          </cell>
          <cell r="S931">
            <v>101.568</v>
          </cell>
          <cell r="T931">
            <v>410.20400000000001</v>
          </cell>
          <cell r="Z931">
            <v>4.42</v>
          </cell>
          <cell r="AA931">
            <v>67.139142857142829</v>
          </cell>
          <cell r="AB931">
            <v>96.86</v>
          </cell>
          <cell r="AC931">
            <v>126.414</v>
          </cell>
          <cell r="AI931">
            <v>4.42</v>
          </cell>
          <cell r="AJ931">
            <v>82.77428571428571</v>
          </cell>
          <cell r="AK931">
            <v>41.616</v>
          </cell>
          <cell r="AL931">
            <v>152.59299999999999</v>
          </cell>
          <cell r="AN931">
            <v>111.22</v>
          </cell>
          <cell r="AP931">
            <v>25.866</v>
          </cell>
          <cell r="AR931">
            <v>4.42</v>
          </cell>
          <cell r="AS931">
            <v>36.78857142857143</v>
          </cell>
          <cell r="AU931">
            <v>180.357</v>
          </cell>
          <cell r="AW931">
            <v>794.41</v>
          </cell>
          <cell r="BA931">
            <v>4.42</v>
          </cell>
          <cell r="BB931">
            <v>202.33714285714285</v>
          </cell>
          <cell r="BC931">
            <v>120.56399999999999</v>
          </cell>
          <cell r="BD931">
            <v>67.057000000000002</v>
          </cell>
          <cell r="BF931">
            <v>104.56</v>
          </cell>
        </row>
        <row r="932">
          <cell r="A932">
            <v>23</v>
          </cell>
          <cell r="B932" t="str">
            <v>SRM</v>
          </cell>
          <cell r="C932" t="str">
            <v>FM</v>
          </cell>
          <cell r="D932" t="str">
            <v>SRBDPS</v>
          </cell>
          <cell r="E932" t="str">
            <v>SRBDPS</v>
          </cell>
          <cell r="G932">
            <v>201.39660000000001</v>
          </cell>
          <cell r="K932">
            <v>28.806999999999999</v>
          </cell>
          <cell r="P932">
            <v>201.39660000000001</v>
          </cell>
          <cell r="T932">
            <v>37.424999999999997</v>
          </cell>
          <cell r="V932">
            <v>233</v>
          </cell>
          <cell r="X932">
            <v>410.4</v>
          </cell>
          <cell r="AC932">
            <v>37.424999999999997</v>
          </cell>
          <cell r="AG932">
            <v>505.30500000000001</v>
          </cell>
          <cell r="AL932">
            <v>37.424999999999997</v>
          </cell>
          <cell r="AP932">
            <v>505.30500000000001</v>
          </cell>
          <cell r="AU932">
            <v>37.424999999999997</v>
          </cell>
          <cell r="AY932">
            <v>505.30500000000001</v>
          </cell>
          <cell r="BD932">
            <v>37.424999999999997</v>
          </cell>
          <cell r="BH932">
            <v>505.30500000000001</v>
          </cell>
          <cell r="BM932">
            <v>37.424999999999997</v>
          </cell>
          <cell r="BQ932">
            <v>505.30500000000001</v>
          </cell>
          <cell r="BV932">
            <v>37.424999999999997</v>
          </cell>
          <cell r="BZ932">
            <v>505.30500000000001</v>
          </cell>
          <cell r="CE932">
            <v>37.424999999999997</v>
          </cell>
          <cell r="CI932">
            <v>505.30500000000001</v>
          </cell>
          <cell r="CN932">
            <v>37.424999999999997</v>
          </cell>
          <cell r="CR932">
            <v>505.30500000000001</v>
          </cell>
          <cell r="CW932">
            <v>37.424999999999997</v>
          </cell>
          <cell r="DA932">
            <v>505.30500000000001</v>
          </cell>
          <cell r="DF932">
            <v>37.424999999999997</v>
          </cell>
          <cell r="DJ932">
            <v>505.30500000000001</v>
          </cell>
          <cell r="DO932">
            <v>37.424999999999997</v>
          </cell>
        </row>
        <row r="933">
          <cell r="A933">
            <v>24</v>
          </cell>
          <cell r="B933" t="str">
            <v>SRM</v>
          </cell>
          <cell r="C933" t="str">
            <v>FM</v>
          </cell>
          <cell r="D933" t="str">
            <v>SCPO</v>
          </cell>
          <cell r="E933" t="str">
            <v>SCPO</v>
          </cell>
          <cell r="AC933">
            <v>11.241</v>
          </cell>
          <cell r="AU933">
            <v>407.7</v>
          </cell>
          <cell r="BD933">
            <v>339.74599999999998</v>
          </cell>
        </row>
        <row r="934">
          <cell r="A934">
            <v>25</v>
          </cell>
          <cell r="B934" t="str">
            <v>SRM</v>
          </cell>
          <cell r="C934" t="str">
            <v>FM</v>
          </cell>
          <cell r="D934" t="str">
            <v>SPFAD</v>
          </cell>
          <cell r="E934" t="str">
            <v>SPFAD</v>
          </cell>
          <cell r="F934">
            <v>163.30500000000001</v>
          </cell>
          <cell r="G934">
            <v>18.75</v>
          </cell>
          <cell r="H934">
            <v>4.42</v>
          </cell>
          <cell r="I934">
            <v>590.12099999999998</v>
          </cell>
          <cell r="K934">
            <v>524.18499999999995</v>
          </cell>
          <cell r="M934">
            <v>832.73</v>
          </cell>
          <cell r="P934">
            <v>175</v>
          </cell>
          <cell r="Q934">
            <v>4.42</v>
          </cell>
          <cell r="R934">
            <v>239.12571428571425</v>
          </cell>
          <cell r="S934">
            <v>101.568</v>
          </cell>
          <cell r="T934">
            <v>410.20400000000001</v>
          </cell>
          <cell r="V934">
            <v>345.18</v>
          </cell>
          <cell r="Z934">
            <v>4.42</v>
          </cell>
          <cell r="AA934">
            <v>67.139142857142829</v>
          </cell>
          <cell r="AB934">
            <v>96.86</v>
          </cell>
          <cell r="AC934">
            <v>126.414</v>
          </cell>
          <cell r="AI934">
            <v>4.42</v>
          </cell>
          <cell r="AJ934">
            <v>82.77428571428571</v>
          </cell>
          <cell r="AK934">
            <v>41.616</v>
          </cell>
          <cell r="AL934">
            <v>152.59299999999999</v>
          </cell>
          <cell r="AN934">
            <v>111.22</v>
          </cell>
          <cell r="AP934">
            <v>25.866</v>
          </cell>
          <cell r="AR934">
            <v>4.42</v>
          </cell>
          <cell r="AS934">
            <v>36.78857142857143</v>
          </cell>
          <cell r="AU934">
            <v>180.357</v>
          </cell>
          <cell r="AW934">
            <v>794.41</v>
          </cell>
          <cell r="BA934">
            <v>4.42</v>
          </cell>
          <cell r="BB934">
            <v>202.33714285714285</v>
          </cell>
          <cell r="BC934">
            <v>120.56399999999999</v>
          </cell>
          <cell r="BD934">
            <v>67.057000000000002</v>
          </cell>
          <cell r="BF934">
            <v>104.56</v>
          </cell>
          <cell r="BJ934">
            <v>4.42</v>
          </cell>
          <cell r="BK934">
            <v>108.52628571428568</v>
          </cell>
          <cell r="BL934">
            <v>50.591999999999999</v>
          </cell>
          <cell r="BM934">
            <v>213.15300000000002</v>
          </cell>
          <cell r="BQ934">
            <v>265.01850000000002</v>
          </cell>
          <cell r="BS934">
            <v>4.42</v>
          </cell>
          <cell r="BT934">
            <v>150.83314285714283</v>
          </cell>
          <cell r="BU934">
            <v>123.828</v>
          </cell>
          <cell r="BV934">
            <v>1612.7029999999997</v>
          </cell>
          <cell r="BX934">
            <v>375.02</v>
          </cell>
          <cell r="BZ934">
            <v>224.14500000000001</v>
          </cell>
          <cell r="CB934">
            <v>4.42</v>
          </cell>
          <cell r="CC934">
            <v>507.68228571428574</v>
          </cell>
          <cell r="CD934">
            <v>129.744</v>
          </cell>
          <cell r="CE934">
            <v>2381.6880000000001</v>
          </cell>
          <cell r="CG934">
            <v>73.319999999999993</v>
          </cell>
          <cell r="CI934">
            <v>224.14500000000001</v>
          </cell>
          <cell r="CK934">
            <v>4.42</v>
          </cell>
          <cell r="CL934">
            <v>559.18628571428576</v>
          </cell>
          <cell r="CM934">
            <v>74.867999999999995</v>
          </cell>
          <cell r="CN934">
            <v>1965.548</v>
          </cell>
          <cell r="CR934">
            <v>145.85</v>
          </cell>
          <cell r="CT934">
            <v>4.42</v>
          </cell>
          <cell r="CU934">
            <v>552.74828571428577</v>
          </cell>
          <cell r="CV934">
            <v>36.107999999999997</v>
          </cell>
          <cell r="CW934">
            <v>1212.3779999999999</v>
          </cell>
          <cell r="CY934">
            <v>629.53</v>
          </cell>
          <cell r="DA934">
            <v>76.37700000000001</v>
          </cell>
          <cell r="DC934">
            <v>4.42</v>
          </cell>
          <cell r="DD934">
            <v>253.84114285714287</v>
          </cell>
          <cell r="DE934">
            <v>53.652000000000001</v>
          </cell>
          <cell r="DF934">
            <v>925.69800000000009</v>
          </cell>
          <cell r="DH934">
            <v>63</v>
          </cell>
          <cell r="DL934">
            <v>4.42</v>
          </cell>
          <cell r="DM934">
            <v>114.0445714285714</v>
          </cell>
          <cell r="DN934">
            <v>85.475999999999999</v>
          </cell>
          <cell r="DO934">
            <v>992.86599999999999</v>
          </cell>
          <cell r="DQ934">
            <v>154.30000000000001</v>
          </cell>
        </row>
        <row r="935">
          <cell r="A935">
            <v>26</v>
          </cell>
          <cell r="B935" t="str">
            <v>SRM</v>
          </cell>
          <cell r="C935" t="str">
            <v>FM</v>
          </cell>
          <cell r="D935" t="str">
            <v>SCPS-HLL</v>
          </cell>
          <cell r="E935" t="str">
            <v>SCPS-HLL</v>
          </cell>
          <cell r="F935">
            <v>163.30500000000001</v>
          </cell>
          <cell r="G935">
            <v>1012.2966</v>
          </cell>
          <cell r="H935">
            <v>4.42</v>
          </cell>
          <cell r="I935">
            <v>935.42399999999998</v>
          </cell>
          <cell r="J935">
            <v>0</v>
          </cell>
          <cell r="K935">
            <v>1730.175</v>
          </cell>
          <cell r="L935">
            <v>0</v>
          </cell>
          <cell r="M935">
            <v>1494.17</v>
          </cell>
          <cell r="N935">
            <v>0</v>
          </cell>
          <cell r="O935">
            <v>0</v>
          </cell>
          <cell r="P935">
            <v>777.25660000000005</v>
          </cell>
          <cell r="Q935">
            <v>44.53</v>
          </cell>
          <cell r="R935">
            <v>1052.5957142857142</v>
          </cell>
          <cell r="S935">
            <v>101.568</v>
          </cell>
          <cell r="T935">
            <v>1265.0089999999998</v>
          </cell>
          <cell r="U935">
            <v>0</v>
          </cell>
          <cell r="V935">
            <v>1537.7700000000002</v>
          </cell>
          <cell r="W935">
            <v>0</v>
          </cell>
          <cell r="X935">
            <v>410.4</v>
          </cell>
          <cell r="Y935">
            <v>517.14</v>
          </cell>
          <cell r="Z935">
            <v>44.53</v>
          </cell>
          <cell r="AA935">
            <v>1411.9221428571427</v>
          </cell>
          <cell r="AB935">
            <v>96.86</v>
          </cell>
          <cell r="AC935">
            <v>2055.86</v>
          </cell>
          <cell r="AD935">
            <v>0</v>
          </cell>
          <cell r="AE935">
            <v>1460.46</v>
          </cell>
          <cell r="AF935">
            <v>0</v>
          </cell>
          <cell r="AG935">
            <v>505.30500000000001</v>
          </cell>
          <cell r="AH935">
            <v>1330.48</v>
          </cell>
          <cell r="AI935">
            <v>44.53</v>
          </cell>
          <cell r="AJ935">
            <v>822.70928571428567</v>
          </cell>
          <cell r="AK935">
            <v>41.616</v>
          </cell>
          <cell r="AL935">
            <v>2051.08</v>
          </cell>
          <cell r="AM935">
            <v>0</v>
          </cell>
          <cell r="AN935">
            <v>744.31000000000006</v>
          </cell>
          <cell r="AO935">
            <v>0</v>
          </cell>
          <cell r="AP935">
            <v>531.17100000000005</v>
          </cell>
          <cell r="AQ935">
            <v>1238.76</v>
          </cell>
          <cell r="AR935">
            <v>44.53</v>
          </cell>
          <cell r="AS935">
            <v>402.18857142857144</v>
          </cell>
          <cell r="AT935">
            <v>0</v>
          </cell>
          <cell r="AU935">
            <v>1501.4789999999998</v>
          </cell>
          <cell r="AV935">
            <v>0</v>
          </cell>
          <cell r="AW935">
            <v>1658.04</v>
          </cell>
          <cell r="AX935">
            <v>0</v>
          </cell>
          <cell r="AY935">
            <v>505.30500000000001</v>
          </cell>
          <cell r="AZ935">
            <v>1435.66</v>
          </cell>
          <cell r="BA935">
            <v>44.53</v>
          </cell>
          <cell r="BB935">
            <v>792.45814285714289</v>
          </cell>
          <cell r="BC935">
            <v>120.56399999999999</v>
          </cell>
          <cell r="BD935">
            <v>1767.799</v>
          </cell>
          <cell r="BE935">
            <v>0</v>
          </cell>
          <cell r="BF935">
            <v>857.41</v>
          </cell>
          <cell r="BG935">
            <v>0</v>
          </cell>
        </row>
        <row r="936">
          <cell r="A936">
            <v>27</v>
          </cell>
          <cell r="B936" t="str">
            <v>SRM</v>
          </cell>
          <cell r="C936" t="str">
            <v>FM</v>
          </cell>
          <cell r="D936" t="str">
            <v>SMUSTARD OIL</v>
          </cell>
          <cell r="E936" t="str">
            <v>SMUSTARD OIL</v>
          </cell>
          <cell r="AC936">
            <v>11.241</v>
          </cell>
          <cell r="AU936">
            <v>407.7</v>
          </cell>
          <cell r="BD936">
            <v>339.74599999999998</v>
          </cell>
          <cell r="BM936">
            <v>180.28399999999999</v>
          </cell>
          <cell r="BV936">
            <v>5.9720000000000004</v>
          </cell>
          <cell r="CE936">
            <v>138.06</v>
          </cell>
          <cell r="CN936">
            <v>287.46699999999998</v>
          </cell>
          <cell r="DF936">
            <v>5.2830000000000004</v>
          </cell>
          <cell r="DO936">
            <v>5.2830000000000004</v>
          </cell>
        </row>
        <row r="937">
          <cell r="A937">
            <v>28</v>
          </cell>
          <cell r="B937" t="str">
            <v>SRM</v>
          </cell>
          <cell r="C937" t="str">
            <v>FM</v>
          </cell>
          <cell r="D937" t="str">
            <v>SMUSTARD OIL-EXPELLER</v>
          </cell>
          <cell r="E937" t="str">
            <v>SMUSTARD OIL-EXPELLER</v>
          </cell>
          <cell r="F937">
            <v>200.4</v>
          </cell>
          <cell r="G937">
            <v>340.12440000000004</v>
          </cell>
          <cell r="I937">
            <v>590.12099999999998</v>
          </cell>
          <cell r="K937">
            <v>626.49099999999999</v>
          </cell>
          <cell r="O937">
            <v>166.8</v>
          </cell>
          <cell r="P937">
            <v>421.84260000000006</v>
          </cell>
          <cell r="Q937">
            <v>40.11</v>
          </cell>
          <cell r="R937">
            <v>634.42399999999998</v>
          </cell>
          <cell r="T937">
            <v>214.50100000000003</v>
          </cell>
          <cell r="V937">
            <v>345.18</v>
          </cell>
          <cell r="X937">
            <v>99.215999999999994</v>
          </cell>
          <cell r="Y937">
            <v>948.57</v>
          </cell>
          <cell r="Z937">
            <v>40.11</v>
          </cell>
          <cell r="AA937">
            <v>886.20600000000002</v>
          </cell>
          <cell r="AC937">
            <v>433.92500000000001</v>
          </cell>
          <cell r="AG937">
            <v>267.55</v>
          </cell>
          <cell r="AH937">
            <v>464.91030000000006</v>
          </cell>
          <cell r="AI937">
            <v>40.11</v>
          </cell>
          <cell r="AJ937">
            <v>263.08799999999997</v>
          </cell>
          <cell r="AP937">
            <v>207.6</v>
          </cell>
          <cell r="AQ937">
            <v>66.257999999999996</v>
          </cell>
          <cell r="AR937">
            <v>40.11</v>
          </cell>
          <cell r="AS937">
            <v>398.9</v>
          </cell>
          <cell r="AY937">
            <v>207.6</v>
          </cell>
          <cell r="AZ937">
            <v>66.257999999999996</v>
          </cell>
          <cell r="BA937">
            <v>40.11</v>
          </cell>
          <cell r="BB937">
            <v>91.35</v>
          </cell>
          <cell r="BF937">
            <v>291.35000000000002</v>
          </cell>
          <cell r="BJ937">
            <v>40.11</v>
          </cell>
          <cell r="BK937">
            <v>367.22700000000003</v>
          </cell>
          <cell r="BO937">
            <v>37.5</v>
          </cell>
          <cell r="BS937">
            <v>40.11</v>
          </cell>
          <cell r="BT937">
            <v>202.79700000000003</v>
          </cell>
          <cell r="BV937">
            <v>95.73</v>
          </cell>
          <cell r="BX937">
            <v>17.5</v>
          </cell>
          <cell r="CB937">
            <v>40.11</v>
          </cell>
          <cell r="CK937">
            <v>40.11</v>
          </cell>
          <cell r="CL937">
            <v>277.70400000000001</v>
          </cell>
          <cell r="CP937">
            <v>120.88</v>
          </cell>
          <cell r="CT937">
            <v>40.11</v>
          </cell>
          <cell r="CU937">
            <v>105.977</v>
          </cell>
          <cell r="CW937">
            <v>442.61400000000003</v>
          </cell>
          <cell r="CY937">
            <v>421.98</v>
          </cell>
          <cell r="DM937">
            <v>215.58600000000001</v>
          </cell>
        </row>
        <row r="938">
          <cell r="A938">
            <v>30</v>
          </cell>
          <cell r="B938" t="str">
            <v>IPRM</v>
          </cell>
          <cell r="C938" t="str">
            <v>FM</v>
          </cell>
          <cell r="D938" t="str">
            <v>SRM TOTAL</v>
          </cell>
          <cell r="E938" t="str">
            <v>SRM TOTAL</v>
          </cell>
          <cell r="F938">
            <v>163.30500000000001</v>
          </cell>
          <cell r="G938">
            <v>1012.2966</v>
          </cell>
          <cell r="H938">
            <v>4.42</v>
          </cell>
          <cell r="I938">
            <v>935.42399999999998</v>
          </cell>
          <cell r="J938">
            <v>0</v>
          </cell>
          <cell r="K938">
            <v>1730.175</v>
          </cell>
          <cell r="L938">
            <v>0</v>
          </cell>
          <cell r="M938">
            <v>1494.17</v>
          </cell>
          <cell r="N938">
            <v>0</v>
          </cell>
          <cell r="O938">
            <v>0</v>
          </cell>
          <cell r="P938">
            <v>777.25660000000005</v>
          </cell>
          <cell r="Q938">
            <v>44.53</v>
          </cell>
          <cell r="R938">
            <v>1052.5957142857142</v>
          </cell>
          <cell r="S938">
            <v>101.568</v>
          </cell>
          <cell r="T938">
            <v>1265.0089999999998</v>
          </cell>
          <cell r="U938">
            <v>0</v>
          </cell>
          <cell r="V938">
            <v>1537.7700000000002</v>
          </cell>
          <cell r="W938">
            <v>0</v>
          </cell>
          <cell r="X938">
            <v>410.4</v>
          </cell>
          <cell r="Y938">
            <v>517.14</v>
          </cell>
          <cell r="Z938">
            <v>44.53</v>
          </cell>
          <cell r="AA938">
            <v>1411.9221428571427</v>
          </cell>
          <cell r="AB938">
            <v>96.86</v>
          </cell>
          <cell r="AC938">
            <v>2055.86</v>
          </cell>
          <cell r="AD938">
            <v>0</v>
          </cell>
          <cell r="AE938">
            <v>1460.46</v>
          </cell>
          <cell r="AF938">
            <v>0</v>
          </cell>
          <cell r="AG938">
            <v>505.30500000000001</v>
          </cell>
          <cell r="AH938">
            <v>1330.48</v>
          </cell>
          <cell r="AI938">
            <v>44.53</v>
          </cell>
          <cell r="AJ938">
            <v>822.70928571428567</v>
          </cell>
          <cell r="AK938">
            <v>41.616</v>
          </cell>
          <cell r="AL938">
            <v>2051.08</v>
          </cell>
          <cell r="AM938">
            <v>0</v>
          </cell>
          <cell r="AN938">
            <v>744.31000000000006</v>
          </cell>
          <cell r="AO938">
            <v>0</v>
          </cell>
          <cell r="AP938">
            <v>531.17100000000005</v>
          </cell>
          <cell r="AQ938">
            <v>1238.76</v>
          </cell>
          <cell r="AR938">
            <v>44.53</v>
          </cell>
          <cell r="AS938">
            <v>402.18857142857144</v>
          </cell>
          <cell r="AT938">
            <v>0</v>
          </cell>
          <cell r="AU938">
            <v>1501.4789999999998</v>
          </cell>
          <cell r="AV938">
            <v>0</v>
          </cell>
          <cell r="AW938">
            <v>1658.04</v>
          </cell>
          <cell r="AX938">
            <v>0</v>
          </cell>
          <cell r="AY938">
            <v>505.30500000000001</v>
          </cell>
          <cell r="AZ938">
            <v>1435.66</v>
          </cell>
          <cell r="BA938">
            <v>44.53</v>
          </cell>
          <cell r="BB938">
            <v>792.45814285714289</v>
          </cell>
          <cell r="BC938">
            <v>120.56399999999999</v>
          </cell>
          <cell r="BD938">
            <v>1767.799</v>
          </cell>
          <cell r="BE938">
            <v>0</v>
          </cell>
          <cell r="BF938">
            <v>857.41</v>
          </cell>
          <cell r="BG938">
            <v>0</v>
          </cell>
          <cell r="BH938">
            <v>505.30500000000001</v>
          </cell>
          <cell r="BI938">
            <v>1136.3800000000001</v>
          </cell>
          <cell r="BJ938">
            <v>44.53</v>
          </cell>
          <cell r="BK938">
            <v>959.90828571428574</v>
          </cell>
          <cell r="BL938">
            <v>50.591999999999999</v>
          </cell>
          <cell r="BM938">
            <v>1312.6330000000003</v>
          </cell>
          <cell r="BN938">
            <v>0</v>
          </cell>
          <cell r="BO938">
            <v>1336.71</v>
          </cell>
          <cell r="BP938">
            <v>0</v>
          </cell>
          <cell r="BQ938">
            <v>770.32349999999997</v>
          </cell>
          <cell r="BR938">
            <v>713.4</v>
          </cell>
          <cell r="BS938">
            <v>44.53</v>
          </cell>
          <cell r="BT938">
            <v>941.9241428571429</v>
          </cell>
          <cell r="BU938">
            <v>123.828</v>
          </cell>
          <cell r="BV938">
            <v>2195.348</v>
          </cell>
          <cell r="BW938">
            <v>0</v>
          </cell>
          <cell r="BX938">
            <v>1449.52</v>
          </cell>
          <cell r="BY938">
            <v>0</v>
          </cell>
          <cell r="BZ938">
            <v>729.45</v>
          </cell>
          <cell r="CA938">
            <v>691.98</v>
          </cell>
          <cell r="CB938">
            <v>44.53</v>
          </cell>
          <cell r="CC938">
            <v>781.73228571428581</v>
          </cell>
          <cell r="CD938">
            <v>129.744</v>
          </cell>
          <cell r="CE938">
            <v>3147.8589999999999</v>
          </cell>
          <cell r="CF938">
            <v>0</v>
          </cell>
          <cell r="CG938">
            <v>1316.29</v>
          </cell>
          <cell r="CH938">
            <v>0</v>
          </cell>
          <cell r="CI938">
            <v>729.45</v>
          </cell>
          <cell r="CJ938">
            <v>0</v>
          </cell>
          <cell r="CK938">
            <v>44.53</v>
          </cell>
          <cell r="CL938">
            <v>1374.0282857142859</v>
          </cell>
          <cell r="CM938">
            <v>74.867999999999995</v>
          </cell>
          <cell r="CN938">
            <v>3338.4070000000002</v>
          </cell>
          <cell r="CO938">
            <v>0</v>
          </cell>
          <cell r="CP938">
            <v>222.72</v>
          </cell>
          <cell r="CQ938">
            <v>0</v>
          </cell>
          <cell r="CR938">
            <v>651.15499999999997</v>
          </cell>
          <cell r="CS938">
            <v>0</v>
          </cell>
          <cell r="CT938">
            <v>44.53</v>
          </cell>
          <cell r="CU938">
            <v>792.09628571428573</v>
          </cell>
          <cell r="CV938">
            <v>36.107999999999997</v>
          </cell>
          <cell r="CW938">
            <v>2133.3119999999999</v>
          </cell>
          <cell r="CX938">
            <v>0</v>
          </cell>
          <cell r="CY938">
            <v>1737.37</v>
          </cell>
          <cell r="CZ938">
            <v>0</v>
          </cell>
          <cell r="DA938">
            <v>581.68200000000002</v>
          </cell>
          <cell r="DB938">
            <v>0</v>
          </cell>
          <cell r="DC938">
            <v>4.42</v>
          </cell>
          <cell r="DD938">
            <v>294.03514285714294</v>
          </cell>
          <cell r="DE938">
            <v>53.652000000000001</v>
          </cell>
          <cell r="DF938">
            <v>1595.538</v>
          </cell>
          <cell r="DG938">
            <v>0</v>
          </cell>
          <cell r="DH938">
            <v>422.7</v>
          </cell>
          <cell r="DI938">
            <v>0</v>
          </cell>
          <cell r="DJ938">
            <v>505.30500000000001</v>
          </cell>
          <cell r="DK938">
            <v>0</v>
          </cell>
          <cell r="DL938">
            <v>4.42</v>
          </cell>
          <cell r="DM938">
            <v>1084.3725714285715</v>
          </cell>
          <cell r="DN938">
            <v>85.475999999999999</v>
          </cell>
          <cell r="DO938">
            <v>3316.1010000000001</v>
          </cell>
          <cell r="DP938">
            <v>0</v>
          </cell>
          <cell r="DQ938">
            <v>723.24</v>
          </cell>
          <cell r="DR938">
            <v>0</v>
          </cell>
        </row>
        <row r="939">
          <cell r="A939" t="str">
            <v>IN-PROCESS FATTY ACIDS</v>
          </cell>
          <cell r="B939" t="str">
            <v>IPRM</v>
          </cell>
          <cell r="C939" t="str">
            <v>FM</v>
          </cell>
          <cell r="D939" t="str">
            <v>SB/PSCPKO&gt;C14</v>
          </cell>
          <cell r="E939" t="str">
            <v>S B/P PKO</v>
          </cell>
        </row>
        <row r="940">
          <cell r="A940">
            <v>29</v>
          </cell>
          <cell r="B940" t="str">
            <v>IPRM</v>
          </cell>
          <cell r="C940" t="str">
            <v>FM</v>
          </cell>
          <cell r="D940" t="str">
            <v>B/PSCPKO&gt;C14</v>
          </cell>
          <cell r="E940" t="str">
            <v xml:space="preserve">B/P PKO </v>
          </cell>
          <cell r="F940">
            <v>200.4</v>
          </cell>
          <cell r="G940">
            <v>340.12440000000004</v>
          </cell>
          <cell r="I940">
            <v>134.06700000000001</v>
          </cell>
          <cell r="O940">
            <v>166.8</v>
          </cell>
          <cell r="P940">
            <v>421.84260000000006</v>
          </cell>
          <cell r="R940">
            <v>87.435000000000002</v>
          </cell>
          <cell r="V940">
            <v>97.85</v>
          </cell>
          <cell r="X940">
            <v>99.215999999999994</v>
          </cell>
          <cell r="Y940">
            <v>948.57</v>
          </cell>
          <cell r="AA940">
            <v>113.24914285714286</v>
          </cell>
          <cell r="AG940">
            <v>267.55</v>
          </cell>
          <cell r="AH940">
            <v>464.91030000000006</v>
          </cell>
          <cell r="AJ940">
            <v>614</v>
          </cell>
          <cell r="AP940">
            <v>207.6</v>
          </cell>
          <cell r="AQ940">
            <v>66.257999999999996</v>
          </cell>
          <cell r="AS940">
            <v>398.9</v>
          </cell>
          <cell r="AY940">
            <v>207.6</v>
          </cell>
          <cell r="AZ940">
            <v>66.257999999999996</v>
          </cell>
          <cell r="BB940">
            <v>110.36571428571429</v>
          </cell>
          <cell r="BH940">
            <v>145.19999999999999</v>
          </cell>
          <cell r="BI940">
            <v>150.18480000000002</v>
          </cell>
          <cell r="BK940">
            <v>459.85714285714283</v>
          </cell>
          <cell r="BR940">
            <v>189.93960000000001</v>
          </cell>
          <cell r="BT940">
            <v>217.05257142857144</v>
          </cell>
          <cell r="CA940">
            <v>287.11799999999999</v>
          </cell>
          <cell r="CC940">
            <v>404.6742857142857</v>
          </cell>
          <cell r="CI940">
            <v>64.272000000000006</v>
          </cell>
          <cell r="CJ940">
            <v>256.19760000000002</v>
          </cell>
          <cell r="CL940">
            <v>391.79828571428573</v>
          </cell>
          <cell r="CR940">
            <v>62.4</v>
          </cell>
          <cell r="CS940">
            <v>267.24060000000003</v>
          </cell>
          <cell r="CU940">
            <v>392.71800000000002</v>
          </cell>
          <cell r="DA940">
            <v>58.031999999999996</v>
          </cell>
          <cell r="DB940">
            <v>212.0256</v>
          </cell>
          <cell r="DD940">
            <v>106.68685714285716</v>
          </cell>
          <cell r="DK940">
            <v>17.668800000000005</v>
          </cell>
          <cell r="DM940">
            <v>149.88857142857142</v>
          </cell>
        </row>
        <row r="941">
          <cell r="A941">
            <v>30</v>
          </cell>
          <cell r="B941" t="str">
            <v>IPRM</v>
          </cell>
          <cell r="C941" t="str">
            <v>FM</v>
          </cell>
          <cell r="D941" t="str">
            <v>B/P CNO&gt;C14</v>
          </cell>
          <cell r="E941" t="str">
            <v>B/P CNO&gt;C14</v>
          </cell>
        </row>
        <row r="942">
          <cell r="A942">
            <v>31</v>
          </cell>
          <cell r="B942" t="str">
            <v>IPRM</v>
          </cell>
          <cell r="C942" t="str">
            <v>FM</v>
          </cell>
          <cell r="D942" t="str">
            <v>SB/PSCPKO&gt;C14</v>
          </cell>
          <cell r="E942" t="str">
            <v>S B/P PKO</v>
          </cell>
        </row>
        <row r="943">
          <cell r="A943">
            <v>32</v>
          </cell>
          <cell r="B943" t="str">
            <v>IPRM</v>
          </cell>
          <cell r="C943" t="str">
            <v>FM</v>
          </cell>
          <cell r="D943" t="str">
            <v>B/PSCNO&gt;C14</v>
          </cell>
          <cell r="E943" t="str">
            <v>S B/P CNO</v>
          </cell>
          <cell r="X943">
            <v>268.94000000000005</v>
          </cell>
        </row>
        <row r="944">
          <cell r="A944">
            <v>33</v>
          </cell>
          <cell r="B944" t="str">
            <v>IPRM</v>
          </cell>
          <cell r="C944" t="str">
            <v>SM</v>
          </cell>
          <cell r="D944" t="str">
            <v>B/PSCPKO&gt;C16</v>
          </cell>
          <cell r="E944" t="str">
            <v>B/P&gt;C16 - OLEIC K</v>
          </cell>
          <cell r="F944">
            <v>148.43</v>
          </cell>
          <cell r="G944">
            <v>1382.16</v>
          </cell>
          <cell r="I944">
            <v>30.133071428571434</v>
          </cell>
          <cell r="O944">
            <v>160.64249999999998</v>
          </cell>
          <cell r="P944">
            <v>1382.16</v>
          </cell>
          <cell r="R944">
            <v>148.64571428571429</v>
          </cell>
          <cell r="Y944">
            <v>1258.1199999999999</v>
          </cell>
          <cell r="AA944">
            <v>72.70714285714287</v>
          </cell>
          <cell r="AG944">
            <v>266.23</v>
          </cell>
          <cell r="AH944">
            <v>1404.31</v>
          </cell>
          <cell r="AJ944">
            <v>104.825</v>
          </cell>
          <cell r="AP944">
            <v>268.20999999999998</v>
          </cell>
          <cell r="AQ944">
            <v>1630.24</v>
          </cell>
          <cell r="AS944">
            <v>151.06928571428571</v>
          </cell>
          <cell r="AY944">
            <v>269.94</v>
          </cell>
          <cell r="AZ944">
            <v>1652.39</v>
          </cell>
          <cell r="BB944">
            <v>210.8507142857143</v>
          </cell>
        </row>
        <row r="945">
          <cell r="A945">
            <v>34</v>
          </cell>
          <cell r="B945" t="str">
            <v>IPRM</v>
          </cell>
          <cell r="C945" t="str">
            <v>SM</v>
          </cell>
          <cell r="D945" t="str">
            <v>HYD C16/C18 FOR DTP-7</v>
          </cell>
          <cell r="E945" t="str">
            <v>HYD C16/C18 FOR DTP-7</v>
          </cell>
          <cell r="G945">
            <v>138.16836000000001</v>
          </cell>
          <cell r="I945">
            <v>163.995</v>
          </cell>
          <cell r="O945">
            <v>86.111999999999995</v>
          </cell>
          <cell r="P945">
            <v>240.01236</v>
          </cell>
          <cell r="Y945">
            <v>248.49936000000002</v>
          </cell>
          <cell r="AH945">
            <v>250.19676000000001</v>
          </cell>
          <cell r="AQ945">
            <v>250.19676000000001</v>
          </cell>
          <cell r="AY945">
            <v>27.143999999999998</v>
          </cell>
          <cell r="AZ945">
            <v>4.07376</v>
          </cell>
        </row>
        <row r="946">
          <cell r="A946">
            <v>35</v>
          </cell>
          <cell r="B946" t="str">
            <v>IPRM</v>
          </cell>
          <cell r="C946" t="str">
            <v>NM</v>
          </cell>
          <cell r="D946" t="str">
            <v>L/E PKO(C6-C8)-C6@65%</v>
          </cell>
          <cell r="E946" t="str">
            <v>C6&gt;50%</v>
          </cell>
          <cell r="G946">
            <v>408.26600000000002</v>
          </cell>
          <cell r="P946">
            <v>408.26600000000002</v>
          </cell>
          <cell r="X946">
            <v>268.94000000000005</v>
          </cell>
          <cell r="Y946">
            <v>377.39600000000002</v>
          </cell>
          <cell r="AH946">
            <v>377.39600000000002</v>
          </cell>
          <cell r="AP946">
            <v>27.768000000000001</v>
          </cell>
          <cell r="AY946">
            <v>135.13499999999999</v>
          </cell>
        </row>
        <row r="947">
          <cell r="A947">
            <v>36</v>
          </cell>
          <cell r="B947" t="str">
            <v>IPRM</v>
          </cell>
          <cell r="C947" t="str">
            <v>FM</v>
          </cell>
          <cell r="D947" t="str">
            <v>L/E PKO(C6-C12)</v>
          </cell>
          <cell r="E947" t="str">
            <v>TALOJA</v>
          </cell>
          <cell r="F947">
            <v>148.43</v>
          </cell>
          <cell r="G947">
            <v>1382.16</v>
          </cell>
          <cell r="I947">
            <v>30.133071428571434</v>
          </cell>
          <cell r="O947">
            <v>160.64249999999998</v>
          </cell>
          <cell r="P947">
            <v>1382.16</v>
          </cell>
          <cell r="R947">
            <v>148.64571428571429</v>
          </cell>
          <cell r="X947">
            <v>75.239999999999995</v>
          </cell>
          <cell r="Y947">
            <v>1258.1199999999999</v>
          </cell>
          <cell r="AA947">
            <v>72.70714285714287</v>
          </cell>
          <cell r="AG947">
            <v>266.23</v>
          </cell>
          <cell r="AH947">
            <v>1404.31</v>
          </cell>
          <cell r="AJ947">
            <v>104.825</v>
          </cell>
          <cell r="AP947">
            <v>268.20999999999998</v>
          </cell>
          <cell r="AQ947">
            <v>1630.24</v>
          </cell>
          <cell r="AS947">
            <v>151.06928571428571</v>
          </cell>
          <cell r="AY947">
            <v>269.94</v>
          </cell>
          <cell r="AZ947">
            <v>1652.39</v>
          </cell>
          <cell r="BB947">
            <v>210.8507142857143</v>
          </cell>
          <cell r="BH947">
            <v>270.43599999999998</v>
          </cell>
          <cell r="BI947">
            <v>1740.99</v>
          </cell>
          <cell r="BK947">
            <v>210.8507142857143</v>
          </cell>
          <cell r="BQ947">
            <v>230.267</v>
          </cell>
          <cell r="BR947">
            <v>1846.088</v>
          </cell>
          <cell r="BT947">
            <v>285.2</v>
          </cell>
          <cell r="BZ947">
            <v>294.32499999999999</v>
          </cell>
          <cell r="CA947">
            <v>1772</v>
          </cell>
          <cell r="CC947">
            <v>333.2</v>
          </cell>
          <cell r="CI947">
            <v>284.97000000000003</v>
          </cell>
          <cell r="CJ947">
            <v>2296.79</v>
          </cell>
          <cell r="CL947">
            <v>16.965</v>
          </cell>
          <cell r="CR947">
            <v>284.97000000000003</v>
          </cell>
          <cell r="CS947">
            <v>2401.748</v>
          </cell>
          <cell r="CU947">
            <v>95.327142857142874</v>
          </cell>
          <cell r="DA947">
            <v>377.37</v>
          </cell>
          <cell r="DB947">
            <v>2401.748</v>
          </cell>
          <cell r="DD947">
            <v>18.580714285714265</v>
          </cell>
          <cell r="DJ947">
            <v>227.35900000000001</v>
          </cell>
          <cell r="DK947">
            <v>2401.748</v>
          </cell>
          <cell r="DM947">
            <v>5.6550000000000233</v>
          </cell>
        </row>
        <row r="948">
          <cell r="A948">
            <v>37</v>
          </cell>
          <cell r="B948" t="str">
            <v>IPRM</v>
          </cell>
          <cell r="C948" t="str">
            <v>FM</v>
          </cell>
          <cell r="D948" t="str">
            <v>HYD.L/EPKO(C6-C12)</v>
          </cell>
          <cell r="E948" t="str">
            <v>H L/E PKO</v>
          </cell>
          <cell r="G948">
            <v>138.16836000000001</v>
          </cell>
          <cell r="I948">
            <v>163.995</v>
          </cell>
          <cell r="O948">
            <v>86.111999999999995</v>
          </cell>
          <cell r="P948">
            <v>240.01236</v>
          </cell>
          <cell r="Y948">
            <v>248.49936000000002</v>
          </cell>
          <cell r="AH948">
            <v>250.19676000000001</v>
          </cell>
          <cell r="AQ948">
            <v>250.19676000000001</v>
          </cell>
          <cell r="AY948">
            <v>27.143999999999998</v>
          </cell>
          <cell r="AZ948">
            <v>4.07376</v>
          </cell>
          <cell r="BH948">
            <v>32.448</v>
          </cell>
          <cell r="BQ948">
            <v>139.84800000000001</v>
          </cell>
          <cell r="DJ948">
            <v>126.97499999999999</v>
          </cell>
        </row>
        <row r="949">
          <cell r="A949">
            <v>38</v>
          </cell>
          <cell r="B949" t="str">
            <v>IPRM</v>
          </cell>
          <cell r="C949" t="str">
            <v>FM</v>
          </cell>
          <cell r="D949" t="str">
            <v>L/E PKO(C8-C12)</v>
          </cell>
          <cell r="E949" t="str">
            <v>L/E PKO</v>
          </cell>
          <cell r="G949">
            <v>408.26600000000002</v>
          </cell>
          <cell r="P949">
            <v>408.26600000000002</v>
          </cell>
          <cell r="Y949">
            <v>377.39600000000002</v>
          </cell>
          <cell r="AH949">
            <v>377.39600000000002</v>
          </cell>
          <cell r="AP949">
            <v>27.768000000000001</v>
          </cell>
          <cell r="AY949">
            <v>135.13499999999999</v>
          </cell>
          <cell r="BQ949">
            <v>9.9</v>
          </cell>
          <cell r="DJ949">
            <v>121.2</v>
          </cell>
        </row>
        <row r="950">
          <cell r="A950">
            <v>39</v>
          </cell>
          <cell r="B950" t="str">
            <v>IPRM</v>
          </cell>
          <cell r="C950" t="str">
            <v>FM</v>
          </cell>
          <cell r="D950" t="str">
            <v>L/E PKO(C10-C12)</v>
          </cell>
          <cell r="E950" t="str">
            <v>B/P OF C8 H</v>
          </cell>
          <cell r="P950">
            <v>118.935</v>
          </cell>
          <cell r="X950">
            <v>75.239999999999995</v>
          </cell>
          <cell r="Y950">
            <v>117.34920000000001</v>
          </cell>
          <cell r="AP950">
            <v>273.60000000000002</v>
          </cell>
          <cell r="AY950">
            <v>300.60000000000002</v>
          </cell>
          <cell r="BH950">
            <v>339.3</v>
          </cell>
        </row>
        <row r="951">
          <cell r="A951">
            <v>40</v>
          </cell>
          <cell r="B951" t="str">
            <v>IPRM</v>
          </cell>
          <cell r="C951" t="str">
            <v>FM</v>
          </cell>
          <cell r="D951" t="str">
            <v>C12+C14+C16-PKO/CNO</v>
          </cell>
          <cell r="E951" t="str">
            <v>C12+C14+C16-PKO/CNO</v>
          </cell>
        </row>
        <row r="952">
          <cell r="A952">
            <v>41</v>
          </cell>
          <cell r="B952" t="str">
            <v>IPRM</v>
          </cell>
          <cell r="C952" t="str">
            <v>FM</v>
          </cell>
          <cell r="D952" t="str">
            <v>C14+C16(C14~60)</v>
          </cell>
          <cell r="E952" t="str">
            <v>C14+C16(C14~60)</v>
          </cell>
          <cell r="F952">
            <v>8.3975000000000009</v>
          </cell>
          <cell r="G952">
            <v>14.272200000000002</v>
          </cell>
          <cell r="H952">
            <v>14.59</v>
          </cell>
          <cell r="I952">
            <v>137</v>
          </cell>
          <cell r="O952">
            <v>8.3975000000000009</v>
          </cell>
          <cell r="Q952">
            <v>14.59</v>
          </cell>
          <cell r="X952">
            <v>8.3975000000000009</v>
          </cell>
          <cell r="Z952">
            <v>14.59</v>
          </cell>
          <cell r="AI952">
            <v>14.59</v>
          </cell>
          <cell r="AJ952">
            <v>17</v>
          </cell>
          <cell r="AR952">
            <v>14.59</v>
          </cell>
          <cell r="BA952">
            <v>14.59</v>
          </cell>
        </row>
        <row r="953">
          <cell r="A953">
            <v>42</v>
          </cell>
          <cell r="B953" t="str">
            <v>IPRM</v>
          </cell>
          <cell r="C953" t="str">
            <v>FM</v>
          </cell>
          <cell r="D953" t="str">
            <v>C14+C16+C18(C16@65%)</v>
          </cell>
          <cell r="E953" t="str">
            <v>C14+C16+C18(C16@65%)</v>
          </cell>
          <cell r="F953">
            <v>0.312</v>
          </cell>
          <cell r="G953">
            <v>42.044402499999997</v>
          </cell>
          <cell r="O953">
            <v>29.952000000000002</v>
          </cell>
          <cell r="X953">
            <v>56.472000000000001</v>
          </cell>
          <cell r="AA953">
            <v>60</v>
          </cell>
          <cell r="AG953">
            <v>26.207999999999998</v>
          </cell>
          <cell r="AJ953">
            <v>23</v>
          </cell>
          <cell r="AP953">
            <v>25.271999999999998</v>
          </cell>
          <cell r="AY953">
            <v>99.84</v>
          </cell>
        </row>
        <row r="954">
          <cell r="A954">
            <v>43</v>
          </cell>
          <cell r="B954" t="str">
            <v>IPRM</v>
          </cell>
          <cell r="C954" t="str">
            <v>FM</v>
          </cell>
          <cell r="D954" t="str">
            <v>C16+C18-PFAD/PKO(C16@80%)</v>
          </cell>
          <cell r="E954" t="str">
            <v>C16+C18-PFAD/PKO(C16@80%)</v>
          </cell>
          <cell r="F954">
            <v>112.36499999999999</v>
          </cell>
          <cell r="AH954">
            <v>196.63920000000002</v>
          </cell>
        </row>
        <row r="955">
          <cell r="A955">
            <v>44</v>
          </cell>
          <cell r="B955" t="str">
            <v>IPRM</v>
          </cell>
          <cell r="C955" t="str">
            <v>NM</v>
          </cell>
          <cell r="D955" t="str">
            <v>L/E'S OF  S.B</v>
          </cell>
          <cell r="E955" t="str">
            <v>L/E'S OF  S.B</v>
          </cell>
          <cell r="F955">
            <v>8.3975000000000009</v>
          </cell>
          <cell r="G955">
            <v>14.272200000000002</v>
          </cell>
          <cell r="H955">
            <v>14.59</v>
          </cell>
          <cell r="I955">
            <v>137</v>
          </cell>
          <cell r="O955">
            <v>8.3975000000000009</v>
          </cell>
          <cell r="P955">
            <v>466.22520000000003</v>
          </cell>
          <cell r="Q955">
            <v>14.59</v>
          </cell>
          <cell r="X955">
            <v>8.3975000000000009</v>
          </cell>
          <cell r="Y955">
            <v>464.63940000000002</v>
          </cell>
          <cell r="Z955">
            <v>14.59</v>
          </cell>
          <cell r="AH955">
            <v>464.63940000000002</v>
          </cell>
          <cell r="AI955">
            <v>14.59</v>
          </cell>
          <cell r="AJ955">
            <v>17</v>
          </cell>
          <cell r="AQ955">
            <v>464.63940000000002</v>
          </cell>
          <cell r="AR955">
            <v>14.59</v>
          </cell>
          <cell r="AZ955">
            <v>464.63940000000002</v>
          </cell>
          <cell r="BA955">
            <v>14.59</v>
          </cell>
          <cell r="BJ955">
            <v>14.59</v>
          </cell>
          <cell r="BS955">
            <v>14.59</v>
          </cell>
          <cell r="CB955">
            <v>14.59</v>
          </cell>
          <cell r="CJ955">
            <v>140</v>
          </cell>
          <cell r="CK955">
            <v>14.59</v>
          </cell>
          <cell r="CT955">
            <v>14.59</v>
          </cell>
          <cell r="DB955">
            <v>1056.106</v>
          </cell>
          <cell r="DC955">
            <v>14.59</v>
          </cell>
          <cell r="DK955">
            <v>1130.635</v>
          </cell>
        </row>
        <row r="956">
          <cell r="A956">
            <v>45</v>
          </cell>
          <cell r="B956" t="str">
            <v>IPRM</v>
          </cell>
          <cell r="C956" t="str">
            <v>NM</v>
          </cell>
          <cell r="D956" t="str">
            <v>BAD C8/C10</v>
          </cell>
          <cell r="E956" t="str">
            <v>BAD C8/C10</v>
          </cell>
          <cell r="F956">
            <v>0.312</v>
          </cell>
          <cell r="G956">
            <v>42.044402499999997</v>
          </cell>
          <cell r="O956">
            <v>29.952000000000002</v>
          </cell>
          <cell r="X956">
            <v>56.472000000000001</v>
          </cell>
          <cell r="AA956">
            <v>60</v>
          </cell>
          <cell r="AG956">
            <v>26.207999999999998</v>
          </cell>
          <cell r="AJ956">
            <v>23</v>
          </cell>
          <cell r="AP956">
            <v>25.271999999999998</v>
          </cell>
          <cell r="AY956">
            <v>99.84</v>
          </cell>
          <cell r="BH956">
            <v>99.84</v>
          </cell>
          <cell r="BQ956">
            <v>99.84</v>
          </cell>
          <cell r="BZ956">
            <v>99.84</v>
          </cell>
          <cell r="CI956">
            <v>99.84</v>
          </cell>
          <cell r="CR956">
            <v>99.84</v>
          </cell>
          <cell r="DA956">
            <v>99.84</v>
          </cell>
          <cell r="DJ956">
            <v>68.328000000000003</v>
          </cell>
        </row>
        <row r="957">
          <cell r="A957">
            <v>46</v>
          </cell>
          <cell r="B957" t="str">
            <v>IPRM</v>
          </cell>
          <cell r="C957" t="str">
            <v>FM</v>
          </cell>
          <cell r="D957" t="str">
            <v>L/E PKO(C12@80%)</v>
          </cell>
          <cell r="E957" t="str">
            <v>B/P OF C10</v>
          </cell>
          <cell r="F957">
            <v>112.36499999999999</v>
          </cell>
          <cell r="G957">
            <v>803.93040000000008</v>
          </cell>
          <cell r="O957">
            <v>14.228067999999999</v>
          </cell>
          <cell r="P957">
            <v>1025.56</v>
          </cell>
          <cell r="Y957">
            <v>1048.82</v>
          </cell>
          <cell r="AG957">
            <v>89.658000000000001</v>
          </cell>
          <cell r="AH957">
            <v>196.63920000000002</v>
          </cell>
          <cell r="AQ957">
            <v>1366.1</v>
          </cell>
          <cell r="AZ957">
            <v>1701.48</v>
          </cell>
          <cell r="BB957">
            <v>97.427571428571426</v>
          </cell>
          <cell r="BZ957">
            <v>86.111999999999995</v>
          </cell>
        </row>
        <row r="958">
          <cell r="A958">
            <v>47</v>
          </cell>
          <cell r="B958" t="str">
            <v>IPRM</v>
          </cell>
          <cell r="C958" t="str">
            <v>NM</v>
          </cell>
          <cell r="D958" t="str">
            <v>DAG-MCT</v>
          </cell>
          <cell r="E958" t="str">
            <v>HYD DEAC MCT</v>
          </cell>
          <cell r="G958">
            <v>466.22520000000003</v>
          </cell>
          <cell r="H958">
            <v>26.38</v>
          </cell>
          <cell r="I958">
            <v>13.702500000000001</v>
          </cell>
          <cell r="P958">
            <v>466.22520000000003</v>
          </cell>
          <cell r="Q958">
            <v>26.38</v>
          </cell>
          <cell r="Y958">
            <v>464.63940000000002</v>
          </cell>
          <cell r="Z958">
            <v>26.38</v>
          </cell>
          <cell r="AH958">
            <v>464.63940000000002</v>
          </cell>
          <cell r="AI958">
            <v>26.38</v>
          </cell>
          <cell r="AQ958">
            <v>464.63940000000002</v>
          </cell>
          <cell r="AR958">
            <v>26.38</v>
          </cell>
          <cell r="AS958">
            <v>137.95714285714286</v>
          </cell>
          <cell r="AW958">
            <v>46.55</v>
          </cell>
          <cell r="AZ958">
            <v>464.63940000000002</v>
          </cell>
          <cell r="BA958">
            <v>26.38</v>
          </cell>
          <cell r="BB958">
            <v>128.76</v>
          </cell>
          <cell r="BI958">
            <v>464.63940000000002</v>
          </cell>
          <cell r="BR958">
            <v>464.63940000000002</v>
          </cell>
          <cell r="BS958">
            <v>26.38</v>
          </cell>
          <cell r="CA958">
            <v>464.63940000000002</v>
          </cell>
          <cell r="CB958">
            <v>26.38</v>
          </cell>
          <cell r="CJ958">
            <v>464.63940000000002</v>
          </cell>
          <cell r="CK958">
            <v>26.38</v>
          </cell>
          <cell r="CS958">
            <v>464.63940000000002</v>
          </cell>
          <cell r="CT958">
            <v>26.38</v>
          </cell>
          <cell r="DB958">
            <v>464.63940000000002</v>
          </cell>
          <cell r="DC958">
            <v>26.38</v>
          </cell>
          <cell r="DK958">
            <v>464.63940000000002</v>
          </cell>
          <cell r="DL958">
            <v>26.38</v>
          </cell>
        </row>
        <row r="959">
          <cell r="A959">
            <v>247</v>
          </cell>
          <cell r="B959" t="str">
            <v>IPRM</v>
          </cell>
          <cell r="C959" t="str">
            <v>NM</v>
          </cell>
          <cell r="D959" t="str">
            <v>D ACIDIFIED MCT</v>
          </cell>
          <cell r="E959" t="str">
            <v>D ACIDIFIED MCT</v>
          </cell>
          <cell r="BB959">
            <v>422.5</v>
          </cell>
          <cell r="BJ959">
            <v>26.38</v>
          </cell>
        </row>
        <row r="960">
          <cell r="A960">
            <v>48</v>
          </cell>
          <cell r="B960" t="str">
            <v>IPRM</v>
          </cell>
          <cell r="C960" t="str">
            <v>SM</v>
          </cell>
          <cell r="D960" t="str">
            <v>PKORESIDUE</v>
          </cell>
          <cell r="E960" t="str">
            <v>PKORESIDUE</v>
          </cell>
          <cell r="F960">
            <v>14.498999999999999</v>
          </cell>
          <cell r="G960">
            <v>803.93040000000008</v>
          </cell>
          <cell r="O960">
            <v>14.228067999999999</v>
          </cell>
          <cell r="P960">
            <v>1025.56</v>
          </cell>
          <cell r="R960">
            <v>89.522999999999982</v>
          </cell>
          <cell r="V960">
            <v>79</v>
          </cell>
          <cell r="Y960">
            <v>1048.82</v>
          </cell>
          <cell r="AG960">
            <v>89.658000000000001</v>
          </cell>
          <cell r="AH960">
            <v>1112.7</v>
          </cell>
          <cell r="AQ960">
            <v>1366.1</v>
          </cell>
          <cell r="AZ960">
            <v>1701.48</v>
          </cell>
          <cell r="BB960">
            <v>97.427571428571426</v>
          </cell>
          <cell r="BI960">
            <v>1836.2550000000001</v>
          </cell>
          <cell r="BK960">
            <v>74.944285714285712</v>
          </cell>
          <cell r="BR960">
            <v>1975.6120000000001</v>
          </cell>
          <cell r="BT960">
            <v>209.01128571428572</v>
          </cell>
          <cell r="CA960">
            <v>2060.482</v>
          </cell>
          <cell r="CI960">
            <v>4.4041179999999986</v>
          </cell>
          <cell r="CJ960">
            <v>2118.194</v>
          </cell>
          <cell r="CS960">
            <v>2177.6030000000001</v>
          </cell>
          <cell r="DB960">
            <v>2274.3539999999998</v>
          </cell>
          <cell r="DJ960">
            <v>10.081</v>
          </cell>
          <cell r="DK960">
            <v>2373.7289999999998</v>
          </cell>
        </row>
        <row r="961">
          <cell r="A961">
            <v>49</v>
          </cell>
          <cell r="B961" t="str">
            <v>IPRM</v>
          </cell>
          <cell r="C961" t="str">
            <v>SM</v>
          </cell>
          <cell r="D961" t="str">
            <v>SPKORESIDUE</v>
          </cell>
          <cell r="E961" t="str">
            <v>SPKORESIDUE</v>
          </cell>
          <cell r="G961">
            <v>845.37180000000001</v>
          </cell>
          <cell r="I961">
            <v>13.702500000000001</v>
          </cell>
          <cell r="P961">
            <v>689.92560000000003</v>
          </cell>
          <cell r="Y961">
            <v>741.0311999999999</v>
          </cell>
          <cell r="AH961">
            <v>790.00740000000008</v>
          </cell>
          <cell r="AQ961">
            <v>391.80959999999999</v>
          </cell>
          <cell r="AS961">
            <v>137.95714285714286</v>
          </cell>
          <cell r="AW961">
            <v>46.55</v>
          </cell>
          <cell r="AZ961">
            <v>306.6336</v>
          </cell>
          <cell r="BB961">
            <v>128.76</v>
          </cell>
          <cell r="BI961">
            <v>400.3272</v>
          </cell>
          <cell r="BK961">
            <v>128.76</v>
          </cell>
          <cell r="BR961">
            <v>743.16059999999993</v>
          </cell>
          <cell r="CA961">
            <v>783.61919999999998</v>
          </cell>
          <cell r="CJ961">
            <v>841.11300000000006</v>
          </cell>
          <cell r="CS961">
            <v>1005</v>
          </cell>
        </row>
        <row r="962">
          <cell r="A962">
            <v>50</v>
          </cell>
          <cell r="B962" t="str">
            <v>IPRM</v>
          </cell>
          <cell r="C962" t="str">
            <v>SM</v>
          </cell>
          <cell r="D962" t="str">
            <v>DPKORESIDUE</v>
          </cell>
          <cell r="E962" t="str">
            <v>DPKORESIDUE</v>
          </cell>
          <cell r="I962">
            <v>197.14</v>
          </cell>
          <cell r="M962">
            <v>15</v>
          </cell>
          <cell r="BB962">
            <v>422.5</v>
          </cell>
        </row>
        <row r="963">
          <cell r="A963">
            <v>51</v>
          </cell>
          <cell r="B963" t="str">
            <v>IPRM</v>
          </cell>
          <cell r="C963" t="str">
            <v>FM</v>
          </cell>
          <cell r="D963" t="str">
            <v>SPFAD+DPKORESIDUE-DSB FEED</v>
          </cell>
          <cell r="E963" t="str">
            <v>SPFAD+DPKORESIDUE-DSB FEED</v>
          </cell>
          <cell r="R963">
            <v>89.522999999999982</v>
          </cell>
          <cell r="V963">
            <v>79</v>
          </cell>
          <cell r="CC963">
            <v>191.83500000000001</v>
          </cell>
        </row>
        <row r="964">
          <cell r="A964">
            <v>52</v>
          </cell>
          <cell r="B964" t="str">
            <v>IPRM</v>
          </cell>
          <cell r="C964" t="str">
            <v>FM</v>
          </cell>
          <cell r="D964" t="str">
            <v>SRBDPS/CPS+SCPO-JBS FEED</v>
          </cell>
          <cell r="E964" t="str">
            <v>SRBDPS/CPS+SCPO-JBS FEED</v>
          </cell>
        </row>
        <row r="965">
          <cell r="A965">
            <v>53</v>
          </cell>
          <cell r="B965" t="str">
            <v>IPRM</v>
          </cell>
          <cell r="C965" t="str">
            <v>FM</v>
          </cell>
          <cell r="D965" t="str">
            <v>SRBDPS/CPS+B/PPKO-JBS FEED</v>
          </cell>
          <cell r="E965" t="str">
            <v>SRBDPS/CPS+B/PPKO-JBS FEED</v>
          </cell>
          <cell r="G965">
            <v>963.92</v>
          </cell>
          <cell r="H965">
            <v>463.23</v>
          </cell>
          <cell r="I965">
            <v>197.14</v>
          </cell>
          <cell r="J965">
            <v>28.010999999999999</v>
          </cell>
          <cell r="M965">
            <v>15</v>
          </cell>
          <cell r="P965">
            <v>1047.18</v>
          </cell>
          <cell r="Q965">
            <v>463.23</v>
          </cell>
          <cell r="R965">
            <v>47.46471428571428</v>
          </cell>
          <cell r="S965">
            <v>38.780999999999999</v>
          </cell>
          <cell r="Y965">
            <v>1122.05</v>
          </cell>
          <cell r="Z965">
            <v>463.23</v>
          </cell>
          <cell r="AA965">
            <v>109.9182857142857</v>
          </cell>
          <cell r="AB965">
            <v>24.138999999999999</v>
          </cell>
          <cell r="AH965">
            <v>1288.73</v>
          </cell>
          <cell r="AI965">
            <v>463.23</v>
          </cell>
          <cell r="AJ965">
            <v>99.092999999999975</v>
          </cell>
          <cell r="AK965">
            <v>28.978999999999999</v>
          </cell>
          <cell r="AN965">
            <v>24.61</v>
          </cell>
          <cell r="AP965">
            <v>4.8099999999999996</v>
          </cell>
          <cell r="AQ965">
            <v>1961.9</v>
          </cell>
          <cell r="AS965">
            <v>51.62828571428571</v>
          </cell>
          <cell r="AW965">
            <v>24.48</v>
          </cell>
          <cell r="AZ965">
            <v>1985.69</v>
          </cell>
          <cell r="BB965">
            <v>85.769571428571425</v>
          </cell>
          <cell r="BC965">
            <v>27.044</v>
          </cell>
        </row>
        <row r="966">
          <cell r="A966">
            <v>54</v>
          </cell>
          <cell r="B966" t="str">
            <v>IPRM</v>
          </cell>
          <cell r="C966" t="str">
            <v>FM</v>
          </cell>
          <cell r="D966" t="str">
            <v>SPFAD&gt;C16(C16@15-25%)</v>
          </cell>
          <cell r="E966" t="str">
            <v>D B/P&gt;C16 FOR ALC</v>
          </cell>
        </row>
        <row r="967">
          <cell r="A967">
            <v>55</v>
          </cell>
          <cell r="B967" t="str">
            <v>IPRM</v>
          </cell>
          <cell r="C967" t="str">
            <v>FM</v>
          </cell>
          <cell r="D967" t="str">
            <v>SPFAD&gt;C16(C16@15-25%)</v>
          </cell>
          <cell r="E967" t="str">
            <v>B/P&gt;C16 FOR ALC</v>
          </cell>
          <cell r="F967">
            <v>9.6199999999999992</v>
          </cell>
          <cell r="O967">
            <v>4.8099999999999996</v>
          </cell>
          <cell r="X967">
            <v>4.8099999999999996</v>
          </cell>
          <cell r="AA967">
            <v>30</v>
          </cell>
          <cell r="AG967">
            <v>4.8099999999999996</v>
          </cell>
          <cell r="AY967">
            <v>4.8099999999999996</v>
          </cell>
        </row>
        <row r="968">
          <cell r="A968">
            <v>56</v>
          </cell>
          <cell r="B968" t="str">
            <v>IPRM</v>
          </cell>
          <cell r="C968" t="str">
            <v>SM</v>
          </cell>
          <cell r="D968" t="str">
            <v>MIX RESIDUE</v>
          </cell>
          <cell r="E968" t="str">
            <v>MIX RESIDUE</v>
          </cell>
          <cell r="F968">
            <v>21</v>
          </cell>
          <cell r="G968">
            <v>963.92</v>
          </cell>
          <cell r="H968">
            <v>463.23</v>
          </cell>
          <cell r="I968">
            <v>9.992571428571452</v>
          </cell>
          <cell r="J968">
            <v>28.010999999999999</v>
          </cell>
          <cell r="M968">
            <v>20.75</v>
          </cell>
          <cell r="P968">
            <v>1047.18</v>
          </cell>
          <cell r="Q968">
            <v>463.23</v>
          </cell>
          <cell r="R968">
            <v>47.46471428571428</v>
          </cell>
          <cell r="S968">
            <v>38.780999999999999</v>
          </cell>
          <cell r="Y968">
            <v>1122.05</v>
          </cell>
          <cell r="Z968">
            <v>463.23</v>
          </cell>
          <cell r="AA968">
            <v>109.9182857142857</v>
          </cell>
          <cell r="AB968">
            <v>24.138999999999999</v>
          </cell>
          <cell r="AH968">
            <v>1288.73</v>
          </cell>
          <cell r="AI968">
            <v>463.23</v>
          </cell>
          <cell r="AJ968">
            <v>99.092999999999975</v>
          </cell>
          <cell r="AK968">
            <v>28.978999999999999</v>
          </cell>
          <cell r="AN968">
            <v>24.61</v>
          </cell>
          <cell r="AP968">
            <v>4.8099999999999996</v>
          </cell>
          <cell r="AQ968">
            <v>1961.9</v>
          </cell>
          <cell r="AS968">
            <v>51.62828571428571</v>
          </cell>
          <cell r="AW968">
            <v>24.48</v>
          </cell>
          <cell r="AZ968">
            <v>1985.69</v>
          </cell>
          <cell r="BB968">
            <v>85.769571428571425</v>
          </cell>
          <cell r="BC968">
            <v>27.044</v>
          </cell>
          <cell r="BH968">
            <v>4.8099999999999996</v>
          </cell>
          <cell r="BI968">
            <v>2068.1480000000001</v>
          </cell>
          <cell r="BK968">
            <v>85.769571428571425</v>
          </cell>
          <cell r="BL968">
            <v>2.359</v>
          </cell>
          <cell r="BQ968">
            <v>1.48</v>
          </cell>
          <cell r="BR968">
            <v>2418.6089999999999</v>
          </cell>
          <cell r="BT968">
            <v>20.817857142857143</v>
          </cell>
          <cell r="BU968">
            <v>14.337999999999999</v>
          </cell>
          <cell r="CA968">
            <v>2502.6570000000002</v>
          </cell>
          <cell r="CC968">
            <v>27.479571428571436</v>
          </cell>
          <cell r="CD968">
            <v>17.786999999999999</v>
          </cell>
          <cell r="CJ968">
            <v>2813.4740000000002</v>
          </cell>
          <cell r="CL968">
            <v>21.650571428571443</v>
          </cell>
          <cell r="CS968">
            <v>2884.835</v>
          </cell>
          <cell r="CU968">
            <v>25.397785714285721</v>
          </cell>
          <cell r="CV968">
            <v>18.573</v>
          </cell>
          <cell r="DB968">
            <v>2916.5509999999999</v>
          </cell>
          <cell r="DD968">
            <v>59.122714285714295</v>
          </cell>
          <cell r="DE968">
            <v>13.004</v>
          </cell>
          <cell r="DH968">
            <v>24.34</v>
          </cell>
          <cell r="DK968">
            <v>3108.433</v>
          </cell>
          <cell r="DM968">
            <v>83.271428571428572</v>
          </cell>
          <cell r="DN968">
            <v>26.105</v>
          </cell>
        </row>
        <row r="969">
          <cell r="A969">
            <v>57</v>
          </cell>
          <cell r="B969" t="str">
            <v>IPRM</v>
          </cell>
          <cell r="C969" t="str">
            <v>SM</v>
          </cell>
          <cell r="D969" t="str">
            <v>SMIX RESIDUE</v>
          </cell>
          <cell r="E969" t="str">
            <v>SMIX RESIDUE</v>
          </cell>
        </row>
        <row r="970">
          <cell r="A970">
            <v>58</v>
          </cell>
          <cell r="B970" t="str">
            <v>IPRM</v>
          </cell>
          <cell r="C970" t="str">
            <v>FM</v>
          </cell>
          <cell r="D970" t="str">
            <v>DMIX RESIDUE</v>
          </cell>
          <cell r="E970" t="str">
            <v>DMIX RESIDUE</v>
          </cell>
          <cell r="F970">
            <v>9.6199999999999992</v>
          </cell>
          <cell r="O970">
            <v>4.8099999999999996</v>
          </cell>
          <cell r="X970">
            <v>4.8099999999999996</v>
          </cell>
          <cell r="AA970">
            <v>30</v>
          </cell>
          <cell r="AG970">
            <v>4.8099999999999996</v>
          </cell>
          <cell r="AY970">
            <v>4.8099999999999996</v>
          </cell>
          <cell r="CI970">
            <v>2.2250000000000001</v>
          </cell>
          <cell r="CR970">
            <v>3.9580000000000002</v>
          </cell>
          <cell r="DA970">
            <v>4.452</v>
          </cell>
          <cell r="DJ970">
            <v>4.95</v>
          </cell>
        </row>
        <row r="971">
          <cell r="A971">
            <v>59</v>
          </cell>
          <cell r="B971" t="str">
            <v>IPRM</v>
          </cell>
          <cell r="C971" t="str">
            <v>FM</v>
          </cell>
          <cell r="D971" t="str">
            <v>HYD D RFA</v>
          </cell>
          <cell r="E971" t="str">
            <v>HYD D RFA</v>
          </cell>
          <cell r="F971">
            <v>21</v>
          </cell>
          <cell r="I971">
            <v>133.97999999999999</v>
          </cell>
        </row>
        <row r="972">
          <cell r="A972">
            <v>60</v>
          </cell>
          <cell r="B972" t="str">
            <v>IPRM</v>
          </cell>
          <cell r="C972" t="str">
            <v>FM</v>
          </cell>
          <cell r="D972" t="str">
            <v>B/P SMUSTARD&gt;C18</v>
          </cell>
          <cell r="E972" t="str">
            <v>B/P SMUSTARD&gt;C18</v>
          </cell>
          <cell r="F972">
            <v>40.9</v>
          </cell>
          <cell r="G972">
            <v>299.71620000000001</v>
          </cell>
          <cell r="H972">
            <v>1976.26</v>
          </cell>
          <cell r="O972">
            <v>40.9</v>
          </cell>
          <cell r="P972">
            <v>299.71600000000001</v>
          </cell>
          <cell r="Q972">
            <v>1976.26</v>
          </cell>
          <cell r="X972">
            <v>40.9</v>
          </cell>
          <cell r="Y972">
            <v>295.59312</v>
          </cell>
          <cell r="Z972">
            <v>1976.26</v>
          </cell>
          <cell r="AA972">
            <v>42.468428571428582</v>
          </cell>
          <cell r="AG972">
            <v>40.9</v>
          </cell>
          <cell r="AH972">
            <v>299.71620000000001</v>
          </cell>
          <cell r="AI972">
            <v>1976.26</v>
          </cell>
          <cell r="AJ972">
            <v>148.55000000000001</v>
          </cell>
          <cell r="AP972">
            <v>40.9</v>
          </cell>
          <cell r="AQ972">
            <v>775.45999999999992</v>
          </cell>
          <cell r="AR972">
            <v>1696.78</v>
          </cell>
          <cell r="AS972">
            <v>166.54285714285714</v>
          </cell>
          <cell r="AY972">
            <v>40.9</v>
          </cell>
          <cell r="AZ972">
            <v>775.46</v>
          </cell>
          <cell r="BA972">
            <v>1696.78</v>
          </cell>
        </row>
        <row r="973">
          <cell r="A973">
            <v>61</v>
          </cell>
          <cell r="B973" t="str">
            <v>IPRM</v>
          </cell>
          <cell r="C973" t="str">
            <v>FM</v>
          </cell>
          <cell r="D973" t="str">
            <v>B/P SMUSTARD&gt;C20</v>
          </cell>
          <cell r="E973" t="str">
            <v>B/P SMUSTARD&gt;C20</v>
          </cell>
          <cell r="G973">
            <v>14.905799999999999</v>
          </cell>
          <cell r="H973">
            <v>498.73</v>
          </cell>
          <cell r="Q973">
            <v>498.73</v>
          </cell>
          <cell r="Z973">
            <v>498.73</v>
          </cell>
          <cell r="AI973">
            <v>498.73</v>
          </cell>
          <cell r="AR973">
            <v>498.73</v>
          </cell>
          <cell r="BA973">
            <v>498.73</v>
          </cell>
          <cell r="CC973">
            <v>205.53749999999999</v>
          </cell>
        </row>
        <row r="974">
          <cell r="A974">
            <v>62</v>
          </cell>
          <cell r="B974" t="str">
            <v>IPRM</v>
          </cell>
          <cell r="C974" t="str">
            <v>SM</v>
          </cell>
          <cell r="D974" t="str">
            <v>DFA C18+22(20@50%)</v>
          </cell>
          <cell r="E974" t="str">
            <v>DFA C18+22(20@50%)</v>
          </cell>
          <cell r="G974">
            <v>51.043542400000007</v>
          </cell>
          <cell r="AA974">
            <v>12</v>
          </cell>
        </row>
        <row r="975">
          <cell r="A975">
            <v>260</v>
          </cell>
          <cell r="B975" t="str">
            <v>IPRM</v>
          </cell>
          <cell r="C975" t="str">
            <v>SM</v>
          </cell>
          <cell r="D975" t="str">
            <v>DFA C16C18 FROM MFA</v>
          </cell>
          <cell r="E975" t="str">
            <v>DFA C16C18 FROM MFA</v>
          </cell>
          <cell r="G975">
            <v>120</v>
          </cell>
          <cell r="H975">
            <v>40.11</v>
          </cell>
          <cell r="P975">
            <v>120</v>
          </cell>
          <cell r="Y975">
            <v>120</v>
          </cell>
          <cell r="AH975">
            <v>120</v>
          </cell>
          <cell r="AQ975">
            <v>120</v>
          </cell>
          <cell r="AZ975">
            <v>120</v>
          </cell>
          <cell r="CC975">
            <v>73.099999999999994</v>
          </cell>
        </row>
        <row r="976">
          <cell r="A976">
            <v>63</v>
          </cell>
          <cell r="B976" t="str">
            <v>IPRM</v>
          </cell>
          <cell r="C976" t="str">
            <v>NM</v>
          </cell>
          <cell r="D976" t="str">
            <v>MUSTARD RESIDUE</v>
          </cell>
          <cell r="E976" t="str">
            <v>MUSTARD RESIDUE</v>
          </cell>
          <cell r="F976">
            <v>40.9</v>
          </cell>
          <cell r="G976">
            <v>299.71620000000001</v>
          </cell>
          <cell r="H976">
            <v>1976.26</v>
          </cell>
          <cell r="O976">
            <v>40.9</v>
          </cell>
          <cell r="P976">
            <v>299.71600000000001</v>
          </cell>
          <cell r="Q976">
            <v>1976.26</v>
          </cell>
          <cell r="R976">
            <v>304.82400000000001</v>
          </cell>
          <cell r="X976">
            <v>40.9</v>
          </cell>
          <cell r="Y976">
            <v>295.59312</v>
          </cell>
          <cell r="Z976">
            <v>1976.26</v>
          </cell>
          <cell r="AA976">
            <v>42.468428571428582</v>
          </cell>
          <cell r="AG976">
            <v>40.9</v>
          </cell>
          <cell r="AH976">
            <v>299.71620000000001</v>
          </cell>
          <cell r="AI976">
            <v>1976.26</v>
          </cell>
          <cell r="AJ976">
            <v>148.55000000000001</v>
          </cell>
          <cell r="AP976">
            <v>40.9</v>
          </cell>
          <cell r="AQ976">
            <v>775.45999999999992</v>
          </cell>
          <cell r="AR976">
            <v>1696.78</v>
          </cell>
          <cell r="AS976">
            <v>166.54285714285714</v>
          </cell>
          <cell r="AY976">
            <v>40.9</v>
          </cell>
          <cell r="AZ976">
            <v>775.46</v>
          </cell>
          <cell r="BA976">
            <v>1696.78</v>
          </cell>
          <cell r="BB976">
            <v>289.44900000000001</v>
          </cell>
          <cell r="BH976">
            <v>40.902000000000001</v>
          </cell>
          <cell r="BI976">
            <v>775.45600000000002</v>
          </cell>
          <cell r="BJ976">
            <v>1696.78</v>
          </cell>
          <cell r="BQ976">
            <v>40.902000000000001</v>
          </cell>
          <cell r="BR976">
            <v>775.45600000000002</v>
          </cell>
          <cell r="BS976">
            <v>1696.78</v>
          </cell>
          <cell r="BZ976">
            <v>40.902000000000001</v>
          </cell>
          <cell r="CA976">
            <v>1003.811</v>
          </cell>
          <cell r="CB976">
            <v>1696.78</v>
          </cell>
          <cell r="CI976">
            <v>40.902000000000001</v>
          </cell>
          <cell r="CJ976">
            <v>411.51510000000002</v>
          </cell>
          <cell r="CK976">
            <v>2284.15</v>
          </cell>
          <cell r="CL976">
            <v>51.62828571428571</v>
          </cell>
          <cell r="CR976">
            <v>40.902000000000001</v>
          </cell>
          <cell r="CS976">
            <v>556.61580000000004</v>
          </cell>
          <cell r="CT976">
            <v>2284.15</v>
          </cell>
          <cell r="CU976">
            <v>32.059500000000014</v>
          </cell>
          <cell r="DA976">
            <v>40.902000000000001</v>
          </cell>
          <cell r="DB976">
            <v>304.47360000000003</v>
          </cell>
          <cell r="DC976">
            <v>2593.6799999999998</v>
          </cell>
          <cell r="DD976">
            <v>9.1598571428571542</v>
          </cell>
          <cell r="DJ976">
            <v>41.012</v>
          </cell>
          <cell r="DK976">
            <v>344.11860000000001</v>
          </cell>
          <cell r="DL976">
            <v>2593.6799999999998</v>
          </cell>
          <cell r="DM976">
            <v>54.126428571428569</v>
          </cell>
        </row>
        <row r="977">
          <cell r="A977">
            <v>64</v>
          </cell>
          <cell r="B977" t="str">
            <v>IPRM</v>
          </cell>
          <cell r="C977" t="str">
            <v>NM</v>
          </cell>
          <cell r="D977" t="str">
            <v>SMUSTARD RESIDUE</v>
          </cell>
          <cell r="E977" t="str">
            <v>SMUSTARD RESIDUE</v>
          </cell>
          <cell r="G977">
            <v>14.905799999999999</v>
          </cell>
          <cell r="H977">
            <v>498.73</v>
          </cell>
          <cell r="Q977">
            <v>498.73</v>
          </cell>
          <cell r="Z977">
            <v>498.73</v>
          </cell>
          <cell r="AI977">
            <v>498.73</v>
          </cell>
          <cell r="AP977">
            <v>318.50918000000001</v>
          </cell>
          <cell r="AR977">
            <v>498.73</v>
          </cell>
          <cell r="AY977">
            <v>318.50918000000001</v>
          </cell>
          <cell r="BA977">
            <v>498.73</v>
          </cell>
          <cell r="BJ977">
            <v>498.73</v>
          </cell>
          <cell r="BS977">
            <v>498.73</v>
          </cell>
          <cell r="CB977">
            <v>498.73</v>
          </cell>
          <cell r="CK977">
            <v>498.73</v>
          </cell>
          <cell r="CT977">
            <v>498.73</v>
          </cell>
          <cell r="DC977">
            <v>498.73</v>
          </cell>
          <cell r="DL977">
            <v>498.73</v>
          </cell>
        </row>
        <row r="978">
          <cell r="A978">
            <v>65</v>
          </cell>
          <cell r="B978" t="str">
            <v>IPRM</v>
          </cell>
          <cell r="C978" t="str">
            <v>NM</v>
          </cell>
          <cell r="D978" t="str">
            <v>DMUSTARD RESIDUE</v>
          </cell>
          <cell r="E978" t="str">
            <v>DMUSTARD RESIDUE</v>
          </cell>
          <cell r="G978">
            <v>51.043542400000007</v>
          </cell>
          <cell r="AA978">
            <v>12</v>
          </cell>
        </row>
        <row r="979">
          <cell r="A979">
            <v>66</v>
          </cell>
          <cell r="B979" t="str">
            <v>IPRM</v>
          </cell>
          <cell r="C979" t="str">
            <v>NM</v>
          </cell>
          <cell r="D979" t="str">
            <v>CONTAMINATED MUST</v>
          </cell>
          <cell r="E979" t="str">
            <v>CONTAMINATED MUST</v>
          </cell>
          <cell r="G979">
            <v>120</v>
          </cell>
          <cell r="H979">
            <v>40.11</v>
          </cell>
          <cell r="P979">
            <v>120</v>
          </cell>
          <cell r="Y979">
            <v>120</v>
          </cell>
          <cell r="AH979">
            <v>120</v>
          </cell>
          <cell r="AQ979">
            <v>120</v>
          </cell>
          <cell r="AZ979">
            <v>120</v>
          </cell>
          <cell r="BI979">
            <v>120</v>
          </cell>
          <cell r="BR979">
            <v>120</v>
          </cell>
          <cell r="CA979">
            <v>120</v>
          </cell>
          <cell r="CJ979">
            <v>120</v>
          </cell>
          <cell r="CS979">
            <v>120</v>
          </cell>
          <cell r="DB979">
            <v>120</v>
          </cell>
          <cell r="DC979">
            <v>40.11</v>
          </cell>
          <cell r="DK979">
            <v>120</v>
          </cell>
          <cell r="DL979">
            <v>40.11</v>
          </cell>
        </row>
        <row r="980">
          <cell r="A980">
            <v>67</v>
          </cell>
          <cell r="B980" t="str">
            <v>IPRM</v>
          </cell>
          <cell r="C980" t="str">
            <v>NM</v>
          </cell>
          <cell r="D980" t="str">
            <v>HYD SPFAD</v>
          </cell>
          <cell r="E980" t="str">
            <v>HYD SPFAD</v>
          </cell>
          <cell r="O980">
            <v>204.44</v>
          </cell>
          <cell r="R980">
            <v>304.82400000000001</v>
          </cell>
          <cell r="AA980">
            <v>93.176999999999992</v>
          </cell>
          <cell r="AE980">
            <v>71.739999999999995</v>
          </cell>
          <cell r="AJ980">
            <v>17.835000000000001</v>
          </cell>
          <cell r="AP980">
            <v>21</v>
          </cell>
          <cell r="AS980">
            <v>165.56100000000001</v>
          </cell>
          <cell r="BB980">
            <v>289.44900000000001</v>
          </cell>
          <cell r="BK980">
            <v>37.409999999999997</v>
          </cell>
          <cell r="BT980">
            <v>21.141000000000002</v>
          </cell>
          <cell r="CC980">
            <v>4.4000000000000004</v>
          </cell>
          <cell r="CL980">
            <v>100.31099999999999</v>
          </cell>
          <cell r="CR980">
            <v>34.225000000000001</v>
          </cell>
          <cell r="CU980">
            <v>169.911</v>
          </cell>
          <cell r="DA980">
            <v>143.55000000000001</v>
          </cell>
          <cell r="DD980">
            <v>211.41</v>
          </cell>
          <cell r="DM980">
            <v>201.75399999999999</v>
          </cell>
        </row>
        <row r="981">
          <cell r="A981">
            <v>68</v>
          </cell>
          <cell r="B981" t="str">
            <v>IPRM</v>
          </cell>
          <cell r="C981" t="str">
            <v>NM</v>
          </cell>
          <cell r="D981" t="str">
            <v>C16 RICH (FOR SB)</v>
          </cell>
          <cell r="E981" t="str">
            <v>C16 RICH (FOR SB)</v>
          </cell>
          <cell r="F981">
            <v>156.41999999999999</v>
          </cell>
          <cell r="O981">
            <v>254.79</v>
          </cell>
          <cell r="AG981">
            <v>130.12477999999999</v>
          </cell>
          <cell r="AP981">
            <v>318.50918000000001</v>
          </cell>
          <cell r="AY981">
            <v>318.50918000000001</v>
          </cell>
          <cell r="BH981">
            <v>318.50918000000001</v>
          </cell>
          <cell r="BK981">
            <v>400.2</v>
          </cell>
          <cell r="BQ981">
            <v>447.58738</v>
          </cell>
          <cell r="CI981">
            <v>337.76400000000001</v>
          </cell>
          <cell r="CR981">
            <v>130.12477999999999</v>
          </cell>
          <cell r="CU981">
            <v>364.48649999999998</v>
          </cell>
          <cell r="CY981">
            <v>15.11</v>
          </cell>
          <cell r="DA981">
            <v>255.45500000000001</v>
          </cell>
          <cell r="DD981">
            <v>268.56900000000002</v>
          </cell>
          <cell r="DM981">
            <v>115.10099999999998</v>
          </cell>
        </row>
        <row r="982">
          <cell r="A982">
            <v>69</v>
          </cell>
          <cell r="B982" t="str">
            <v>IPRM</v>
          </cell>
          <cell r="C982" t="str">
            <v>NM</v>
          </cell>
          <cell r="D982" t="str">
            <v>B/P PFAD (FOR C16/C18)</v>
          </cell>
          <cell r="E982" t="str">
            <v>B/P PFAD (FOR C16/C18)</v>
          </cell>
          <cell r="G982">
            <v>272.68</v>
          </cell>
          <cell r="O982">
            <v>255.6</v>
          </cell>
          <cell r="P982">
            <v>3.23</v>
          </cell>
          <cell r="X982">
            <v>255.6</v>
          </cell>
          <cell r="AG982">
            <v>136.4</v>
          </cell>
          <cell r="AJ982">
            <v>80.387999999999977</v>
          </cell>
          <cell r="AN982">
            <v>18.739999999999998</v>
          </cell>
          <cell r="DD982">
            <v>166.25700000000001</v>
          </cell>
          <cell r="DM982">
            <v>602.91</v>
          </cell>
        </row>
        <row r="983">
          <cell r="A983">
            <v>70</v>
          </cell>
          <cell r="B983" t="str">
            <v>IPRM</v>
          </cell>
          <cell r="C983" t="str">
            <v>NM</v>
          </cell>
          <cell r="D983" t="str">
            <v>DFA C8&gt;90%</v>
          </cell>
          <cell r="E983" t="str">
            <v>DFA C8&gt;90%</v>
          </cell>
          <cell r="AG983">
            <v>7</v>
          </cell>
        </row>
        <row r="984">
          <cell r="A984">
            <v>71</v>
          </cell>
          <cell r="B984" t="str">
            <v>IPRM</v>
          </cell>
          <cell r="C984" t="str">
            <v>NM</v>
          </cell>
          <cell r="D984" t="str">
            <v>FEED FOR DTP-CT</v>
          </cell>
          <cell r="E984" t="str">
            <v>FEED FOR DTP-CT</v>
          </cell>
          <cell r="O984">
            <v>204.44</v>
          </cell>
          <cell r="AA984">
            <v>148.90049999999997</v>
          </cell>
          <cell r="AE984">
            <v>71.739999999999995</v>
          </cell>
        </row>
        <row r="985">
          <cell r="A985">
            <v>72</v>
          </cell>
          <cell r="B985" t="str">
            <v>IPRM</v>
          </cell>
          <cell r="C985" t="str">
            <v>NM</v>
          </cell>
          <cell r="D985" t="str">
            <v>C16 RICH FROM PFAD</v>
          </cell>
          <cell r="E985" t="str">
            <v>C16 RICH FROM PFAD</v>
          </cell>
          <cell r="F985">
            <v>156.41999999999999</v>
          </cell>
          <cell r="O985">
            <v>254.79</v>
          </cell>
          <cell r="AG985">
            <v>130.12477999999999</v>
          </cell>
          <cell r="BZ985">
            <v>447.58738</v>
          </cell>
        </row>
        <row r="986">
          <cell r="A986">
            <v>73</v>
          </cell>
          <cell r="B986" t="str">
            <v>IPRM</v>
          </cell>
          <cell r="C986" t="str">
            <v>NM</v>
          </cell>
          <cell r="D986" t="str">
            <v>FEED FOR P-12</v>
          </cell>
          <cell r="E986" t="str">
            <v>FEED FOR P-12</v>
          </cell>
          <cell r="F986">
            <v>21</v>
          </cell>
          <cell r="G986">
            <v>272.68</v>
          </cell>
          <cell r="O986">
            <v>255.6</v>
          </cell>
          <cell r="P986">
            <v>3.23</v>
          </cell>
          <cell r="X986">
            <v>255.6</v>
          </cell>
          <cell r="AG986">
            <v>136.4</v>
          </cell>
          <cell r="AJ986">
            <v>80.387999999999977</v>
          </cell>
          <cell r="AN986">
            <v>18.739999999999998</v>
          </cell>
          <cell r="AP986">
            <v>4.375</v>
          </cell>
          <cell r="AY986">
            <v>22.75</v>
          </cell>
          <cell r="BZ986">
            <v>101.97</v>
          </cell>
          <cell r="CC986">
            <v>34.949142857142832</v>
          </cell>
          <cell r="CG986">
            <v>48.35</v>
          </cell>
          <cell r="CI986">
            <v>49.005000000000003</v>
          </cell>
          <cell r="CL986">
            <v>273.15514285714289</v>
          </cell>
          <cell r="CP986">
            <v>15.27</v>
          </cell>
          <cell r="CU986">
            <v>29.430857142857167</v>
          </cell>
          <cell r="DD986">
            <v>29.430857142857167</v>
          </cell>
          <cell r="DJ986">
            <v>129.76</v>
          </cell>
          <cell r="DQ986">
            <v>20.94</v>
          </cell>
        </row>
        <row r="987">
          <cell r="A987">
            <v>74</v>
          </cell>
          <cell r="B987" t="str">
            <v>IPRM</v>
          </cell>
          <cell r="C987" t="str">
            <v>NM</v>
          </cell>
          <cell r="D987" t="str">
            <v>HYD P-12</v>
          </cell>
          <cell r="E987" t="str">
            <v>HYD P-12</v>
          </cell>
          <cell r="F987">
            <v>188.1</v>
          </cell>
          <cell r="O987">
            <v>14</v>
          </cell>
          <cell r="AG987">
            <v>7</v>
          </cell>
          <cell r="AS987">
            <v>286.23</v>
          </cell>
          <cell r="DJ987">
            <v>7</v>
          </cell>
        </row>
        <row r="988">
          <cell r="A988">
            <v>75</v>
          </cell>
          <cell r="B988" t="str">
            <v>IPRM</v>
          </cell>
          <cell r="C988" t="str">
            <v>NM</v>
          </cell>
          <cell r="D988" t="str">
            <v>D HYD P-12</v>
          </cell>
          <cell r="E988" t="str">
            <v>D HYD P-12</v>
          </cell>
          <cell r="BC988">
            <v>24.492000000000001</v>
          </cell>
        </row>
        <row r="989">
          <cell r="A989">
            <v>76</v>
          </cell>
          <cell r="B989" t="str">
            <v>IPRM</v>
          </cell>
          <cell r="C989" t="str">
            <v>NM</v>
          </cell>
          <cell r="D989" t="str">
            <v>DFA C16/18  FOR TRANSLUCENT</v>
          </cell>
          <cell r="E989" t="str">
            <v>DFA C16/18  FOR TRANSLUCENT</v>
          </cell>
        </row>
        <row r="990">
          <cell r="A990">
            <v>77</v>
          </cell>
          <cell r="B990" t="str">
            <v>IPRM</v>
          </cell>
          <cell r="C990" t="str">
            <v>NM</v>
          </cell>
          <cell r="D990" t="str">
            <v>GLY RES</v>
          </cell>
          <cell r="E990" t="str">
            <v>GLY RES</v>
          </cell>
          <cell r="F990">
            <v>21</v>
          </cell>
          <cell r="G990">
            <v>118.578</v>
          </cell>
          <cell r="O990">
            <v>2.35</v>
          </cell>
          <cell r="P990">
            <v>118.578</v>
          </cell>
          <cell r="X990">
            <v>35</v>
          </cell>
          <cell r="Y990">
            <v>118.578</v>
          </cell>
          <cell r="AG990">
            <v>12.6</v>
          </cell>
          <cell r="AH990">
            <v>118.578</v>
          </cell>
          <cell r="AP990">
            <v>4.375</v>
          </cell>
          <cell r="AQ990">
            <v>97.578000000000003</v>
          </cell>
          <cell r="AY990">
            <v>22.75</v>
          </cell>
          <cell r="AZ990">
            <v>97.578000000000003</v>
          </cell>
          <cell r="BH990">
            <v>22.75</v>
          </cell>
          <cell r="BQ990">
            <v>23.625</v>
          </cell>
          <cell r="BZ990">
            <v>36.75</v>
          </cell>
          <cell r="CI990">
            <v>11.375</v>
          </cell>
          <cell r="CR990">
            <v>27.125</v>
          </cell>
          <cell r="DA990">
            <v>27.125</v>
          </cell>
          <cell r="DJ990">
            <v>1.75</v>
          </cell>
        </row>
        <row r="991">
          <cell r="A991">
            <v>78</v>
          </cell>
          <cell r="B991" t="str">
            <v>IPRM</v>
          </cell>
          <cell r="C991" t="str">
            <v>NM</v>
          </cell>
          <cell r="D991" t="str">
            <v>D B/P PKO</v>
          </cell>
          <cell r="E991" t="str">
            <v>D B/P PKO</v>
          </cell>
          <cell r="F991">
            <v>188.1</v>
          </cell>
          <cell r="O991">
            <v>14</v>
          </cell>
          <cell r="AS991">
            <v>286.23</v>
          </cell>
          <cell r="BT991">
            <v>211.88</v>
          </cell>
        </row>
        <row r="992">
          <cell r="A992">
            <v>79</v>
          </cell>
          <cell r="B992" t="str">
            <v>IPRM</v>
          </cell>
          <cell r="C992" t="str">
            <v>NM</v>
          </cell>
          <cell r="D992" t="str">
            <v>FOR NEEM SOAP</v>
          </cell>
          <cell r="E992" t="str">
            <v>FOR NEEM SOAP</v>
          </cell>
          <cell r="F992">
            <v>951.33699999999999</v>
          </cell>
          <cell r="G992">
            <v>6281.4063049000015</v>
          </cell>
          <cell r="H992">
            <v>3019.3</v>
          </cell>
          <cell r="I992">
            <v>820.01014285714291</v>
          </cell>
          <cell r="J992">
            <v>28.010999999999999</v>
          </cell>
          <cell r="K992">
            <v>0</v>
          </cell>
          <cell r="L992">
            <v>0</v>
          </cell>
          <cell r="M992">
            <v>35.75</v>
          </cell>
          <cell r="N992">
            <v>0</v>
          </cell>
          <cell r="O992">
            <v>1272.9155679999997</v>
          </cell>
          <cell r="P992">
            <v>6341.6307600000009</v>
          </cell>
          <cell r="Q992">
            <v>2979.19</v>
          </cell>
          <cell r="R992">
            <v>677.89242857142858</v>
          </cell>
          <cell r="S992">
            <v>38.780999999999999</v>
          </cell>
          <cell r="T992">
            <v>0</v>
          </cell>
          <cell r="U992">
            <v>0</v>
          </cell>
          <cell r="V992">
            <v>176.85</v>
          </cell>
          <cell r="W992">
            <v>0</v>
          </cell>
          <cell r="X992">
            <v>874.46900000000005</v>
          </cell>
          <cell r="Y992">
            <v>6860.6462800000018</v>
          </cell>
          <cell r="Z992">
            <v>2979.19</v>
          </cell>
          <cell r="AA992">
            <v>682.42050000000006</v>
          </cell>
          <cell r="AB992">
            <v>24.138999999999999</v>
          </cell>
          <cell r="AC992">
            <v>0</v>
          </cell>
          <cell r="AD992">
            <v>0</v>
          </cell>
          <cell r="AE992">
            <v>71.739999999999995</v>
          </cell>
          <cell r="AF992">
            <v>0</v>
          </cell>
          <cell r="AG992">
            <v>1010.8632799999999</v>
          </cell>
          <cell r="AH992">
            <v>6887.823260000001</v>
          </cell>
          <cell r="AI992">
            <v>2979.19</v>
          </cell>
          <cell r="AJ992">
            <v>1104.691</v>
          </cell>
          <cell r="AK992">
            <v>28.978999999999999</v>
          </cell>
          <cell r="AL992">
            <v>0</v>
          </cell>
          <cell r="AM992">
            <v>0</v>
          </cell>
          <cell r="AN992">
            <v>43.349999999999994</v>
          </cell>
          <cell r="AO992">
            <v>0</v>
          </cell>
          <cell r="AP992">
            <v>1221.4266799999998</v>
          </cell>
          <cell r="AQ992">
            <v>7124.1817600000013</v>
          </cell>
          <cell r="AR992">
            <v>2236.48</v>
          </cell>
          <cell r="AS992">
            <v>1357.8885714285714</v>
          </cell>
          <cell r="AT992">
            <v>0</v>
          </cell>
          <cell r="AU992">
            <v>0</v>
          </cell>
          <cell r="AV992">
            <v>0</v>
          </cell>
          <cell r="AW992">
            <v>71.03</v>
          </cell>
          <cell r="AX992">
            <v>0</v>
          </cell>
          <cell r="AY992">
            <v>1456.61068</v>
          </cell>
          <cell r="AZ992">
            <v>7174.2027600000001</v>
          </cell>
          <cell r="BA992">
            <v>2236.48</v>
          </cell>
          <cell r="BB992">
            <v>1345.1225714285715</v>
          </cell>
          <cell r="BC992">
            <v>24.492000000000001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</row>
        <row r="993">
          <cell r="A993">
            <v>239</v>
          </cell>
          <cell r="B993" t="str">
            <v>IPRM</v>
          </cell>
          <cell r="C993" t="str">
            <v>NM</v>
          </cell>
          <cell r="D993" t="str">
            <v>FEED FOR ITC</v>
          </cell>
          <cell r="E993" t="str">
            <v>FEED FOR ITC</v>
          </cell>
        </row>
        <row r="994">
          <cell r="A994">
            <v>240</v>
          </cell>
          <cell r="B994" t="str">
            <v>IPRM</v>
          </cell>
          <cell r="C994" t="str">
            <v>NM</v>
          </cell>
          <cell r="D994" t="str">
            <v>MUSTARD-MCT</v>
          </cell>
          <cell r="E994" t="str">
            <v>MUSTARD-MCT</v>
          </cell>
          <cell r="F994">
            <v>29.8935</v>
          </cell>
          <cell r="G994">
            <v>118.578</v>
          </cell>
          <cell r="I994">
            <v>89.516785714285717</v>
          </cell>
          <cell r="O994">
            <v>29.8935</v>
          </cell>
          <cell r="P994">
            <v>118.578</v>
          </cell>
          <cell r="R994">
            <v>2.4981428571428337</v>
          </cell>
          <cell r="X994">
            <v>29.8935</v>
          </cell>
          <cell r="Y994">
            <v>118.578</v>
          </cell>
          <cell r="AG994">
            <v>29.3825</v>
          </cell>
          <cell r="AH994">
            <v>118.578</v>
          </cell>
          <cell r="AP994">
            <v>29.3825</v>
          </cell>
          <cell r="AQ994">
            <v>97.578000000000003</v>
          </cell>
          <cell r="AY994">
            <v>29.3825</v>
          </cell>
          <cell r="AZ994">
            <v>97.578000000000003</v>
          </cell>
          <cell r="BH994">
            <v>29.3825</v>
          </cell>
          <cell r="BI994">
            <v>97.578000000000003</v>
          </cell>
          <cell r="BQ994">
            <v>29.3825</v>
          </cell>
          <cell r="BR994">
            <v>97.578000000000003</v>
          </cell>
          <cell r="BZ994">
            <v>29.3825</v>
          </cell>
          <cell r="CA994">
            <v>97.578000000000003</v>
          </cell>
          <cell r="CI994">
            <v>29.3825</v>
          </cell>
          <cell r="CJ994">
            <v>97.578000000000003</v>
          </cell>
          <cell r="CR994">
            <v>29.3825</v>
          </cell>
          <cell r="CS994">
            <v>97.578000000000003</v>
          </cell>
          <cell r="DA994">
            <v>29.3825</v>
          </cell>
          <cell r="DB994">
            <v>97.578000000000003</v>
          </cell>
          <cell r="DJ994">
            <v>29.3825</v>
          </cell>
          <cell r="DK994">
            <v>97.578000000000003</v>
          </cell>
          <cell r="DM994">
            <v>25.8</v>
          </cell>
        </row>
        <row r="995">
          <cell r="A995">
            <v>242</v>
          </cell>
          <cell r="B995" t="str">
            <v>IPRM</v>
          </cell>
          <cell r="C995" t="str">
            <v>NM</v>
          </cell>
          <cell r="D995" t="str">
            <v>HYD STEARIC-90</v>
          </cell>
          <cell r="E995" t="str">
            <v>HYD STEARIC-90</v>
          </cell>
          <cell r="R995">
            <v>108.70650000000001</v>
          </cell>
          <cell r="AA995">
            <v>285.03200000000004</v>
          </cell>
        </row>
        <row r="996">
          <cell r="A996">
            <v>82</v>
          </cell>
          <cell r="B996" t="str">
            <v>FG</v>
          </cell>
          <cell r="C996" t="str">
            <v>FM</v>
          </cell>
          <cell r="D996" t="str">
            <v>IPRM TOTAL</v>
          </cell>
          <cell r="E996" t="str">
            <v>TRANSLUCENT</v>
          </cell>
          <cell r="F996">
            <v>951.33699999999999</v>
          </cell>
          <cell r="G996">
            <v>6281.4063049000015</v>
          </cell>
          <cell r="H996">
            <v>3019.3</v>
          </cell>
          <cell r="I996">
            <v>820.01014285714291</v>
          </cell>
          <cell r="J996">
            <v>28.010999999999999</v>
          </cell>
          <cell r="K996">
            <v>0</v>
          </cell>
          <cell r="L996">
            <v>0</v>
          </cell>
          <cell r="M996">
            <v>35.75</v>
          </cell>
          <cell r="N996">
            <v>0</v>
          </cell>
          <cell r="O996">
            <v>1272.9155679999997</v>
          </cell>
          <cell r="P996">
            <v>6341.6307600000009</v>
          </cell>
          <cell r="Q996">
            <v>2979.19</v>
          </cell>
          <cell r="R996">
            <v>677.89242857142858</v>
          </cell>
          <cell r="S996">
            <v>38.780999999999999</v>
          </cell>
          <cell r="T996">
            <v>0</v>
          </cell>
          <cell r="U996">
            <v>0</v>
          </cell>
          <cell r="V996">
            <v>176.85</v>
          </cell>
          <cell r="W996">
            <v>0</v>
          </cell>
          <cell r="X996">
            <v>874.46900000000005</v>
          </cell>
          <cell r="Y996">
            <v>6860.6462800000018</v>
          </cell>
          <cell r="Z996">
            <v>2979.19</v>
          </cell>
          <cell r="AA996">
            <v>682.42050000000006</v>
          </cell>
          <cell r="AB996">
            <v>24.138999999999999</v>
          </cell>
          <cell r="AC996">
            <v>0</v>
          </cell>
          <cell r="AD996">
            <v>0</v>
          </cell>
          <cell r="AE996">
            <v>71.739999999999995</v>
          </cell>
          <cell r="AF996">
            <v>0</v>
          </cell>
          <cell r="AG996">
            <v>1010.8632799999999</v>
          </cell>
          <cell r="AH996">
            <v>6887.823260000001</v>
          </cell>
          <cell r="AI996">
            <v>2979.19</v>
          </cell>
          <cell r="AJ996">
            <v>1104.691</v>
          </cell>
          <cell r="AK996">
            <v>28.978999999999999</v>
          </cell>
          <cell r="AL996">
            <v>0</v>
          </cell>
          <cell r="AM996">
            <v>0</v>
          </cell>
          <cell r="AN996">
            <v>43.349999999999994</v>
          </cell>
          <cell r="AO996">
            <v>0</v>
          </cell>
          <cell r="AP996">
            <v>1221.4266799999998</v>
          </cell>
          <cell r="AQ996">
            <v>7124.1817600000013</v>
          </cell>
          <cell r="AR996">
            <v>2236.48</v>
          </cell>
          <cell r="AS996">
            <v>1357.8885714285714</v>
          </cell>
          <cell r="AT996">
            <v>0</v>
          </cell>
          <cell r="AU996">
            <v>0</v>
          </cell>
          <cell r="AV996">
            <v>0</v>
          </cell>
          <cell r="AW996">
            <v>71.03</v>
          </cell>
          <cell r="AX996">
            <v>0</v>
          </cell>
          <cell r="AY996">
            <v>1456.61068</v>
          </cell>
          <cell r="AZ996">
            <v>7174.2027600000001</v>
          </cell>
          <cell r="BA996">
            <v>2236.48</v>
          </cell>
          <cell r="BB996">
            <v>1345.1225714285715</v>
          </cell>
          <cell r="BC996">
            <v>51.536000000000001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1303.5776800000001</v>
          </cell>
          <cell r="BI996">
            <v>7653.5784000000003</v>
          </cell>
          <cell r="BJ996">
            <v>2236.48</v>
          </cell>
          <cell r="BK996">
            <v>1397.7917142857143</v>
          </cell>
          <cell r="BL996">
            <v>2.359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1022.8318800000001</v>
          </cell>
          <cell r="BR996">
            <v>8631.0825999999997</v>
          </cell>
          <cell r="BS996">
            <v>2236.48</v>
          </cell>
          <cell r="BT996">
            <v>965.10271428571423</v>
          </cell>
          <cell r="BU996">
            <v>14.337999999999999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1136.86888</v>
          </cell>
          <cell r="CA996">
            <v>9091.9045999999998</v>
          </cell>
          <cell r="CB996">
            <v>2236.48</v>
          </cell>
          <cell r="CC996">
            <v>1275.1754999999998</v>
          </cell>
          <cell r="CD996">
            <v>17.786999999999999</v>
          </cell>
          <cell r="CE996">
            <v>0</v>
          </cell>
          <cell r="CF996">
            <v>0</v>
          </cell>
          <cell r="CG996">
            <v>48.35</v>
          </cell>
          <cell r="CH996">
            <v>0</v>
          </cell>
          <cell r="CI996">
            <v>924.13961800000004</v>
          </cell>
          <cell r="CJ996">
            <v>9559.5010999999995</v>
          </cell>
          <cell r="CK996">
            <v>2823.85</v>
          </cell>
          <cell r="CL996">
            <v>855.50828571428576</v>
          </cell>
          <cell r="CM996">
            <v>0</v>
          </cell>
          <cell r="CN996">
            <v>0</v>
          </cell>
          <cell r="CO996">
            <v>0</v>
          </cell>
          <cell r="CP996">
            <v>15.27</v>
          </cell>
          <cell r="CQ996">
            <v>0</v>
          </cell>
          <cell r="CR996">
            <v>712.92728000000011</v>
          </cell>
          <cell r="CS996">
            <v>9975.259799999998</v>
          </cell>
          <cell r="CT996">
            <v>2823.85</v>
          </cell>
          <cell r="CU996">
            <v>1109.3307857142859</v>
          </cell>
          <cell r="CV996">
            <v>18.573</v>
          </cell>
          <cell r="CW996">
            <v>0</v>
          </cell>
          <cell r="CX996">
            <v>0</v>
          </cell>
          <cell r="CY996">
            <v>15.11</v>
          </cell>
          <cell r="CZ996">
            <v>0</v>
          </cell>
          <cell r="DA996">
            <v>1036.1085</v>
          </cell>
          <cell r="DB996">
            <v>9847.4755999999979</v>
          </cell>
          <cell r="DC996">
            <v>3173.49</v>
          </cell>
          <cell r="DD996">
            <v>869.2170000000001</v>
          </cell>
          <cell r="DE996">
            <v>13.004</v>
          </cell>
          <cell r="DF996">
            <v>0</v>
          </cell>
          <cell r="DG996">
            <v>0</v>
          </cell>
          <cell r="DH996">
            <v>24.34</v>
          </cell>
          <cell r="DI996">
            <v>0</v>
          </cell>
          <cell r="DJ996">
            <v>767.79750000000001</v>
          </cell>
          <cell r="DK996">
            <v>10058.549800000001</v>
          </cell>
          <cell r="DL996">
            <v>3158.9</v>
          </cell>
          <cell r="DM996">
            <v>1238.5064285714286</v>
          </cell>
          <cell r="DN996">
            <v>26.105</v>
          </cell>
          <cell r="DO996">
            <v>0</v>
          </cell>
          <cell r="DP996">
            <v>0</v>
          </cell>
          <cell r="DQ996">
            <v>20.94</v>
          </cell>
          <cell r="DR996">
            <v>0</v>
          </cell>
        </row>
        <row r="997">
          <cell r="A997" t="str">
            <v>FATTY ACID FINISHED PRODUCTS</v>
          </cell>
          <cell r="B997" t="str">
            <v>FG</v>
          </cell>
          <cell r="C997" t="str">
            <v>FM</v>
          </cell>
          <cell r="D997" t="str">
            <v>D.S.B</v>
          </cell>
          <cell r="E997" t="str">
            <v>DPFAD 70% + SDD PKO RES 30%</v>
          </cell>
          <cell r="P997">
            <v>45.988199999999999</v>
          </cell>
          <cell r="R997">
            <v>396.459</v>
          </cell>
          <cell r="AA997">
            <v>191.83500000000001</v>
          </cell>
        </row>
        <row r="998">
          <cell r="A998">
            <v>80</v>
          </cell>
          <cell r="B998" t="str">
            <v>FG</v>
          </cell>
          <cell r="C998" t="str">
            <v>FM</v>
          </cell>
          <cell r="D998" t="str">
            <v>CPKO/MUSTO/MIX II RESIDUE</v>
          </cell>
          <cell r="E998" t="str">
            <v>PITCH</v>
          </cell>
          <cell r="F998">
            <v>175.3605</v>
          </cell>
          <cell r="I998">
            <v>89.516785714285717</v>
          </cell>
          <cell r="O998">
            <v>59.332500000000003</v>
          </cell>
          <cell r="R998">
            <v>2.4981428571428337</v>
          </cell>
        </row>
        <row r="999">
          <cell r="A999">
            <v>81</v>
          </cell>
          <cell r="B999" t="str">
            <v>FG</v>
          </cell>
          <cell r="C999" t="str">
            <v>FM</v>
          </cell>
          <cell r="D999" t="str">
            <v>JBS(80:20)</v>
          </cell>
          <cell r="E999" t="str">
            <v>JBS(80:20)</v>
          </cell>
          <cell r="R999">
            <v>108.70650000000001</v>
          </cell>
          <cell r="AA999">
            <v>285.03200000000004</v>
          </cell>
          <cell r="BZ999">
            <v>112.4</v>
          </cell>
          <cell r="CD999">
            <v>52.46</v>
          </cell>
        </row>
        <row r="1000">
          <cell r="A1000">
            <v>82</v>
          </cell>
          <cell r="B1000" t="str">
            <v>FG</v>
          </cell>
          <cell r="C1000" t="str">
            <v>FM</v>
          </cell>
          <cell r="D1000" t="str">
            <v>TRANSLUCENT</v>
          </cell>
          <cell r="E1000" t="str">
            <v>TRANSLUCENT</v>
          </cell>
          <cell r="BK1000">
            <v>211.01850000000002</v>
          </cell>
        </row>
        <row r="1001">
          <cell r="A1001">
            <v>83</v>
          </cell>
          <cell r="B1001" t="str">
            <v>FG</v>
          </cell>
          <cell r="C1001" t="str">
            <v>FM</v>
          </cell>
          <cell r="D1001" t="str">
            <v>D.S.B</v>
          </cell>
          <cell r="E1001" t="str">
            <v>DPFAD 70% + SDD PKO RES 30%</v>
          </cell>
          <cell r="P1001">
            <v>45.988199999999999</v>
          </cell>
          <cell r="R1001">
            <v>396.459</v>
          </cell>
          <cell r="AA1001">
            <v>191.83500000000001</v>
          </cell>
          <cell r="CC1001">
            <v>230.20199999999997</v>
          </cell>
          <cell r="CD1001">
            <v>152.678</v>
          </cell>
          <cell r="CL1001">
            <v>262.17449999999997</v>
          </cell>
          <cell r="CM1001">
            <v>204.71899999999999</v>
          </cell>
          <cell r="CU1001">
            <v>12.789000000000001</v>
          </cell>
          <cell r="CV1001">
            <v>300.05</v>
          </cell>
          <cell r="DM1001">
            <v>454.0095</v>
          </cell>
          <cell r="DN1001">
            <v>256.89600000000002</v>
          </cell>
        </row>
        <row r="1002">
          <cell r="A1002">
            <v>84</v>
          </cell>
          <cell r="B1002" t="str">
            <v>FG</v>
          </cell>
          <cell r="C1002" t="str">
            <v>FM</v>
          </cell>
          <cell r="D1002" t="str">
            <v>JO BLEND</v>
          </cell>
          <cell r="E1002" t="str">
            <v>JO BLEND</v>
          </cell>
          <cell r="I1002">
            <v>66.242500000000007</v>
          </cell>
          <cell r="R1002">
            <v>340.2</v>
          </cell>
          <cell r="AA1002">
            <v>247.49100000000001</v>
          </cell>
          <cell r="AJ1002">
            <v>183.5</v>
          </cell>
          <cell r="AS1002">
            <v>519.9</v>
          </cell>
          <cell r="BB1002">
            <v>634.29999999999995</v>
          </cell>
          <cell r="BT1002">
            <v>473.19299999999998</v>
          </cell>
          <cell r="BU1002">
            <v>1.2</v>
          </cell>
          <cell r="DD1002">
            <v>351.69749999999999</v>
          </cell>
          <cell r="DE1002">
            <v>282.25400000000002</v>
          </cell>
        </row>
        <row r="1003">
          <cell r="A1003">
            <v>85</v>
          </cell>
          <cell r="B1003" t="str">
            <v>FG</v>
          </cell>
          <cell r="C1003" t="str">
            <v>FM</v>
          </cell>
          <cell r="D1003" t="str">
            <v>ITC</v>
          </cell>
          <cell r="E1003" t="str">
            <v>DPFAD 70% + DCPS 30%</v>
          </cell>
          <cell r="I1003">
            <v>328.03784999999999</v>
          </cell>
          <cell r="J1003">
            <v>260.53500000000003</v>
          </cell>
          <cell r="R1003">
            <v>131.54399999999998</v>
          </cell>
          <cell r="S1003">
            <v>204.23099999999999</v>
          </cell>
          <cell r="AB1003">
            <v>216.19200000000001</v>
          </cell>
          <cell r="AJ1003">
            <v>369.05399999999997</v>
          </cell>
          <cell r="AK1003">
            <v>289.09399999999999</v>
          </cell>
          <cell r="AW1003">
            <v>25.83</v>
          </cell>
          <cell r="BB1003">
            <v>222.89399999999998</v>
          </cell>
          <cell r="BC1003">
            <v>131.81399999999999</v>
          </cell>
          <cell r="BF1003">
            <v>59.18</v>
          </cell>
        </row>
        <row r="1004">
          <cell r="A1004">
            <v>86</v>
          </cell>
          <cell r="B1004" t="str">
            <v>FG</v>
          </cell>
          <cell r="C1004" t="str">
            <v>FM</v>
          </cell>
          <cell r="D1004" t="str">
            <v>DDPKORESIDUEFA</v>
          </cell>
          <cell r="E1004" t="str">
            <v>S DD PKO RES</v>
          </cell>
        </row>
        <row r="1005">
          <cell r="A1005">
            <v>87</v>
          </cell>
          <cell r="B1005" t="str">
            <v>FG</v>
          </cell>
          <cell r="C1005" t="str">
            <v>FM</v>
          </cell>
          <cell r="D1005" t="str">
            <v>DRBDPS FOR P-12</v>
          </cell>
          <cell r="E1005" t="str">
            <v>DRBDPS/CPS 65%+B/P PKO 35%</v>
          </cell>
          <cell r="F1005">
            <v>21.901999999999997</v>
          </cell>
          <cell r="O1005">
            <v>22.546999999999997</v>
          </cell>
          <cell r="X1005">
            <v>39.962000000000003</v>
          </cell>
          <cell r="AG1005">
            <v>39.962000000000003</v>
          </cell>
          <cell r="AP1005">
            <v>39.962000000000003</v>
          </cell>
          <cell r="AY1005">
            <v>50.282000000000004</v>
          </cell>
          <cell r="BQ1005">
            <v>296.10000000000002</v>
          </cell>
        </row>
        <row r="1006">
          <cell r="A1006">
            <v>258</v>
          </cell>
          <cell r="B1006" t="str">
            <v>FG</v>
          </cell>
          <cell r="C1006" t="str">
            <v>FM</v>
          </cell>
          <cell r="D1006" t="str">
            <v>DRBDPS</v>
          </cell>
          <cell r="E1006" t="str">
            <v>DRBDPS</v>
          </cell>
          <cell r="F1006">
            <v>64.844999999999999</v>
          </cell>
          <cell r="I1006">
            <v>66.242500000000007</v>
          </cell>
          <cell r="O1006">
            <v>49.994999999999997</v>
          </cell>
          <cell r="R1006">
            <v>340.2</v>
          </cell>
          <cell r="X1006">
            <v>128.20500000000001</v>
          </cell>
          <cell r="AA1006">
            <v>247.49100000000001</v>
          </cell>
          <cell r="AG1006">
            <v>114.345</v>
          </cell>
          <cell r="AJ1006">
            <v>183.5</v>
          </cell>
          <cell r="AP1006">
            <v>61.875</v>
          </cell>
          <cell r="AS1006">
            <v>519.9</v>
          </cell>
          <cell r="AY1006">
            <v>117.81</v>
          </cell>
          <cell r="BB1006">
            <v>634.29999999999995</v>
          </cell>
          <cell r="BK1006">
            <v>515.4</v>
          </cell>
          <cell r="BT1006">
            <v>545.5</v>
          </cell>
          <cell r="CC1006">
            <v>522.4</v>
          </cell>
          <cell r="CL1006">
            <v>317.2</v>
          </cell>
          <cell r="CM1006">
            <v>121.22</v>
          </cell>
          <cell r="CU1006">
            <v>299.89999999999998</v>
          </cell>
          <cell r="CV1006">
            <v>150.84</v>
          </cell>
          <cell r="DD1006">
            <v>359.4</v>
          </cell>
          <cell r="DE1006">
            <v>150.84</v>
          </cell>
          <cell r="DM1006">
            <v>825.5</v>
          </cell>
          <cell r="DN1006">
            <v>150.84</v>
          </cell>
        </row>
        <row r="1007">
          <cell r="A1007">
            <v>88</v>
          </cell>
          <cell r="B1007" t="str">
            <v>FG</v>
          </cell>
          <cell r="C1007" t="str">
            <v>FM</v>
          </cell>
          <cell r="D1007" t="str">
            <v>DPKO</v>
          </cell>
          <cell r="E1007" t="str">
            <v>D C12-C18</v>
          </cell>
          <cell r="F1007">
            <v>93.06</v>
          </cell>
          <cell r="I1007">
            <v>328.03784999999999</v>
          </cell>
          <cell r="J1007">
            <v>260.53500000000003</v>
          </cell>
          <cell r="O1007">
            <v>93.06</v>
          </cell>
          <cell r="R1007">
            <v>131.54399999999998</v>
          </cell>
          <cell r="S1007">
            <v>204.23099999999999</v>
          </cell>
          <cell r="X1007">
            <v>160.38</v>
          </cell>
          <cell r="AB1007">
            <v>216.19200000000001</v>
          </cell>
          <cell r="AG1007">
            <v>60.39</v>
          </cell>
          <cell r="AJ1007">
            <v>369.05399999999997</v>
          </cell>
          <cell r="AK1007">
            <v>289.09399999999999</v>
          </cell>
          <cell r="AP1007">
            <v>83.655000000000001</v>
          </cell>
          <cell r="AW1007">
            <v>25.83</v>
          </cell>
          <cell r="AY1007">
            <v>83.655000000000001</v>
          </cell>
          <cell r="BB1007">
            <v>222.89399999999998</v>
          </cell>
          <cell r="BC1007">
            <v>131.81399999999999</v>
          </cell>
          <cell r="BF1007">
            <v>59.18</v>
          </cell>
          <cell r="BK1007">
            <v>118.755</v>
          </cell>
          <cell r="BL1007">
            <v>122.83799999999999</v>
          </cell>
          <cell r="BO1007">
            <v>92.1</v>
          </cell>
          <cell r="BU1007">
            <v>131.43</v>
          </cell>
          <cell r="CI1007">
            <v>20.7</v>
          </cell>
          <cell r="CL1007">
            <v>95.917500000000004</v>
          </cell>
          <cell r="CU1007">
            <v>46.632000000000012</v>
          </cell>
          <cell r="DD1007">
            <v>18.319714285714308</v>
          </cell>
          <cell r="DM1007">
            <v>214.08214285714286</v>
          </cell>
          <cell r="DN1007">
            <v>45.125999999999998</v>
          </cell>
        </row>
        <row r="1008">
          <cell r="A1008">
            <v>89</v>
          </cell>
          <cell r="B1008" t="str">
            <v>FG</v>
          </cell>
          <cell r="C1008" t="str">
            <v>FM</v>
          </cell>
          <cell r="D1008" t="str">
            <v>DPFAD</v>
          </cell>
          <cell r="E1008" t="str">
            <v>DPFAD</v>
          </cell>
          <cell r="F1008">
            <v>126.35814999999999</v>
          </cell>
          <cell r="G1008">
            <v>52.53</v>
          </cell>
          <cell r="O1008">
            <v>74.952399999999997</v>
          </cell>
          <cell r="P1008">
            <v>52.53</v>
          </cell>
          <cell r="X1008">
            <v>125.36320000000001</v>
          </cell>
          <cell r="Y1008">
            <v>52.53</v>
          </cell>
          <cell r="AG1008">
            <v>107.4541</v>
          </cell>
          <cell r="AH1008">
            <v>52.53</v>
          </cell>
          <cell r="AP1008">
            <v>104.13759999999999</v>
          </cell>
          <cell r="AQ1008">
            <v>41.48</v>
          </cell>
          <cell r="AY1008">
            <v>163.15299999999999</v>
          </cell>
        </row>
        <row r="1009">
          <cell r="A1009">
            <v>90</v>
          </cell>
          <cell r="B1009" t="str">
            <v>FG</v>
          </cell>
          <cell r="C1009" t="str">
            <v>NM</v>
          </cell>
          <cell r="D1009" t="str">
            <v>C6&gt;98%</v>
          </cell>
          <cell r="E1009" t="str">
            <v>C6&gt;98%</v>
          </cell>
          <cell r="F1009">
            <v>21.901999999999997</v>
          </cell>
          <cell r="I1009">
            <v>228.62357142857147</v>
          </cell>
          <cell r="O1009">
            <v>22.546999999999997</v>
          </cell>
          <cell r="R1009">
            <v>209.23500000000001</v>
          </cell>
          <cell r="X1009">
            <v>39.962000000000003</v>
          </cell>
          <cell r="AA1009">
            <v>156.32035714285715</v>
          </cell>
          <cell r="AG1009">
            <v>39.962000000000003</v>
          </cell>
          <cell r="AJ1009">
            <v>129.25714285714287</v>
          </cell>
          <cell r="AP1009">
            <v>39.962000000000003</v>
          </cell>
          <cell r="AS1009">
            <v>129.25714285714287</v>
          </cell>
          <cell r="AY1009">
            <v>50.282000000000004</v>
          </cell>
          <cell r="BB1009">
            <v>129.25714285714287</v>
          </cell>
          <cell r="BH1009">
            <v>5.7770000000000001</v>
          </cell>
          <cell r="BQ1009">
            <v>6.4220000000000006</v>
          </cell>
          <cell r="BZ1009">
            <v>6.4220000000000006</v>
          </cell>
          <cell r="CI1009">
            <v>6.4220000000000006</v>
          </cell>
          <cell r="CR1009">
            <v>6.4220000000000006</v>
          </cell>
          <cell r="DA1009">
            <v>6.4220000000000006</v>
          </cell>
          <cell r="DJ1009">
            <v>10.937000000000001</v>
          </cell>
        </row>
        <row r="1010">
          <cell r="A1010">
            <v>91</v>
          </cell>
          <cell r="B1010" t="str">
            <v>FG</v>
          </cell>
          <cell r="C1010" t="str">
            <v>FM</v>
          </cell>
          <cell r="D1010" t="str">
            <v>C8&gt;98%</v>
          </cell>
          <cell r="E1010" t="str">
            <v>C8&gt;98%</v>
          </cell>
          <cell r="F1010">
            <v>64.844999999999999</v>
          </cell>
          <cell r="O1010">
            <v>49.994999999999997</v>
          </cell>
          <cell r="X1010">
            <v>128.20500000000001</v>
          </cell>
          <cell r="AG1010">
            <v>114.345</v>
          </cell>
          <cell r="AP1010">
            <v>61.875</v>
          </cell>
          <cell r="AY1010">
            <v>117.81</v>
          </cell>
          <cell r="BH1010">
            <v>108.9</v>
          </cell>
          <cell r="BQ1010">
            <v>76.724999999999994</v>
          </cell>
          <cell r="BZ1010">
            <v>142.065</v>
          </cell>
          <cell r="CI1010">
            <v>110.38500000000001</v>
          </cell>
          <cell r="CR1010">
            <v>110.38500000000001</v>
          </cell>
          <cell r="DA1010">
            <v>110.38500000000001</v>
          </cell>
          <cell r="DJ1010">
            <v>81.180000000000007</v>
          </cell>
        </row>
        <row r="1011">
          <cell r="A1011">
            <v>92</v>
          </cell>
          <cell r="B1011" t="str">
            <v>FG</v>
          </cell>
          <cell r="C1011" t="str">
            <v>FM</v>
          </cell>
          <cell r="D1011" t="str">
            <v>C10&gt;98%</v>
          </cell>
          <cell r="E1011" t="str">
            <v>C10&gt;98%</v>
          </cell>
          <cell r="F1011">
            <v>93.06</v>
          </cell>
          <cell r="I1011">
            <v>1261.3</v>
          </cell>
          <cell r="O1011">
            <v>93.06</v>
          </cell>
          <cell r="R1011">
            <v>1095.4000000000001</v>
          </cell>
          <cell r="X1011">
            <v>160.38</v>
          </cell>
          <cell r="AA1011">
            <v>38.628000000000021</v>
          </cell>
          <cell r="AG1011">
            <v>60.39</v>
          </cell>
          <cell r="AJ1011">
            <v>36.78857142857143</v>
          </cell>
          <cell r="AP1011">
            <v>83.655000000000001</v>
          </cell>
          <cell r="AS1011">
            <v>1453.2</v>
          </cell>
          <cell r="AY1011">
            <v>83.655000000000001</v>
          </cell>
          <cell r="BB1011">
            <v>1900.8</v>
          </cell>
          <cell r="BH1011">
            <v>123.75</v>
          </cell>
          <cell r="BQ1011">
            <v>53.46</v>
          </cell>
          <cell r="BZ1011">
            <v>168.79499999999999</v>
          </cell>
          <cell r="CI1011">
            <v>153.94499999999999</v>
          </cell>
          <cell r="CR1011">
            <v>156.41999999999999</v>
          </cell>
          <cell r="DA1011">
            <v>156.41999999999999</v>
          </cell>
          <cell r="DJ1011">
            <v>107.41500000000001</v>
          </cell>
        </row>
        <row r="1012">
          <cell r="A1012">
            <v>93</v>
          </cell>
          <cell r="B1012" t="str">
            <v>FG</v>
          </cell>
          <cell r="C1012" t="str">
            <v>FM</v>
          </cell>
          <cell r="D1012" t="str">
            <v>C8+C10&gt;98%</v>
          </cell>
          <cell r="E1012" t="str">
            <v>C8+C10&gt;98%</v>
          </cell>
          <cell r="F1012">
            <v>126.35814999999999</v>
          </cell>
          <cell r="G1012">
            <v>52.53</v>
          </cell>
          <cell r="O1012">
            <v>74.952399999999997</v>
          </cell>
          <cell r="P1012">
            <v>52.53</v>
          </cell>
          <cell r="X1012">
            <v>125.36320000000001</v>
          </cell>
          <cell r="Y1012">
            <v>52.53</v>
          </cell>
          <cell r="AG1012">
            <v>107.4541</v>
          </cell>
          <cell r="AH1012">
            <v>52.53</v>
          </cell>
          <cell r="AP1012">
            <v>104.13759999999999</v>
          </cell>
          <cell r="AQ1012">
            <v>41.48</v>
          </cell>
          <cell r="AY1012">
            <v>163.15299999999999</v>
          </cell>
          <cell r="BH1012">
            <v>202.95400000000001</v>
          </cell>
          <cell r="BQ1012">
            <v>127.337</v>
          </cell>
          <cell r="BZ1012">
            <v>181.065</v>
          </cell>
          <cell r="CI1012">
            <v>84.885999999999996</v>
          </cell>
          <cell r="CR1012">
            <v>91.850999999999999</v>
          </cell>
          <cell r="DA1012">
            <v>73.61</v>
          </cell>
          <cell r="DJ1012">
            <v>73.61</v>
          </cell>
        </row>
        <row r="1013">
          <cell r="A1013">
            <v>94</v>
          </cell>
          <cell r="B1013" t="str">
            <v>FG</v>
          </cell>
          <cell r="C1013" t="str">
            <v>FM</v>
          </cell>
          <cell r="D1013" t="str">
            <v>C12&gt;99%</v>
          </cell>
          <cell r="E1013" t="str">
            <v>C12&gt;99%</v>
          </cell>
          <cell r="I1013">
            <v>228.62357142857147</v>
          </cell>
          <cell r="R1013">
            <v>209.23500000000001</v>
          </cell>
          <cell r="AA1013">
            <v>156.32035714285715</v>
          </cell>
          <cell r="AJ1013">
            <v>129.25714285714287</v>
          </cell>
          <cell r="AS1013">
            <v>129.25714285714287</v>
          </cell>
          <cell r="BB1013">
            <v>129.25714285714287</v>
          </cell>
          <cell r="BK1013">
            <v>129.25714285714287</v>
          </cell>
          <cell r="BT1013">
            <v>84.825000000000003</v>
          </cell>
          <cell r="BX1013">
            <v>180.56</v>
          </cell>
          <cell r="CC1013">
            <v>65.436428571428593</v>
          </cell>
          <cell r="CG1013">
            <v>98.4</v>
          </cell>
          <cell r="CL1013">
            <v>65.436428571428593</v>
          </cell>
          <cell r="CU1013">
            <v>40.392857142857146</v>
          </cell>
          <cell r="DD1013">
            <v>16.965</v>
          </cell>
          <cell r="DN1013">
            <v>25.56</v>
          </cell>
          <cell r="DQ1013">
            <v>98.2</v>
          </cell>
        </row>
        <row r="1014">
          <cell r="A1014">
            <v>95</v>
          </cell>
          <cell r="B1014" t="str">
            <v>FG</v>
          </cell>
          <cell r="C1014" t="str">
            <v>FM</v>
          </cell>
          <cell r="D1014" t="str">
            <v>C14&gt;99%</v>
          </cell>
          <cell r="E1014" t="str">
            <v>C14&gt;99%</v>
          </cell>
        </row>
        <row r="1015">
          <cell r="A1015">
            <v>96</v>
          </cell>
          <cell r="B1015" t="str">
            <v>FG</v>
          </cell>
          <cell r="C1015" t="str">
            <v>FM</v>
          </cell>
          <cell r="D1015" t="str">
            <v>C12+14&gt;99</v>
          </cell>
          <cell r="E1015" t="str">
            <v>C12-C14</v>
          </cell>
          <cell r="I1015">
            <v>1261.3</v>
          </cell>
          <cell r="R1015">
            <v>1095.4000000000001</v>
          </cell>
          <cell r="AA1015">
            <v>38.628000000000021</v>
          </cell>
          <cell r="AE1015">
            <v>79.84</v>
          </cell>
          <cell r="AJ1015">
            <v>36.78857142857143</v>
          </cell>
          <cell r="AS1015">
            <v>1453.2</v>
          </cell>
          <cell r="AW1015">
            <v>198.79</v>
          </cell>
          <cell r="BB1015">
            <v>1900.8</v>
          </cell>
          <cell r="BK1015">
            <v>1796.7</v>
          </cell>
          <cell r="BT1015">
            <v>599.29999999999995</v>
          </cell>
          <cell r="CC1015">
            <v>1014</v>
          </cell>
          <cell r="CL1015">
            <v>1628.8</v>
          </cell>
          <cell r="CU1015">
            <v>944.6</v>
          </cell>
          <cell r="DD1015">
            <v>660.5</v>
          </cell>
          <cell r="DM1015">
            <v>1465.3</v>
          </cell>
        </row>
        <row r="1016">
          <cell r="A1016">
            <v>248</v>
          </cell>
          <cell r="B1016" t="str">
            <v>FG</v>
          </cell>
          <cell r="C1016" t="str">
            <v>FM</v>
          </cell>
          <cell r="D1016" t="str">
            <v>C12+14&gt;99 (IMP)</v>
          </cell>
          <cell r="E1016" t="str">
            <v>C12-C14 (IMP)</v>
          </cell>
          <cell r="H1016">
            <v>22.812000000000126</v>
          </cell>
          <cell r="M1016">
            <v>120.63</v>
          </cell>
        </row>
        <row r="1017">
          <cell r="A1017">
            <v>97</v>
          </cell>
          <cell r="B1017" t="str">
            <v>FG</v>
          </cell>
          <cell r="C1017" t="str">
            <v>FM</v>
          </cell>
          <cell r="D1017" t="str">
            <v>C12+C14+C16&gt;99</v>
          </cell>
          <cell r="E1017" t="str">
            <v>C12-C16</v>
          </cell>
          <cell r="H1017">
            <v>1619.68</v>
          </cell>
          <cell r="I1017">
            <v>583.72649999999999</v>
          </cell>
          <cell r="Q1017">
            <v>1619.68</v>
          </cell>
          <cell r="R1017">
            <v>583.72649999999999</v>
          </cell>
          <cell r="Z1017">
            <v>1589.58</v>
          </cell>
          <cell r="AA1017">
            <v>489.63600000000008</v>
          </cell>
          <cell r="AE1017">
            <v>15</v>
          </cell>
          <cell r="AI1017">
            <v>1374.29</v>
          </cell>
          <cell r="AJ1017">
            <v>1.8270000000000259</v>
          </cell>
          <cell r="AN1017">
            <v>22.07</v>
          </cell>
          <cell r="AR1017">
            <v>995.8</v>
          </cell>
          <cell r="AS1017">
            <v>149.20500000000001</v>
          </cell>
          <cell r="BA1017">
            <v>235.66</v>
          </cell>
          <cell r="BB1017">
            <v>14.616</v>
          </cell>
        </row>
        <row r="1018">
          <cell r="A1018">
            <v>98</v>
          </cell>
          <cell r="B1018" t="str">
            <v>FG</v>
          </cell>
          <cell r="C1018" t="str">
            <v>FM</v>
          </cell>
          <cell r="D1018" t="str">
            <v>C16&gt;90%</v>
          </cell>
          <cell r="E1018" t="str">
            <v>C16&gt;90%</v>
          </cell>
          <cell r="F1018">
            <v>129.47</v>
          </cell>
          <cell r="O1018">
            <v>250.38</v>
          </cell>
          <cell r="X1018">
            <v>162.63999999999999</v>
          </cell>
          <cell r="AG1018">
            <v>237.54</v>
          </cell>
          <cell r="AP1018">
            <v>167.99</v>
          </cell>
          <cell r="AS1018">
            <v>126.06299999999997</v>
          </cell>
          <cell r="AY1018">
            <v>90.95</v>
          </cell>
        </row>
        <row r="1019">
          <cell r="A1019">
            <v>99</v>
          </cell>
          <cell r="B1019" t="str">
            <v>FG</v>
          </cell>
          <cell r="C1019" t="str">
            <v>FM</v>
          </cell>
          <cell r="D1019" t="str">
            <v>C16&gt;99%</v>
          </cell>
          <cell r="E1019" t="str">
            <v>C16&gt;99%</v>
          </cell>
          <cell r="I1019">
            <v>164.43</v>
          </cell>
          <cell r="R1019">
            <v>42.020999999999951</v>
          </cell>
          <cell r="AA1019">
            <v>194.57549999999998</v>
          </cell>
          <cell r="AE1019">
            <v>79.84</v>
          </cell>
          <cell r="AJ1019">
            <v>383.67</v>
          </cell>
          <cell r="AS1019">
            <v>588.29399999999998</v>
          </cell>
          <cell r="AW1019">
            <v>198.79</v>
          </cell>
          <cell r="BB1019">
            <v>607.39400000000001</v>
          </cell>
          <cell r="BF1019">
            <v>162.41999999999999</v>
          </cell>
          <cell r="BK1019">
            <v>762.59400000000005</v>
          </cell>
          <cell r="BT1019">
            <v>840.40000000000009</v>
          </cell>
          <cell r="CL1019">
            <v>19.388571428571417</v>
          </cell>
          <cell r="CU1019">
            <v>51.702857142857141</v>
          </cell>
          <cell r="DD1019">
            <v>133.29642857142858</v>
          </cell>
          <cell r="DM1019">
            <v>250.43571428571431</v>
          </cell>
        </row>
        <row r="1020">
          <cell r="A1020">
            <v>100</v>
          </cell>
          <cell r="B1020" t="str">
            <v>FG</v>
          </cell>
          <cell r="C1020" t="str">
            <v>FM</v>
          </cell>
          <cell r="D1020" t="str">
            <v>DFA C16/C18</v>
          </cell>
          <cell r="E1020" t="str">
            <v>DFA C16/C18</v>
          </cell>
          <cell r="H1020">
            <v>22.812000000000126</v>
          </cell>
          <cell r="I1020">
            <v>0.3</v>
          </cell>
          <cell r="M1020">
            <v>120.63</v>
          </cell>
          <cell r="AJ1020">
            <v>41.585999999999999</v>
          </cell>
          <cell r="AS1020">
            <v>66.989999999999995</v>
          </cell>
          <cell r="BB1020">
            <v>50.285999999999994</v>
          </cell>
          <cell r="CP1020">
            <v>98.4</v>
          </cell>
          <cell r="CY1020">
            <v>19.899999999999999</v>
          </cell>
          <cell r="DH1020">
            <v>19.7</v>
          </cell>
        </row>
        <row r="1021">
          <cell r="A1021">
            <v>101</v>
          </cell>
          <cell r="B1021" t="str">
            <v>FG</v>
          </cell>
          <cell r="C1021" t="str">
            <v>FM</v>
          </cell>
          <cell r="D1021" t="str">
            <v>C18&gt;95%</v>
          </cell>
          <cell r="E1021" t="str">
            <v>C18&gt;95%</v>
          </cell>
          <cell r="H1021">
            <v>1619.68</v>
          </cell>
          <cell r="I1021">
            <v>36.366</v>
          </cell>
          <cell r="Q1021">
            <v>1619.68</v>
          </cell>
          <cell r="R1021">
            <v>11.31</v>
          </cell>
          <cell r="Z1021">
            <v>1589.58</v>
          </cell>
          <cell r="AA1021">
            <v>282.71199999999999</v>
          </cell>
          <cell r="AE1021">
            <v>15</v>
          </cell>
          <cell r="AI1021">
            <v>1374.29</v>
          </cell>
          <cell r="AJ1021">
            <v>607.5</v>
          </cell>
          <cell r="AN1021">
            <v>22.07</v>
          </cell>
          <cell r="AR1021">
            <v>995.8</v>
          </cell>
          <cell r="AS1021">
            <v>149.20500000000001</v>
          </cell>
          <cell r="BA1021">
            <v>235.66</v>
          </cell>
          <cell r="BB1021">
            <v>14.616</v>
          </cell>
          <cell r="BJ1021">
            <v>164.45</v>
          </cell>
          <cell r="BK1021">
            <v>216.54300000000001</v>
          </cell>
          <cell r="BO1021">
            <v>47.12</v>
          </cell>
          <cell r="BS1021">
            <v>842.01</v>
          </cell>
          <cell r="CB1021">
            <v>75.39</v>
          </cell>
          <cell r="CC1021">
            <v>292.32</v>
          </cell>
          <cell r="CK1021">
            <v>75.39</v>
          </cell>
          <cell r="CL1021">
            <v>469.0542857142857</v>
          </cell>
          <cell r="CU1021">
            <v>830.77800000000002</v>
          </cell>
          <cell r="DD1021">
            <v>834.73</v>
          </cell>
        </row>
        <row r="1022">
          <cell r="A1022">
            <v>102</v>
          </cell>
          <cell r="B1022" t="str">
            <v>FG</v>
          </cell>
          <cell r="C1022" t="str">
            <v>FM</v>
          </cell>
          <cell r="D1022" t="str">
            <v>OLEIC-K</v>
          </cell>
          <cell r="E1022" t="str">
            <v>OLEIC-K</v>
          </cell>
          <cell r="F1022">
            <v>129.47</v>
          </cell>
          <cell r="O1022">
            <v>250.38</v>
          </cell>
          <cell r="X1022">
            <v>162.63999999999999</v>
          </cell>
          <cell r="AG1022">
            <v>237.54</v>
          </cell>
          <cell r="AP1022">
            <v>167.99</v>
          </cell>
          <cell r="AS1022">
            <v>126.06299999999997</v>
          </cell>
          <cell r="AY1022">
            <v>90.95</v>
          </cell>
          <cell r="BH1022">
            <v>109.14</v>
          </cell>
          <cell r="BQ1022">
            <v>96.3</v>
          </cell>
          <cell r="BX1022">
            <v>35.24</v>
          </cell>
          <cell r="BZ1022">
            <v>33.17</v>
          </cell>
          <cell r="CI1022">
            <v>73.83</v>
          </cell>
          <cell r="CR1022">
            <v>188.32</v>
          </cell>
          <cell r="DA1022">
            <v>130.54</v>
          </cell>
          <cell r="DJ1022">
            <v>110.21</v>
          </cell>
        </row>
        <row r="1023">
          <cell r="A1023">
            <v>103</v>
          </cell>
          <cell r="B1023" t="str">
            <v>FG</v>
          </cell>
          <cell r="C1023" t="str">
            <v>FM</v>
          </cell>
          <cell r="D1023" t="str">
            <v>C16+C18(30:70)TA</v>
          </cell>
          <cell r="E1023" t="str">
            <v>C16-C18</v>
          </cell>
          <cell r="I1023">
            <v>285.58619999999996</v>
          </cell>
          <cell r="R1023">
            <v>288.34000000000003</v>
          </cell>
          <cell r="AA1023">
            <v>285.58619999999996</v>
          </cell>
          <cell r="AJ1023">
            <v>285.58619999999996</v>
          </cell>
          <cell r="AS1023">
            <v>285.58619999999996</v>
          </cell>
          <cell r="BB1023">
            <v>285.58619999999996</v>
          </cell>
          <cell r="BF1023">
            <v>162.41999999999999</v>
          </cell>
          <cell r="BO1023">
            <v>162.02000000000001</v>
          </cell>
          <cell r="BT1023">
            <v>405</v>
          </cell>
          <cell r="CC1023">
            <v>571.25699999999995</v>
          </cell>
        </row>
        <row r="1024">
          <cell r="A1024">
            <v>104</v>
          </cell>
          <cell r="B1024" t="str">
            <v>FG</v>
          </cell>
          <cell r="C1024" t="str">
            <v>FM</v>
          </cell>
          <cell r="D1024" t="str">
            <v>HYD.RBDPS-G3</v>
          </cell>
          <cell r="E1024" t="str">
            <v>HYD.RBDPS</v>
          </cell>
          <cell r="I1024">
            <v>0.3</v>
          </cell>
          <cell r="R1024">
            <v>344.8</v>
          </cell>
          <cell r="AA1024">
            <v>264.2</v>
          </cell>
          <cell r="AJ1024">
            <v>41.585999999999999</v>
          </cell>
          <cell r="AS1024">
            <v>66.989999999999995</v>
          </cell>
          <cell r="BB1024">
            <v>50.285999999999994</v>
          </cell>
          <cell r="BK1024">
            <v>20.010000000000002</v>
          </cell>
          <cell r="BT1024">
            <v>181.83</v>
          </cell>
          <cell r="CC1024">
            <v>117.45</v>
          </cell>
          <cell r="CL1024">
            <v>85</v>
          </cell>
          <cell r="CU1024">
            <v>85</v>
          </cell>
          <cell r="DD1024">
            <v>69</v>
          </cell>
          <cell r="DM1024">
            <v>27.84</v>
          </cell>
        </row>
        <row r="1025">
          <cell r="A1025">
            <v>105</v>
          </cell>
          <cell r="B1025" t="str">
            <v>FG</v>
          </cell>
          <cell r="C1025" t="str">
            <v>SM</v>
          </cell>
          <cell r="D1025" t="str">
            <v>L/E MUSTARD C1820</v>
          </cell>
          <cell r="E1025" t="str">
            <v>DFA C18C20 MFA</v>
          </cell>
          <cell r="G1025">
            <v>1242.5911999999998</v>
          </cell>
          <cell r="I1025">
            <v>187.01892857142857</v>
          </cell>
          <cell r="P1025">
            <v>1242.5911999999998</v>
          </cell>
          <cell r="R1025">
            <v>176.11285714285717</v>
          </cell>
          <cell r="Y1025">
            <v>1248.0164</v>
          </cell>
          <cell r="AA1025">
            <v>282.71199999999999</v>
          </cell>
          <cell r="AH1025">
            <v>1193.7643999999998</v>
          </cell>
          <cell r="AJ1025">
            <v>607.5</v>
          </cell>
          <cell r="AQ1025">
            <v>1068.7643999999998</v>
          </cell>
          <cell r="AS1025">
            <v>735.3</v>
          </cell>
          <cell r="AZ1025">
            <v>1068.7643999999998</v>
          </cell>
          <cell r="BA1025">
            <v>635.91</v>
          </cell>
          <cell r="BB1025">
            <v>691.1</v>
          </cell>
          <cell r="BJ1025">
            <v>620.75</v>
          </cell>
          <cell r="BK1025">
            <v>706.6</v>
          </cell>
          <cell r="BT1025">
            <v>1219.45</v>
          </cell>
          <cell r="CB1025">
            <v>693.84</v>
          </cell>
          <cell r="CC1025">
            <v>624.78399999999999</v>
          </cell>
          <cell r="CK1025">
            <v>693.84</v>
          </cell>
          <cell r="CL1025">
            <v>249.4</v>
          </cell>
          <cell r="CT1025">
            <v>693.84</v>
          </cell>
          <cell r="CU1025">
            <v>249.4</v>
          </cell>
          <cell r="DC1025">
            <v>693.84</v>
          </cell>
          <cell r="DD1025">
            <v>413.11500000000001</v>
          </cell>
          <cell r="DL1025">
            <v>693.84</v>
          </cell>
          <cell r="DM1025">
            <v>148.19999999999999</v>
          </cell>
        </row>
        <row r="1026">
          <cell r="A1026">
            <v>106</v>
          </cell>
          <cell r="B1026" t="str">
            <v>FG</v>
          </cell>
          <cell r="C1026" t="str">
            <v>SM</v>
          </cell>
          <cell r="D1026" t="str">
            <v>L/E MUSTARD UPTO C18 (OLEIC 15)</v>
          </cell>
          <cell r="E1026" t="str">
            <v>DFA C18 PURE MFA (OLEIC 15)</v>
          </cell>
          <cell r="CL1026">
            <v>175.30500000000001</v>
          </cell>
          <cell r="CT1026">
            <v>75.39</v>
          </cell>
          <cell r="DC1026">
            <v>75.39</v>
          </cell>
          <cell r="DL1026">
            <v>75.39</v>
          </cell>
          <cell r="DM1026">
            <v>947</v>
          </cell>
        </row>
        <row r="1027">
          <cell r="A1027">
            <v>107</v>
          </cell>
          <cell r="B1027" t="str">
            <v>FG</v>
          </cell>
          <cell r="C1027" t="str">
            <v>SM</v>
          </cell>
          <cell r="D1027" t="str">
            <v>DC20+22&gt;98%</v>
          </cell>
          <cell r="E1027" t="str">
            <v>C20-C22</v>
          </cell>
          <cell r="I1027">
            <v>285.58619999999996</v>
          </cell>
          <cell r="R1027">
            <v>288.34000000000003</v>
          </cell>
          <cell r="AA1027">
            <v>285.58619999999996</v>
          </cell>
          <cell r="AJ1027">
            <v>285.58619999999996</v>
          </cell>
          <cell r="AS1027">
            <v>285.58619999999996</v>
          </cell>
          <cell r="BB1027">
            <v>285.58619999999996</v>
          </cell>
          <cell r="BK1027">
            <v>285.58619999999996</v>
          </cell>
          <cell r="BT1027">
            <v>285.58619999999996</v>
          </cell>
          <cell r="CC1027">
            <v>285.58619999999996</v>
          </cell>
          <cell r="CL1027">
            <v>501.08600000000001</v>
          </cell>
          <cell r="CU1027">
            <v>791.09999999999991</v>
          </cell>
          <cell r="DD1027">
            <v>834.59999999999991</v>
          </cell>
          <cell r="DM1027">
            <v>192.93600000000001</v>
          </cell>
        </row>
        <row r="1028">
          <cell r="A1028">
            <v>108</v>
          </cell>
          <cell r="B1028" t="str">
            <v>FG</v>
          </cell>
          <cell r="C1028" t="str">
            <v>FM</v>
          </cell>
          <cell r="D1028" t="str">
            <v>DC22:1&gt;90%</v>
          </cell>
          <cell r="E1028" t="str">
            <v>ERUCIC</v>
          </cell>
          <cell r="I1028">
            <v>344.8</v>
          </cell>
          <cell r="R1028">
            <v>344.8</v>
          </cell>
          <cell r="AA1028">
            <v>264.2</v>
          </cell>
          <cell r="AJ1028">
            <v>278.89999999999998</v>
          </cell>
          <cell r="AS1028">
            <v>186.09300000000002</v>
          </cell>
          <cell r="BB1028">
            <v>186.09300000000002</v>
          </cell>
          <cell r="BK1028">
            <v>206</v>
          </cell>
          <cell r="BT1028">
            <v>336.4</v>
          </cell>
          <cell r="CC1028">
            <v>304.89999999999998</v>
          </cell>
          <cell r="CL1028">
            <v>245.5</v>
          </cell>
          <cell r="CU1028">
            <v>166.60499999999999</v>
          </cell>
          <cell r="DD1028">
            <v>10.353</v>
          </cell>
          <cell r="DM1028">
            <v>10.353</v>
          </cell>
        </row>
        <row r="1029">
          <cell r="A1029">
            <v>109</v>
          </cell>
          <cell r="B1029" t="str">
            <v>FG</v>
          </cell>
          <cell r="C1029" t="str">
            <v>FM</v>
          </cell>
          <cell r="D1029" t="str">
            <v>D C18/C22 - R</v>
          </cell>
          <cell r="E1029" t="str">
            <v>D C18/C22 - R</v>
          </cell>
          <cell r="F1029">
            <v>41.085000000000001</v>
          </cell>
          <cell r="G1029">
            <v>1242.5911999999998</v>
          </cell>
          <cell r="P1029">
            <v>1242.5911999999998</v>
          </cell>
          <cell r="X1029">
            <v>97.61999999999999</v>
          </cell>
          <cell r="Y1029">
            <v>1248.0164</v>
          </cell>
          <cell r="AG1029">
            <v>57.28</v>
          </cell>
          <cell r="AH1029">
            <v>1193.7643999999998</v>
          </cell>
          <cell r="AP1029">
            <v>67.965000000000003</v>
          </cell>
          <cell r="AQ1029">
            <v>1068.7643999999998</v>
          </cell>
          <cell r="AY1029">
            <v>328.82000000000005</v>
          </cell>
          <cell r="AZ1029">
            <v>1068.7643999999998</v>
          </cell>
          <cell r="BI1029">
            <v>1068.7643999999998</v>
          </cell>
          <cell r="BR1029">
            <v>1068.7643999999998</v>
          </cell>
          <cell r="CA1029">
            <v>1068.7643999999998</v>
          </cell>
          <cell r="CJ1029">
            <v>1068.7643999999998</v>
          </cell>
          <cell r="CS1029">
            <v>1068.7643999999998</v>
          </cell>
          <cell r="DB1029">
            <v>1068.7643999999998</v>
          </cell>
          <cell r="DK1029">
            <v>1009.0871999999999</v>
          </cell>
        </row>
        <row r="1030">
          <cell r="A1030">
            <v>110</v>
          </cell>
          <cell r="B1030" t="str">
            <v>FG</v>
          </cell>
          <cell r="C1030" t="str">
            <v>FM</v>
          </cell>
          <cell r="D1030" t="str">
            <v>BEHENIC-90</v>
          </cell>
          <cell r="E1030" t="str">
            <v>BEHENIC-90</v>
          </cell>
          <cell r="AS1030">
            <v>0.87</v>
          </cell>
        </row>
        <row r="1031">
          <cell r="A1031">
            <v>111</v>
          </cell>
          <cell r="B1031" t="str">
            <v>FG</v>
          </cell>
          <cell r="C1031" t="str">
            <v>FM</v>
          </cell>
          <cell r="D1031" t="str">
            <v>BEHENIC-75</v>
          </cell>
          <cell r="E1031" t="str">
            <v>BEHENIC-75</v>
          </cell>
          <cell r="AA1031">
            <v>133.97999999999999</v>
          </cell>
          <cell r="AJ1031">
            <v>17.922000000000001</v>
          </cell>
          <cell r="AS1031">
            <v>15.66</v>
          </cell>
        </row>
        <row r="1032">
          <cell r="A1032">
            <v>112</v>
          </cell>
          <cell r="B1032" t="str">
            <v>FG</v>
          </cell>
          <cell r="C1032" t="str">
            <v>FM</v>
          </cell>
          <cell r="D1032" t="str">
            <v>BEHENIC-85</v>
          </cell>
          <cell r="E1032" t="str">
            <v>BEHENIC-85</v>
          </cell>
        </row>
        <row r="1033">
          <cell r="A1033">
            <v>113</v>
          </cell>
          <cell r="B1033" t="str">
            <v>FG</v>
          </cell>
          <cell r="C1033" t="str">
            <v>FM</v>
          </cell>
          <cell r="D1033" t="str">
            <v>UTSR</v>
          </cell>
          <cell r="E1033" t="str">
            <v>UTSR</v>
          </cell>
          <cell r="F1033">
            <v>41.085000000000001</v>
          </cell>
          <cell r="J1033">
            <v>83.37</v>
          </cell>
          <cell r="O1033">
            <v>21</v>
          </cell>
          <cell r="S1033">
            <v>76.343000000000004</v>
          </cell>
          <cell r="X1033">
            <v>97.61999999999999</v>
          </cell>
          <cell r="Z1033">
            <v>0.34</v>
          </cell>
          <cell r="AB1033">
            <v>62.512</v>
          </cell>
          <cell r="AG1033">
            <v>57.28</v>
          </cell>
          <cell r="AK1033">
            <v>98.831999999999994</v>
          </cell>
          <cell r="AP1033">
            <v>67.965000000000003</v>
          </cell>
          <cell r="AT1033">
            <v>110.744</v>
          </cell>
          <cell r="AY1033">
            <v>328.82000000000005</v>
          </cell>
          <cell r="BC1033">
            <v>110.744</v>
          </cell>
          <cell r="BH1033">
            <v>251.31300000000002</v>
          </cell>
          <cell r="BO1033">
            <v>14.71</v>
          </cell>
          <cell r="BQ1033">
            <v>145.035</v>
          </cell>
          <cell r="BX1033">
            <v>20.94</v>
          </cell>
          <cell r="BZ1033">
            <v>47.024999999999999</v>
          </cell>
          <cell r="CR1033">
            <v>78.209999999999994</v>
          </cell>
          <cell r="DA1033">
            <v>11.88</v>
          </cell>
          <cell r="DH1033">
            <v>45.32</v>
          </cell>
        </row>
        <row r="1034">
          <cell r="A1034">
            <v>114</v>
          </cell>
          <cell r="B1034" t="str">
            <v>FG</v>
          </cell>
          <cell r="C1034" t="str">
            <v>FM</v>
          </cell>
          <cell r="D1034" t="str">
            <v>P-12</v>
          </cell>
          <cell r="E1034" t="str">
            <v>P-12</v>
          </cell>
          <cell r="J1034">
            <v>28.314</v>
          </cell>
          <cell r="S1034">
            <v>66.977999999999994</v>
          </cell>
          <cell r="AB1034">
            <v>146.261</v>
          </cell>
          <cell r="AK1034">
            <v>116.297</v>
          </cell>
          <cell r="AS1034">
            <v>0.87</v>
          </cell>
          <cell r="AT1034">
            <v>96.488</v>
          </cell>
          <cell r="BC1034">
            <v>197.16900000000001</v>
          </cell>
          <cell r="CU1034">
            <v>295.452</v>
          </cell>
          <cell r="DD1034">
            <v>166.17</v>
          </cell>
          <cell r="DM1034">
            <v>87.260999999999996</v>
          </cell>
        </row>
        <row r="1035">
          <cell r="A1035">
            <v>115</v>
          </cell>
          <cell r="B1035" t="str">
            <v>FG</v>
          </cell>
          <cell r="C1035" t="str">
            <v>FM</v>
          </cell>
          <cell r="D1035" t="str">
            <v>DTP-7</v>
          </cell>
          <cell r="E1035" t="str">
            <v>DTP-7</v>
          </cell>
          <cell r="F1035">
            <v>19.25</v>
          </cell>
          <cell r="O1035">
            <v>39.97</v>
          </cell>
          <cell r="X1035">
            <v>34.066000000000003</v>
          </cell>
          <cell r="AA1035">
            <v>133.97999999999999</v>
          </cell>
          <cell r="AG1035">
            <v>58.91</v>
          </cell>
          <cell r="AJ1035">
            <v>17.922000000000001</v>
          </cell>
          <cell r="AP1035">
            <v>160.80000000000001</v>
          </cell>
          <cell r="AS1035">
            <v>15.66</v>
          </cell>
          <cell r="AY1035">
            <v>148.24</v>
          </cell>
          <cell r="BK1035">
            <v>242.12100000000001</v>
          </cell>
          <cell r="CC1035">
            <v>151.38</v>
          </cell>
          <cell r="CL1035">
            <v>90.48</v>
          </cell>
          <cell r="CU1035">
            <v>22.010999999999999</v>
          </cell>
          <cell r="DM1035">
            <v>147.9</v>
          </cell>
        </row>
        <row r="1036">
          <cell r="A1036">
            <v>116</v>
          </cell>
          <cell r="B1036" t="str">
            <v>FG</v>
          </cell>
          <cell r="C1036" t="str">
            <v>FM</v>
          </cell>
          <cell r="D1036" t="str">
            <v>DTP-CT</v>
          </cell>
          <cell r="E1036" t="str">
            <v>DTP-CT</v>
          </cell>
          <cell r="F1036">
            <v>17</v>
          </cell>
          <cell r="O1036">
            <v>6</v>
          </cell>
          <cell r="X1036">
            <v>6</v>
          </cell>
          <cell r="AG1036">
            <v>6</v>
          </cell>
          <cell r="AP1036">
            <v>6</v>
          </cell>
          <cell r="AY1036">
            <v>6</v>
          </cell>
        </row>
        <row r="1037">
          <cell r="A1037">
            <v>117</v>
          </cell>
          <cell r="B1037" t="str">
            <v>FG</v>
          </cell>
          <cell r="C1037" t="str">
            <v>FM</v>
          </cell>
          <cell r="D1037" t="str">
            <v>REFINED GLYCERINE-CP</v>
          </cell>
          <cell r="E1037" t="str">
            <v>REFINED GLYCERINE-CP</v>
          </cell>
          <cell r="F1037">
            <v>18.8</v>
          </cell>
          <cell r="J1037">
            <v>83.37</v>
          </cell>
          <cell r="O1037">
            <v>21</v>
          </cell>
          <cell r="S1037">
            <v>76.343000000000004</v>
          </cell>
          <cell r="X1037">
            <v>37</v>
          </cell>
          <cell r="Z1037">
            <v>0.34</v>
          </cell>
          <cell r="AB1037">
            <v>62.512</v>
          </cell>
          <cell r="AG1037">
            <v>12.925000000000001</v>
          </cell>
          <cell r="AK1037">
            <v>98.831999999999994</v>
          </cell>
          <cell r="AP1037">
            <v>1.88</v>
          </cell>
          <cell r="AT1037">
            <v>110.744</v>
          </cell>
          <cell r="AY1037">
            <v>11.75</v>
          </cell>
          <cell r="BC1037">
            <v>110.744</v>
          </cell>
          <cell r="BH1037">
            <v>2.35</v>
          </cell>
          <cell r="BQ1037">
            <v>34.075000000000003</v>
          </cell>
          <cell r="BU1037">
            <v>61.91</v>
          </cell>
          <cell r="BZ1037">
            <v>17.625</v>
          </cell>
          <cell r="CD1037">
            <v>117.48</v>
          </cell>
          <cell r="CI1037">
            <v>14.1</v>
          </cell>
          <cell r="CM1037">
            <v>61.959000000000003</v>
          </cell>
          <cell r="CR1037">
            <v>11.28</v>
          </cell>
          <cell r="CV1037">
            <v>60.265999999999998</v>
          </cell>
          <cell r="DA1037">
            <v>28.905000000000001</v>
          </cell>
          <cell r="DE1037">
            <v>91.349000000000004</v>
          </cell>
          <cell r="DJ1037">
            <v>13.395</v>
          </cell>
          <cell r="DN1037">
            <v>114.61199999999999</v>
          </cell>
        </row>
        <row r="1038">
          <cell r="A1038">
            <v>118</v>
          </cell>
          <cell r="B1038" t="str">
            <v>FG</v>
          </cell>
          <cell r="C1038" t="str">
            <v>FM</v>
          </cell>
          <cell r="D1038" t="str">
            <v>REFINED GLYCERINE-IP</v>
          </cell>
          <cell r="E1038" t="str">
            <v>REFINED GLYCERINE-IP</v>
          </cell>
          <cell r="F1038">
            <v>79.599999999999994</v>
          </cell>
          <cell r="J1038">
            <v>28.314</v>
          </cell>
          <cell r="S1038">
            <v>66.977999999999994</v>
          </cell>
          <cell r="AB1038">
            <v>146.261</v>
          </cell>
          <cell r="AK1038">
            <v>116.297</v>
          </cell>
          <cell r="AT1038">
            <v>96.488</v>
          </cell>
          <cell r="BC1038">
            <v>197.16900000000001</v>
          </cell>
          <cell r="BU1038">
            <v>78.668999999999997</v>
          </cell>
          <cell r="CD1038">
            <v>35.008000000000003</v>
          </cell>
          <cell r="CM1038">
            <v>87.754999999999995</v>
          </cell>
          <cell r="CV1038">
            <v>113.837</v>
          </cell>
          <cell r="DE1038">
            <v>121.55500000000001</v>
          </cell>
          <cell r="DN1038">
            <v>121.72199999999999</v>
          </cell>
        </row>
        <row r="1039">
          <cell r="A1039">
            <v>119</v>
          </cell>
          <cell r="B1039" t="str">
            <v>FG</v>
          </cell>
          <cell r="C1039" t="str">
            <v>FM</v>
          </cell>
          <cell r="D1039" t="str">
            <v>REFINED GLYCERINE-USP</v>
          </cell>
          <cell r="E1039" t="str">
            <v>REFINED GLYCERINE-USP</v>
          </cell>
          <cell r="F1039">
            <v>19.25</v>
          </cell>
          <cell r="O1039">
            <v>39.97</v>
          </cell>
          <cell r="X1039">
            <v>34.066000000000003</v>
          </cell>
          <cell r="AG1039">
            <v>58.91</v>
          </cell>
          <cell r="AP1039">
            <v>160.80000000000001</v>
          </cell>
          <cell r="AY1039">
            <v>148.24</v>
          </cell>
          <cell r="BH1039">
            <v>131.994</v>
          </cell>
          <cell r="BQ1039">
            <v>118.822</v>
          </cell>
          <cell r="BZ1039">
            <v>164.517</v>
          </cell>
          <cell r="CI1039">
            <v>226.55099999999999</v>
          </cell>
          <cell r="CR1039">
            <v>156.70099999999999</v>
          </cell>
          <cell r="DA1039">
            <v>128.56</v>
          </cell>
          <cell r="DJ1039">
            <v>216.62299999999999</v>
          </cell>
        </row>
        <row r="1040">
          <cell r="A1040">
            <v>120</v>
          </cell>
          <cell r="B1040" t="str">
            <v>FG</v>
          </cell>
          <cell r="C1040" t="str">
            <v>FM</v>
          </cell>
          <cell r="D1040" t="str">
            <v>REFINED GLYCERINE-JP</v>
          </cell>
          <cell r="E1040" t="str">
            <v>REFINED GLYCERINE-JP</v>
          </cell>
          <cell r="F1040">
            <v>17</v>
          </cell>
          <cell r="O1040">
            <v>6</v>
          </cell>
          <cell r="X1040">
            <v>6</v>
          </cell>
          <cell r="AG1040">
            <v>6</v>
          </cell>
          <cell r="AP1040">
            <v>6</v>
          </cell>
          <cell r="AY1040">
            <v>6</v>
          </cell>
          <cell r="BH1040">
            <v>6</v>
          </cell>
          <cell r="BQ1040">
            <v>33</v>
          </cell>
          <cell r="BZ1040">
            <v>13</v>
          </cell>
          <cell r="CI1040">
            <v>13</v>
          </cell>
          <cell r="CR1040">
            <v>45</v>
          </cell>
          <cell r="DA1040">
            <v>56</v>
          </cell>
          <cell r="DJ1040">
            <v>15</v>
          </cell>
        </row>
        <row r="1041">
          <cell r="A1041">
            <v>238</v>
          </cell>
          <cell r="B1041" t="str">
            <v>FG</v>
          </cell>
          <cell r="C1041" t="str">
            <v>FM</v>
          </cell>
          <cell r="D1041" t="str">
            <v>DFA C18/C22 C22:1</v>
          </cell>
          <cell r="E1041" t="str">
            <v>DFA C18/C22 C22:1</v>
          </cell>
          <cell r="F1041">
            <v>786.73064999999997</v>
          </cell>
          <cell r="G1041">
            <v>1295.1211999999998</v>
          </cell>
          <cell r="H1041">
            <v>1642.4920000000002</v>
          </cell>
          <cell r="I1041">
            <v>3575.9483357142863</v>
          </cell>
          <cell r="J1041">
            <v>372.21900000000005</v>
          </cell>
          <cell r="K1041">
            <v>0</v>
          </cell>
          <cell r="L1041">
            <v>0</v>
          </cell>
          <cell r="M1041">
            <v>120.63</v>
          </cell>
          <cell r="N1041">
            <v>0</v>
          </cell>
          <cell r="O1041">
            <v>617.23690000000011</v>
          </cell>
          <cell r="P1041">
            <v>1341.1093999999998</v>
          </cell>
          <cell r="Q1041">
            <v>1619.68</v>
          </cell>
          <cell r="R1041">
            <v>3730.3529999999996</v>
          </cell>
          <cell r="S1041">
            <v>347.55200000000002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791.23620000000005</v>
          </cell>
          <cell r="Y1041">
            <v>1300.5463999999999</v>
          </cell>
          <cell r="Z1041">
            <v>1589.9199999999998</v>
          </cell>
          <cell r="AA1041">
            <v>2569.9960571428569</v>
          </cell>
          <cell r="AB1041">
            <v>424.96500000000003</v>
          </cell>
          <cell r="AC1041">
            <v>0</v>
          </cell>
          <cell r="AD1041">
            <v>0</v>
          </cell>
          <cell r="AE1041">
            <v>94.84</v>
          </cell>
          <cell r="AF1041">
            <v>0</v>
          </cell>
          <cell r="AG1041">
            <v>694.8060999999999</v>
          </cell>
          <cell r="AH1041">
            <v>1246.2943999999998</v>
          </cell>
          <cell r="AI1041">
            <v>1374.29</v>
          </cell>
          <cell r="AJ1041">
            <v>2335.5909142857145</v>
          </cell>
          <cell r="AK1041">
            <v>504.22299999999996</v>
          </cell>
          <cell r="AL1041">
            <v>0</v>
          </cell>
          <cell r="AM1041">
            <v>0</v>
          </cell>
          <cell r="AN1041">
            <v>22.07</v>
          </cell>
          <cell r="AO1041">
            <v>0</v>
          </cell>
          <cell r="AP1041">
            <v>694.26459999999997</v>
          </cell>
          <cell r="AQ1041">
            <v>1110.2443999999998</v>
          </cell>
          <cell r="AR1041">
            <v>995.8</v>
          </cell>
          <cell r="AS1041">
            <v>4256.4183428571423</v>
          </cell>
          <cell r="AT1041">
            <v>207.232</v>
          </cell>
          <cell r="AU1041">
            <v>0</v>
          </cell>
          <cell r="AV1041">
            <v>0</v>
          </cell>
          <cell r="AW1041">
            <v>224.62</v>
          </cell>
          <cell r="AX1041">
            <v>0</v>
          </cell>
          <cell r="AY1041">
            <v>1000.6600000000001</v>
          </cell>
          <cell r="AZ1041">
            <v>1068.7643999999998</v>
          </cell>
          <cell r="BA1041">
            <v>871.56999999999994</v>
          </cell>
          <cell r="BB1041">
            <v>4722.3263428571427</v>
          </cell>
          <cell r="BC1041">
            <v>439.72699999999998</v>
          </cell>
          <cell r="BD1041">
            <v>0</v>
          </cell>
          <cell r="BE1041">
            <v>0</v>
          </cell>
          <cell r="BF1041">
            <v>221.6</v>
          </cell>
          <cell r="BG1041">
            <v>0</v>
          </cell>
        </row>
        <row r="1042">
          <cell r="A1042">
            <v>243</v>
          </cell>
          <cell r="B1042" t="str">
            <v>FG</v>
          </cell>
          <cell r="C1042" t="str">
            <v>FM</v>
          </cell>
          <cell r="D1042" t="str">
            <v>STEARIC-90</v>
          </cell>
          <cell r="E1042" t="str">
            <v>STEARIC-90</v>
          </cell>
          <cell r="F1042">
            <v>79.599999999999994</v>
          </cell>
        </row>
        <row r="1043">
          <cell r="A1043">
            <v>245</v>
          </cell>
          <cell r="B1043" t="str">
            <v>FG</v>
          </cell>
          <cell r="C1043" t="str">
            <v>FM</v>
          </cell>
          <cell r="D1043" t="str">
            <v>HPS</v>
          </cell>
          <cell r="E1043" t="str">
            <v>HPS</v>
          </cell>
          <cell r="F1043">
            <v>1.25</v>
          </cell>
          <cell r="H1043">
            <v>0.34</v>
          </cell>
          <cell r="J1043">
            <v>41</v>
          </cell>
          <cell r="O1043">
            <v>1.25</v>
          </cell>
          <cell r="Q1043">
            <v>0.34</v>
          </cell>
          <cell r="S1043">
            <v>66.5</v>
          </cell>
          <cell r="X1043">
            <v>1.25</v>
          </cell>
          <cell r="AB1043">
            <v>71</v>
          </cell>
          <cell r="AG1043">
            <v>1</v>
          </cell>
          <cell r="AI1043">
            <v>0.34</v>
          </cell>
          <cell r="AK1043">
            <v>45.5</v>
          </cell>
          <cell r="AP1043">
            <v>4</v>
          </cell>
          <cell r="AR1043">
            <v>0.34</v>
          </cell>
          <cell r="AT1043">
            <v>36</v>
          </cell>
          <cell r="AY1043">
            <v>13</v>
          </cell>
          <cell r="BA1043">
            <v>0.34</v>
          </cell>
          <cell r="BC1043">
            <v>38.25</v>
          </cell>
        </row>
        <row r="1044">
          <cell r="A1044">
            <v>249</v>
          </cell>
          <cell r="B1044" t="str">
            <v>FG</v>
          </cell>
          <cell r="C1044" t="str">
            <v>FM</v>
          </cell>
          <cell r="D1044" t="str">
            <v>OLEIC - IG</v>
          </cell>
          <cell r="E1044" t="str">
            <v>OLEIC - IG</v>
          </cell>
          <cell r="F1044">
            <v>1</v>
          </cell>
          <cell r="J1044">
            <v>8.75</v>
          </cell>
          <cell r="S1044">
            <v>33.5</v>
          </cell>
          <cell r="X1044">
            <v>6</v>
          </cell>
          <cell r="AB1044">
            <v>50</v>
          </cell>
          <cell r="AG1044">
            <v>3</v>
          </cell>
          <cell r="AK1044">
            <v>55.25</v>
          </cell>
          <cell r="AP1044">
            <v>2</v>
          </cell>
          <cell r="AT1044">
            <v>120.75</v>
          </cell>
          <cell r="AY1044">
            <v>11</v>
          </cell>
          <cell r="BC1044">
            <v>115.75</v>
          </cell>
        </row>
        <row r="1045">
          <cell r="A1045">
            <v>123</v>
          </cell>
          <cell r="B1045" t="str">
            <v>FG</v>
          </cell>
          <cell r="C1045" t="str">
            <v>FM</v>
          </cell>
          <cell r="D1045" t="str">
            <v>REFINED GLYCERINE-USP</v>
          </cell>
          <cell r="F1045">
            <v>786.73064999999997</v>
          </cell>
          <cell r="G1045">
            <v>1295.1211999999998</v>
          </cell>
          <cell r="H1045">
            <v>1642.4920000000002</v>
          </cell>
          <cell r="I1045">
            <v>3575.9483357142863</v>
          </cell>
          <cell r="J1045">
            <v>372.21900000000005</v>
          </cell>
          <cell r="K1045">
            <v>0</v>
          </cell>
          <cell r="L1045">
            <v>0</v>
          </cell>
          <cell r="M1045">
            <v>120.63</v>
          </cell>
          <cell r="N1045">
            <v>0</v>
          </cell>
          <cell r="O1045">
            <v>617.23690000000011</v>
          </cell>
          <cell r="P1045">
            <v>1341.1093999999998</v>
          </cell>
          <cell r="Q1045">
            <v>1619.68</v>
          </cell>
          <cell r="R1045">
            <v>3730.3529999999996</v>
          </cell>
          <cell r="S1045">
            <v>347.55200000000002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791.23620000000005</v>
          </cell>
          <cell r="Y1045">
            <v>1300.5463999999999</v>
          </cell>
          <cell r="Z1045">
            <v>1589.9199999999998</v>
          </cell>
          <cell r="AA1045">
            <v>2569.9960571428569</v>
          </cell>
          <cell r="AB1045">
            <v>424.96500000000003</v>
          </cell>
          <cell r="AC1045">
            <v>0</v>
          </cell>
          <cell r="AD1045">
            <v>0</v>
          </cell>
          <cell r="AE1045">
            <v>94.84</v>
          </cell>
          <cell r="AF1045">
            <v>0</v>
          </cell>
          <cell r="AG1045">
            <v>694.8060999999999</v>
          </cell>
          <cell r="AH1045">
            <v>1246.2943999999998</v>
          </cell>
          <cell r="AI1045">
            <v>1374.29</v>
          </cell>
          <cell r="AJ1045">
            <v>2335.5909142857145</v>
          </cell>
          <cell r="AK1045">
            <v>504.22299999999996</v>
          </cell>
          <cell r="AL1045">
            <v>0</v>
          </cell>
          <cell r="AM1045">
            <v>0</v>
          </cell>
          <cell r="AN1045">
            <v>22.07</v>
          </cell>
          <cell r="AO1045">
            <v>0</v>
          </cell>
          <cell r="AP1045">
            <v>694.26459999999997</v>
          </cell>
          <cell r="AQ1045">
            <v>1110.2443999999998</v>
          </cell>
          <cell r="AR1045">
            <v>995.8</v>
          </cell>
          <cell r="AS1045">
            <v>4256.4183428571423</v>
          </cell>
          <cell r="AT1045">
            <v>207.232</v>
          </cell>
          <cell r="AU1045">
            <v>0</v>
          </cell>
          <cell r="AV1045">
            <v>0</v>
          </cell>
          <cell r="AW1045">
            <v>224.62</v>
          </cell>
          <cell r="AX1045">
            <v>0</v>
          </cell>
          <cell r="AY1045">
            <v>1000.6600000000001</v>
          </cell>
          <cell r="AZ1045">
            <v>1068.7643999999998</v>
          </cell>
          <cell r="BA1045">
            <v>871.56999999999994</v>
          </cell>
          <cell r="BB1045">
            <v>4722.3263428571427</v>
          </cell>
          <cell r="BC1045">
            <v>439.72699999999998</v>
          </cell>
          <cell r="BD1045">
            <v>0</v>
          </cell>
          <cell r="BE1045">
            <v>0</v>
          </cell>
          <cell r="BF1045">
            <v>221.6</v>
          </cell>
          <cell r="BG1045">
            <v>0</v>
          </cell>
          <cell r="BH1045">
            <v>942.17800000000011</v>
          </cell>
          <cell r="BI1045">
            <v>1068.7643999999998</v>
          </cell>
          <cell r="BJ1045">
            <v>785.2</v>
          </cell>
          <cell r="BK1045">
            <v>5210.5848428571435</v>
          </cell>
          <cell r="BL1045">
            <v>122.83799999999999</v>
          </cell>
          <cell r="BM1045">
            <v>0</v>
          </cell>
          <cell r="BN1045">
            <v>0</v>
          </cell>
          <cell r="BO1045">
            <v>315.95</v>
          </cell>
          <cell r="BP1045">
            <v>0</v>
          </cell>
          <cell r="BQ1045">
            <v>987.27600000000007</v>
          </cell>
          <cell r="BR1045">
            <v>1068.7643999999998</v>
          </cell>
          <cell r="BS1045">
            <v>842.01</v>
          </cell>
          <cell r="BT1045">
            <v>4971.484199999999</v>
          </cell>
          <cell r="BU1045">
            <v>273.209</v>
          </cell>
          <cell r="BV1045">
            <v>0</v>
          </cell>
          <cell r="BW1045">
            <v>0</v>
          </cell>
          <cell r="BX1045">
            <v>236.74</v>
          </cell>
          <cell r="BY1045">
            <v>0</v>
          </cell>
          <cell r="BZ1045">
            <v>886.08400000000006</v>
          </cell>
          <cell r="CA1045">
            <v>1068.7643999999998</v>
          </cell>
          <cell r="CB1045">
            <v>769.23</v>
          </cell>
          <cell r="CC1045">
            <v>4179.7156285714282</v>
          </cell>
          <cell r="CD1045">
            <v>357.62599999999998</v>
          </cell>
          <cell r="CE1045">
            <v>0</v>
          </cell>
          <cell r="CF1045">
            <v>0</v>
          </cell>
          <cell r="CG1045">
            <v>98.4</v>
          </cell>
          <cell r="CH1045">
            <v>0</v>
          </cell>
          <cell r="CI1045">
            <v>703.81899999999996</v>
          </cell>
          <cell r="CJ1045">
            <v>1068.7643999999998</v>
          </cell>
          <cell r="CK1045">
            <v>769.23</v>
          </cell>
          <cell r="CL1045">
            <v>4204.7422857142856</v>
          </cell>
          <cell r="CM1045">
            <v>475.65299999999996</v>
          </cell>
          <cell r="CN1045">
            <v>0</v>
          </cell>
          <cell r="CO1045">
            <v>0</v>
          </cell>
          <cell r="CP1045">
            <v>98.4</v>
          </cell>
          <cell r="CQ1045">
            <v>0</v>
          </cell>
          <cell r="CR1045">
            <v>844.58899999999994</v>
          </cell>
          <cell r="CS1045">
            <v>1068.7643999999998</v>
          </cell>
          <cell r="CT1045">
            <v>769.23</v>
          </cell>
          <cell r="CU1045">
            <v>3836.3627142857144</v>
          </cell>
          <cell r="CV1045">
            <v>624.99300000000005</v>
          </cell>
          <cell r="CW1045">
            <v>0</v>
          </cell>
          <cell r="CX1045">
            <v>0</v>
          </cell>
          <cell r="CY1045">
            <v>19.899999999999999</v>
          </cell>
          <cell r="CZ1045">
            <v>0</v>
          </cell>
          <cell r="DA1045">
            <v>702.72199999999998</v>
          </cell>
          <cell r="DB1045">
            <v>1068.7643999999998</v>
          </cell>
          <cell r="DC1045">
            <v>769.23</v>
          </cell>
          <cell r="DD1045">
            <v>3868.1466428571425</v>
          </cell>
          <cell r="DE1045">
            <v>645.99800000000005</v>
          </cell>
          <cell r="DF1045">
            <v>0</v>
          </cell>
          <cell r="DG1045">
            <v>0</v>
          </cell>
          <cell r="DH1045">
            <v>65.02</v>
          </cell>
          <cell r="DI1045">
            <v>0</v>
          </cell>
          <cell r="DJ1045">
            <v>628.36999999999989</v>
          </cell>
          <cell r="DK1045">
            <v>1009.0871999999999</v>
          </cell>
          <cell r="DL1045">
            <v>769.23</v>
          </cell>
          <cell r="DM1045">
            <v>4770.817357142857</v>
          </cell>
          <cell r="DN1045">
            <v>714.75599999999997</v>
          </cell>
          <cell r="DO1045">
            <v>0</v>
          </cell>
          <cell r="DP1045">
            <v>0</v>
          </cell>
          <cell r="DQ1045">
            <v>98.2</v>
          </cell>
          <cell r="DR1045">
            <v>0</v>
          </cell>
        </row>
        <row r="1046">
          <cell r="A1046" t="str">
            <v>DRUMS</v>
          </cell>
          <cell r="B1046" t="str">
            <v>FG</v>
          </cell>
          <cell r="C1046" t="str">
            <v>FM</v>
          </cell>
          <cell r="D1046" t="str">
            <v>REFINED GLYCERINE-JP</v>
          </cell>
          <cell r="F1046">
            <v>40</v>
          </cell>
        </row>
        <row r="1047">
          <cell r="A1047">
            <v>121</v>
          </cell>
          <cell r="B1047" t="str">
            <v>FG</v>
          </cell>
          <cell r="C1047" t="str">
            <v>FM</v>
          </cell>
          <cell r="D1047" t="str">
            <v>REFINED GLYCERINE-CP</v>
          </cell>
          <cell r="F1047">
            <v>1.25</v>
          </cell>
          <cell r="H1047">
            <v>0.34</v>
          </cell>
          <cell r="I1047">
            <v>20.16</v>
          </cell>
          <cell r="J1047">
            <v>41</v>
          </cell>
          <cell r="O1047">
            <v>1.25</v>
          </cell>
          <cell r="Q1047">
            <v>0.34</v>
          </cell>
          <cell r="S1047">
            <v>66.5</v>
          </cell>
          <cell r="X1047">
            <v>1.25</v>
          </cell>
          <cell r="AB1047">
            <v>71</v>
          </cell>
          <cell r="AG1047">
            <v>1</v>
          </cell>
          <cell r="AI1047">
            <v>0.34</v>
          </cell>
          <cell r="AJ1047">
            <v>5.58</v>
          </cell>
          <cell r="AK1047">
            <v>45.5</v>
          </cell>
          <cell r="AP1047">
            <v>4</v>
          </cell>
          <cell r="AR1047">
            <v>0.34</v>
          </cell>
          <cell r="AS1047">
            <v>9.09</v>
          </cell>
          <cell r="AT1047">
            <v>36</v>
          </cell>
          <cell r="AY1047">
            <v>13</v>
          </cell>
          <cell r="BA1047">
            <v>0.34</v>
          </cell>
          <cell r="BB1047">
            <v>9.5399999999999991</v>
          </cell>
          <cell r="BC1047">
            <v>38.25</v>
          </cell>
          <cell r="BH1047">
            <v>13</v>
          </cell>
          <cell r="BJ1047">
            <v>0.23</v>
          </cell>
          <cell r="BQ1047">
            <v>7</v>
          </cell>
          <cell r="BS1047">
            <v>0.23</v>
          </cell>
          <cell r="BU1047">
            <v>39.5</v>
          </cell>
          <cell r="BZ1047">
            <v>18</v>
          </cell>
          <cell r="CB1047">
            <v>0.23</v>
          </cell>
          <cell r="CD1047">
            <v>35.5</v>
          </cell>
          <cell r="CI1047">
            <v>1</v>
          </cell>
          <cell r="CK1047">
            <v>0.23</v>
          </cell>
          <cell r="CM1047">
            <v>19</v>
          </cell>
          <cell r="CR1047">
            <v>1</v>
          </cell>
          <cell r="CT1047">
            <v>0.23</v>
          </cell>
          <cell r="CV1047">
            <v>19</v>
          </cell>
          <cell r="DA1047">
            <v>1</v>
          </cell>
          <cell r="DC1047">
            <v>0.23</v>
          </cell>
          <cell r="DE1047">
            <v>30.75</v>
          </cell>
          <cell r="DJ1047">
            <v>11</v>
          </cell>
          <cell r="DL1047">
            <v>0.23</v>
          </cell>
          <cell r="DN1047">
            <v>47.25</v>
          </cell>
        </row>
        <row r="1048">
          <cell r="A1048">
            <v>122</v>
          </cell>
          <cell r="B1048" t="str">
            <v>FG</v>
          </cell>
          <cell r="C1048" t="str">
            <v>FM</v>
          </cell>
          <cell r="D1048" t="str">
            <v>REFINED GLYCERINE-IP</v>
          </cell>
          <cell r="F1048">
            <v>1</v>
          </cell>
          <cell r="H1048">
            <v>0.9</v>
          </cell>
          <cell r="J1048">
            <v>8.75</v>
          </cell>
          <cell r="Q1048">
            <v>0.9</v>
          </cell>
          <cell r="S1048">
            <v>33.5</v>
          </cell>
          <cell r="X1048">
            <v>6</v>
          </cell>
          <cell r="Z1048">
            <v>0.9</v>
          </cell>
          <cell r="AB1048">
            <v>50</v>
          </cell>
          <cell r="AG1048">
            <v>3</v>
          </cell>
          <cell r="AI1048">
            <v>0.9</v>
          </cell>
          <cell r="AK1048">
            <v>55.25</v>
          </cell>
          <cell r="AP1048">
            <v>2</v>
          </cell>
          <cell r="AR1048">
            <v>0.9</v>
          </cell>
          <cell r="AT1048">
            <v>120.75</v>
          </cell>
          <cell r="AY1048">
            <v>11</v>
          </cell>
          <cell r="BA1048">
            <v>0.9</v>
          </cell>
          <cell r="BC1048">
            <v>115.75</v>
          </cell>
          <cell r="BH1048">
            <v>11</v>
          </cell>
          <cell r="BQ1048">
            <v>10</v>
          </cell>
          <cell r="BU1048">
            <v>119.75</v>
          </cell>
          <cell r="BZ1048">
            <v>10</v>
          </cell>
          <cell r="CD1048">
            <v>50.5</v>
          </cell>
          <cell r="CI1048">
            <v>5</v>
          </cell>
          <cell r="CM1048">
            <v>15</v>
          </cell>
          <cell r="CV1048">
            <v>14</v>
          </cell>
          <cell r="DE1048">
            <v>32.5</v>
          </cell>
          <cell r="DJ1048">
            <v>10</v>
          </cell>
          <cell r="DN1048">
            <v>141</v>
          </cell>
        </row>
        <row r="1049">
          <cell r="A1049">
            <v>123</v>
          </cell>
          <cell r="B1049" t="str">
            <v>FG</v>
          </cell>
          <cell r="C1049" t="str">
            <v>FM</v>
          </cell>
          <cell r="D1049" t="str">
            <v>REFINED GLYCERINE-USP</v>
          </cell>
          <cell r="F1049">
            <v>12.24</v>
          </cell>
          <cell r="H1049">
            <v>7.02</v>
          </cell>
          <cell r="O1049">
            <v>9.9</v>
          </cell>
          <cell r="Q1049">
            <v>7.02</v>
          </cell>
          <cell r="X1049">
            <v>18</v>
          </cell>
          <cell r="Z1049">
            <v>7.02</v>
          </cell>
          <cell r="AG1049">
            <v>14.25</v>
          </cell>
          <cell r="AI1049">
            <v>7.02</v>
          </cell>
          <cell r="AP1049">
            <v>18</v>
          </cell>
          <cell r="AR1049">
            <v>7.02</v>
          </cell>
          <cell r="AY1049">
            <v>36</v>
          </cell>
          <cell r="BA1049">
            <v>7.02</v>
          </cell>
          <cell r="BH1049">
            <v>18</v>
          </cell>
          <cell r="BQ1049">
            <v>24</v>
          </cell>
          <cell r="BZ1049">
            <v>38</v>
          </cell>
          <cell r="CD1049">
            <v>1</v>
          </cell>
          <cell r="CI1049">
            <v>18</v>
          </cell>
          <cell r="CR1049">
            <v>38</v>
          </cell>
          <cell r="DA1049">
            <v>38</v>
          </cell>
          <cell r="DJ1049">
            <v>20</v>
          </cell>
        </row>
        <row r="1050">
          <cell r="A1050">
            <v>124</v>
          </cell>
          <cell r="B1050" t="str">
            <v>FG</v>
          </cell>
          <cell r="C1050" t="str">
            <v>FM</v>
          </cell>
          <cell r="D1050" t="str">
            <v>REFINED GLYCERINE-JP</v>
          </cell>
          <cell r="F1050">
            <v>40</v>
          </cell>
          <cell r="H1050">
            <v>0.18</v>
          </cell>
          <cell r="O1050">
            <v>6.84</v>
          </cell>
          <cell r="Q1050">
            <v>0.18</v>
          </cell>
          <cell r="X1050">
            <v>6.66</v>
          </cell>
          <cell r="Z1050">
            <v>0.18</v>
          </cell>
          <cell r="AG1050">
            <v>6.66</v>
          </cell>
          <cell r="AI1050">
            <v>0.18</v>
          </cell>
          <cell r="AP1050">
            <v>6.66</v>
          </cell>
          <cell r="AR1050">
            <v>0.18</v>
          </cell>
          <cell r="AY1050">
            <v>6.66</v>
          </cell>
          <cell r="BA1050">
            <v>0.18</v>
          </cell>
        </row>
        <row r="1051">
          <cell r="A1051">
            <v>125</v>
          </cell>
          <cell r="B1051" t="str">
            <v>FG</v>
          </cell>
          <cell r="C1051" t="str">
            <v>FM</v>
          </cell>
          <cell r="D1051" t="str">
            <v>DPKO</v>
          </cell>
          <cell r="F1051">
            <v>0.54</v>
          </cell>
          <cell r="H1051">
            <v>3.7749999999999999</v>
          </cell>
          <cell r="I1051">
            <v>20.16</v>
          </cell>
          <cell r="O1051">
            <v>0.54</v>
          </cell>
          <cell r="Q1051">
            <v>3.7749999999999999</v>
          </cell>
          <cell r="X1051">
            <v>0.54</v>
          </cell>
          <cell r="Z1051">
            <v>3.7749999999999999</v>
          </cell>
          <cell r="AG1051">
            <v>0.54</v>
          </cell>
          <cell r="AI1051">
            <v>3.7749999999999999</v>
          </cell>
          <cell r="AJ1051">
            <v>5.58</v>
          </cell>
          <cell r="AR1051">
            <v>3.7749999999999999</v>
          </cell>
          <cell r="AS1051">
            <v>9.09</v>
          </cell>
          <cell r="BA1051">
            <v>3.7749999999999999</v>
          </cell>
          <cell r="BB1051">
            <v>9.5399999999999991</v>
          </cell>
          <cell r="BK1051">
            <v>8.01</v>
          </cell>
          <cell r="BT1051">
            <v>17.82</v>
          </cell>
          <cell r="CL1051">
            <v>1.35</v>
          </cell>
          <cell r="DM1051">
            <v>29.43</v>
          </cell>
        </row>
        <row r="1052">
          <cell r="A1052">
            <v>126</v>
          </cell>
          <cell r="B1052" t="str">
            <v>FG</v>
          </cell>
          <cell r="C1052" t="str">
            <v>FM</v>
          </cell>
          <cell r="D1052" t="str">
            <v>C6&gt;98%</v>
          </cell>
          <cell r="F1052">
            <v>0.18</v>
          </cell>
          <cell r="H1052">
            <v>0.9</v>
          </cell>
          <cell r="I1052">
            <v>89.28</v>
          </cell>
          <cell r="Q1052">
            <v>0.9</v>
          </cell>
          <cell r="R1052">
            <v>89.73</v>
          </cell>
          <cell r="Z1052">
            <v>0.9</v>
          </cell>
          <cell r="AA1052">
            <v>111.78</v>
          </cell>
          <cell r="AG1052">
            <v>0.18</v>
          </cell>
          <cell r="AI1052">
            <v>0.9</v>
          </cell>
          <cell r="AJ1052">
            <v>120.96</v>
          </cell>
          <cell r="AP1052">
            <v>0.18</v>
          </cell>
          <cell r="AR1052">
            <v>0.9</v>
          </cell>
          <cell r="AS1052">
            <v>121.86</v>
          </cell>
          <cell r="BA1052">
            <v>0.9</v>
          </cell>
          <cell r="BB1052">
            <v>121.86</v>
          </cell>
          <cell r="BH1052">
            <v>43.38</v>
          </cell>
          <cell r="BJ1052">
            <v>0.89500000000000002</v>
          </cell>
          <cell r="BQ1052">
            <v>43.38</v>
          </cell>
          <cell r="BS1052">
            <v>0.89500000000000002</v>
          </cell>
          <cell r="BZ1052">
            <v>57.78</v>
          </cell>
          <cell r="CB1052">
            <v>0.89500000000000002</v>
          </cell>
          <cell r="CI1052">
            <v>57.78</v>
          </cell>
          <cell r="CK1052">
            <v>0.89500000000000002</v>
          </cell>
          <cell r="CR1052">
            <v>0.18</v>
          </cell>
          <cell r="CT1052">
            <v>0.89500000000000002</v>
          </cell>
          <cell r="DA1052">
            <v>0.18</v>
          </cell>
          <cell r="DC1052">
            <v>0.89500000000000002</v>
          </cell>
          <cell r="DJ1052">
            <v>0.18</v>
          </cell>
          <cell r="DL1052">
            <v>0.89500000000000002</v>
          </cell>
        </row>
        <row r="1053">
          <cell r="A1053">
            <v>127</v>
          </cell>
          <cell r="B1053" t="str">
            <v>FG</v>
          </cell>
          <cell r="C1053" t="str">
            <v>FM</v>
          </cell>
          <cell r="D1053" t="str">
            <v>C8&gt;98%</v>
          </cell>
          <cell r="F1053">
            <v>12.24</v>
          </cell>
          <cell r="H1053">
            <v>7.02</v>
          </cell>
          <cell r="O1053">
            <v>9.9</v>
          </cell>
          <cell r="Q1053">
            <v>7.02</v>
          </cell>
          <cell r="X1053">
            <v>9.7199999999999989</v>
          </cell>
          <cell r="Z1053">
            <v>7.02</v>
          </cell>
          <cell r="AG1053">
            <v>9.5399999999999991</v>
          </cell>
          <cell r="AI1053">
            <v>7.02</v>
          </cell>
          <cell r="AP1053">
            <v>8.64</v>
          </cell>
          <cell r="AR1053">
            <v>7.02</v>
          </cell>
          <cell r="AY1053">
            <v>10.44</v>
          </cell>
          <cell r="BA1053">
            <v>7.02</v>
          </cell>
          <cell r="BH1053">
            <v>8.2799999999999994</v>
          </cell>
          <cell r="BJ1053">
            <v>7.02</v>
          </cell>
          <cell r="BQ1053">
            <v>8.1</v>
          </cell>
          <cell r="BS1053">
            <v>7.02</v>
          </cell>
          <cell r="BZ1053">
            <v>7.56</v>
          </cell>
          <cell r="CB1053">
            <v>7.02</v>
          </cell>
          <cell r="CI1053">
            <v>20.88</v>
          </cell>
          <cell r="CK1053">
            <v>7.02</v>
          </cell>
          <cell r="CR1053">
            <v>20.88</v>
          </cell>
          <cell r="CT1053">
            <v>7.02</v>
          </cell>
          <cell r="DA1053">
            <v>6.48</v>
          </cell>
          <cell r="DC1053">
            <v>7.02</v>
          </cell>
          <cell r="DJ1053">
            <v>6.48</v>
          </cell>
          <cell r="DL1053">
            <v>7.02</v>
          </cell>
        </row>
        <row r="1054">
          <cell r="A1054">
            <v>128</v>
          </cell>
          <cell r="B1054" t="str">
            <v>FG</v>
          </cell>
          <cell r="C1054" t="str">
            <v>FM</v>
          </cell>
          <cell r="D1054" t="str">
            <v>C10&gt;98%</v>
          </cell>
          <cell r="F1054">
            <v>6.84</v>
          </cell>
          <cell r="H1054">
            <v>0.18</v>
          </cell>
          <cell r="O1054">
            <v>6.84</v>
          </cell>
          <cell r="Q1054">
            <v>0.18</v>
          </cell>
          <cell r="X1054">
            <v>6.66</v>
          </cell>
          <cell r="Z1054">
            <v>0.18</v>
          </cell>
          <cell r="AG1054">
            <v>6.66</v>
          </cell>
          <cell r="AI1054">
            <v>0.18</v>
          </cell>
          <cell r="AP1054">
            <v>6.66</v>
          </cell>
          <cell r="AR1054">
            <v>0.18</v>
          </cell>
          <cell r="AY1054">
            <v>6.66</v>
          </cell>
          <cell r="BA1054">
            <v>0.18</v>
          </cell>
          <cell r="BH1054">
            <v>6.66</v>
          </cell>
          <cell r="BJ1054">
            <v>0.18</v>
          </cell>
          <cell r="BQ1054">
            <v>6.3</v>
          </cell>
          <cell r="BS1054">
            <v>0.18</v>
          </cell>
          <cell r="BZ1054">
            <v>6.3</v>
          </cell>
          <cell r="CB1054">
            <v>0.18</v>
          </cell>
          <cell r="CI1054">
            <v>6.3</v>
          </cell>
          <cell r="CK1054">
            <v>0.18</v>
          </cell>
          <cell r="CR1054">
            <v>6.3</v>
          </cell>
          <cell r="CT1054">
            <v>0.18</v>
          </cell>
          <cell r="DA1054">
            <v>6.3</v>
          </cell>
          <cell r="DC1054">
            <v>0.18</v>
          </cell>
          <cell r="DJ1054">
            <v>6.3</v>
          </cell>
          <cell r="DL1054">
            <v>0.18</v>
          </cell>
        </row>
        <row r="1055">
          <cell r="A1055">
            <v>129</v>
          </cell>
          <cell r="B1055" t="str">
            <v>FG</v>
          </cell>
          <cell r="C1055" t="str">
            <v>FM</v>
          </cell>
          <cell r="D1055" t="str">
            <v>C8+C10&gt;98%</v>
          </cell>
          <cell r="F1055">
            <v>0.54</v>
          </cell>
          <cell r="H1055">
            <v>3.7749999999999999</v>
          </cell>
          <cell r="O1055">
            <v>0.54</v>
          </cell>
          <cell r="Q1055">
            <v>3.7749999999999999</v>
          </cell>
          <cell r="X1055">
            <v>0.54</v>
          </cell>
          <cell r="Z1055">
            <v>3.7749999999999999</v>
          </cell>
          <cell r="AG1055">
            <v>0.54</v>
          </cell>
          <cell r="AI1055">
            <v>3.7749999999999999</v>
          </cell>
          <cell r="AR1055">
            <v>3.7749999999999999</v>
          </cell>
          <cell r="BA1055">
            <v>3.7749999999999999</v>
          </cell>
          <cell r="BJ1055">
            <v>3.774</v>
          </cell>
          <cell r="BQ1055">
            <v>7.02</v>
          </cell>
          <cell r="BS1055">
            <v>3.774</v>
          </cell>
          <cell r="BZ1055">
            <v>7.02</v>
          </cell>
          <cell r="CB1055">
            <v>3.774</v>
          </cell>
          <cell r="CI1055">
            <v>7.02</v>
          </cell>
          <cell r="CK1055">
            <v>3.774</v>
          </cell>
          <cell r="CR1055">
            <v>7.02</v>
          </cell>
          <cell r="CT1055">
            <v>3.774</v>
          </cell>
          <cell r="DA1055">
            <v>7.02</v>
          </cell>
          <cell r="DC1055">
            <v>3.774</v>
          </cell>
          <cell r="DJ1055">
            <v>6.66</v>
          </cell>
          <cell r="DL1055">
            <v>3.774</v>
          </cell>
        </row>
        <row r="1056">
          <cell r="A1056">
            <v>130</v>
          </cell>
          <cell r="B1056" t="str">
            <v>FG</v>
          </cell>
          <cell r="C1056" t="str">
            <v>FM</v>
          </cell>
          <cell r="D1056" t="str">
            <v>OLEIC-15</v>
          </cell>
          <cell r="H1056">
            <v>0.185</v>
          </cell>
          <cell r="I1056">
            <v>89.28</v>
          </cell>
          <cell r="Q1056">
            <v>0.185</v>
          </cell>
          <cell r="R1056">
            <v>89.73</v>
          </cell>
          <cell r="X1056">
            <v>6.84</v>
          </cell>
          <cell r="Z1056">
            <v>0.185</v>
          </cell>
          <cell r="AA1056">
            <v>111.78</v>
          </cell>
          <cell r="AG1056">
            <v>6.84</v>
          </cell>
          <cell r="AI1056">
            <v>0.185</v>
          </cell>
          <cell r="AJ1056">
            <v>120.96</v>
          </cell>
          <cell r="AP1056">
            <v>4.68</v>
          </cell>
          <cell r="AR1056">
            <v>0.185</v>
          </cell>
          <cell r="AS1056">
            <v>121.86</v>
          </cell>
          <cell r="AY1056">
            <v>4.68</v>
          </cell>
          <cell r="BA1056">
            <v>0.185</v>
          </cell>
          <cell r="BB1056">
            <v>121.86</v>
          </cell>
          <cell r="BJ1056">
            <v>0.185</v>
          </cell>
          <cell r="BK1056">
            <v>25.92</v>
          </cell>
          <cell r="BS1056">
            <v>0.185</v>
          </cell>
          <cell r="BT1056">
            <v>37.71</v>
          </cell>
          <cell r="CB1056">
            <v>0.185</v>
          </cell>
          <cell r="CC1056">
            <v>24.93</v>
          </cell>
          <cell r="CK1056">
            <v>0.185</v>
          </cell>
          <cell r="CL1056">
            <v>16.38</v>
          </cell>
          <cell r="CT1056">
            <v>0.185</v>
          </cell>
          <cell r="CU1056">
            <v>16.38</v>
          </cell>
          <cell r="DC1056">
            <v>0.185</v>
          </cell>
          <cell r="DD1056">
            <v>16.38</v>
          </cell>
          <cell r="DL1056">
            <v>0.185</v>
          </cell>
          <cell r="DM1056">
            <v>1.26</v>
          </cell>
        </row>
        <row r="1057">
          <cell r="A1057">
            <v>131</v>
          </cell>
          <cell r="B1057" t="str">
            <v>FG</v>
          </cell>
          <cell r="C1057" t="str">
            <v>NM</v>
          </cell>
          <cell r="D1057" t="str">
            <v>OLEIC-20</v>
          </cell>
          <cell r="H1057">
            <v>0.09</v>
          </cell>
          <cell r="Q1057">
            <v>0.09</v>
          </cell>
          <cell r="Z1057">
            <v>0.09</v>
          </cell>
          <cell r="AI1057">
            <v>0.09</v>
          </cell>
          <cell r="AR1057">
            <v>0.09</v>
          </cell>
          <cell r="BA1057">
            <v>0.09</v>
          </cell>
          <cell r="BJ1057">
            <v>0.09</v>
          </cell>
          <cell r="BS1057">
            <v>0.09</v>
          </cell>
          <cell r="CB1057">
            <v>0.09</v>
          </cell>
          <cell r="CK1057">
            <v>0.09</v>
          </cell>
          <cell r="CT1057">
            <v>0.09</v>
          </cell>
          <cell r="DC1057">
            <v>0.09</v>
          </cell>
          <cell r="DL1057">
            <v>0.09</v>
          </cell>
        </row>
        <row r="1058">
          <cell r="A1058">
            <v>132</v>
          </cell>
          <cell r="B1058" t="str">
            <v>FG</v>
          </cell>
          <cell r="C1058" t="str">
            <v>NM</v>
          </cell>
          <cell r="D1058" t="str">
            <v>OLEIC-26</v>
          </cell>
          <cell r="F1058">
            <v>0.18</v>
          </cell>
          <cell r="H1058">
            <v>0.63</v>
          </cell>
          <cell r="I1058">
            <v>1.44</v>
          </cell>
          <cell r="O1058">
            <v>0.18</v>
          </cell>
          <cell r="Q1058">
            <v>0.63</v>
          </cell>
          <cell r="R1058">
            <v>1.44</v>
          </cell>
          <cell r="X1058">
            <v>0.18</v>
          </cell>
          <cell r="Z1058">
            <v>0.63</v>
          </cell>
          <cell r="AA1058">
            <v>1.44</v>
          </cell>
          <cell r="AG1058">
            <v>0.18</v>
          </cell>
          <cell r="AI1058">
            <v>0.63</v>
          </cell>
          <cell r="AJ1058">
            <v>1.44</v>
          </cell>
          <cell r="AP1058">
            <v>0.18</v>
          </cell>
          <cell r="AR1058">
            <v>0.63</v>
          </cell>
          <cell r="AS1058">
            <v>1.44</v>
          </cell>
          <cell r="AY1058">
            <v>0.18</v>
          </cell>
          <cell r="BA1058">
            <v>0.63</v>
          </cell>
          <cell r="BB1058">
            <v>1.44</v>
          </cell>
          <cell r="BJ1058">
            <v>0.60799999999999998</v>
          </cell>
          <cell r="BS1058">
            <v>0.60799999999999998</v>
          </cell>
          <cell r="CB1058">
            <v>0.60799999999999998</v>
          </cell>
          <cell r="CK1058">
            <v>0.60799999999999998</v>
          </cell>
          <cell r="CT1058">
            <v>0.60799999999999998</v>
          </cell>
          <cell r="DC1058">
            <v>0.60799999999999998</v>
          </cell>
          <cell r="DL1058">
            <v>0.60799999999999998</v>
          </cell>
        </row>
        <row r="1059">
          <cell r="A1059">
            <v>133</v>
          </cell>
          <cell r="B1059" t="str">
            <v>FG</v>
          </cell>
          <cell r="C1059" t="str">
            <v>NM</v>
          </cell>
          <cell r="D1059" t="str">
            <v>OLEIC-29</v>
          </cell>
          <cell r="H1059">
            <v>0.18</v>
          </cell>
          <cell r="Q1059">
            <v>0.18</v>
          </cell>
          <cell r="Z1059">
            <v>0.18</v>
          </cell>
          <cell r="AI1059">
            <v>0.18</v>
          </cell>
          <cell r="AR1059">
            <v>0.18</v>
          </cell>
          <cell r="BA1059">
            <v>0.18</v>
          </cell>
          <cell r="BJ1059">
            <v>0.16400000000000001</v>
          </cell>
          <cell r="BS1059">
            <v>0.16400000000000001</v>
          </cell>
          <cell r="CB1059">
            <v>0.16400000000000001</v>
          </cell>
          <cell r="CK1059">
            <v>0.16400000000000001</v>
          </cell>
          <cell r="CT1059">
            <v>0.16400000000000001</v>
          </cell>
          <cell r="DC1059">
            <v>0.16400000000000001</v>
          </cell>
          <cell r="DL1059">
            <v>0.16400000000000001</v>
          </cell>
        </row>
        <row r="1060">
          <cell r="A1060">
            <v>134</v>
          </cell>
          <cell r="B1060" t="str">
            <v>FG</v>
          </cell>
          <cell r="C1060" t="str">
            <v>FM</v>
          </cell>
          <cell r="D1060" t="str">
            <v>OLEIC-K</v>
          </cell>
          <cell r="H1060">
            <v>4.0650000000000004</v>
          </cell>
          <cell r="I1060">
            <v>2.52</v>
          </cell>
          <cell r="Q1060">
            <v>4.0650000000000004</v>
          </cell>
          <cell r="R1060">
            <v>1.62</v>
          </cell>
          <cell r="X1060">
            <v>6.84</v>
          </cell>
          <cell r="Z1060">
            <v>4.0650000000000004</v>
          </cell>
          <cell r="AA1060">
            <v>1.62</v>
          </cell>
          <cell r="AG1060">
            <v>6.84</v>
          </cell>
          <cell r="AI1060">
            <v>4.0650000000000004</v>
          </cell>
          <cell r="AJ1060">
            <v>1.62</v>
          </cell>
          <cell r="AP1060">
            <v>4.68</v>
          </cell>
          <cell r="AR1060">
            <v>4.0650000000000004</v>
          </cell>
          <cell r="AS1060">
            <v>1.62</v>
          </cell>
          <cell r="AY1060">
            <v>4.68</v>
          </cell>
          <cell r="BA1060">
            <v>4.0650000000000004</v>
          </cell>
          <cell r="BB1060">
            <v>1.62</v>
          </cell>
          <cell r="BH1060">
            <v>3.96</v>
          </cell>
          <cell r="BJ1060">
            <v>5.1180000000000003</v>
          </cell>
          <cell r="BK1060">
            <v>0.72</v>
          </cell>
          <cell r="BQ1060">
            <v>3.96</v>
          </cell>
          <cell r="BS1060">
            <v>4.4880000000000004</v>
          </cell>
          <cell r="BT1060">
            <v>8.01</v>
          </cell>
          <cell r="CB1060">
            <v>4.4880000000000004</v>
          </cell>
          <cell r="CC1060">
            <v>11.43</v>
          </cell>
          <cell r="CK1060">
            <v>4.4880000000000004</v>
          </cell>
          <cell r="CL1060">
            <v>3.42</v>
          </cell>
          <cell r="CT1060">
            <v>4.4880000000000004</v>
          </cell>
          <cell r="CU1060">
            <v>3.42</v>
          </cell>
          <cell r="DC1060">
            <v>4.4880000000000004</v>
          </cell>
          <cell r="DD1060">
            <v>3.42</v>
          </cell>
          <cell r="DL1060">
            <v>4.4880000000000004</v>
          </cell>
          <cell r="DM1060">
            <v>3.42</v>
          </cell>
        </row>
        <row r="1061">
          <cell r="A1061">
            <v>135</v>
          </cell>
          <cell r="B1061" t="str">
            <v>FG</v>
          </cell>
          <cell r="C1061" t="str">
            <v>NM</v>
          </cell>
          <cell r="D1061" t="str">
            <v>OLEIC-70</v>
          </cell>
          <cell r="H1061">
            <v>0.185</v>
          </cell>
          <cell r="I1061">
            <v>8.3699999999999992</v>
          </cell>
          <cell r="Q1061">
            <v>0.185</v>
          </cell>
          <cell r="R1061">
            <v>8.3699999999999992</v>
          </cell>
          <cell r="Z1061">
            <v>0.185</v>
          </cell>
          <cell r="AA1061">
            <v>8.3699999999999992</v>
          </cell>
          <cell r="AI1061">
            <v>0.185</v>
          </cell>
          <cell r="AJ1061">
            <v>8.3699999999999992</v>
          </cell>
          <cell r="AR1061">
            <v>0.185</v>
          </cell>
          <cell r="AS1061">
            <v>8.3699999999999992</v>
          </cell>
          <cell r="BA1061">
            <v>0.185</v>
          </cell>
          <cell r="BB1061">
            <v>8.3699999999999992</v>
          </cell>
          <cell r="BJ1061">
            <v>0.16</v>
          </cell>
          <cell r="BS1061">
            <v>0.16</v>
          </cell>
          <cell r="CB1061">
            <v>0.16</v>
          </cell>
          <cell r="CK1061">
            <v>0.16</v>
          </cell>
          <cell r="CT1061">
            <v>0.16</v>
          </cell>
          <cell r="DC1061">
            <v>0.16</v>
          </cell>
          <cell r="DL1061">
            <v>0.16</v>
          </cell>
        </row>
        <row r="1062">
          <cell r="A1062">
            <v>136</v>
          </cell>
          <cell r="B1062" t="str">
            <v>FG</v>
          </cell>
          <cell r="C1062" t="str">
            <v>FM</v>
          </cell>
          <cell r="D1062" t="str">
            <v>C22:1&gt;90</v>
          </cell>
          <cell r="F1062">
            <v>0.18</v>
          </cell>
          <cell r="I1062">
            <v>1.44</v>
          </cell>
          <cell r="O1062">
            <v>0.18</v>
          </cell>
          <cell r="R1062">
            <v>1.44</v>
          </cell>
          <cell r="X1062">
            <v>0.18</v>
          </cell>
          <cell r="AA1062">
            <v>1.44</v>
          </cell>
          <cell r="AG1062">
            <v>0.18</v>
          </cell>
          <cell r="AJ1062">
            <v>1.44</v>
          </cell>
          <cell r="AP1062">
            <v>0.18</v>
          </cell>
          <cell r="AS1062">
            <v>1.44</v>
          </cell>
          <cell r="AY1062">
            <v>0.18</v>
          </cell>
          <cell r="BB1062">
            <v>1.44</v>
          </cell>
          <cell r="BH1062">
            <v>0.18</v>
          </cell>
          <cell r="BK1062">
            <v>1.44</v>
          </cell>
          <cell r="BQ1062">
            <v>0.18</v>
          </cell>
          <cell r="BT1062">
            <v>17.100000000000001</v>
          </cell>
          <cell r="BZ1062">
            <v>0.18</v>
          </cell>
          <cell r="CC1062">
            <v>17.100000000000001</v>
          </cell>
          <cell r="CI1062">
            <v>0.18</v>
          </cell>
          <cell r="CL1062">
            <v>17.100000000000001</v>
          </cell>
          <cell r="CU1062">
            <v>17.100000000000001</v>
          </cell>
          <cell r="DA1062">
            <v>0.18</v>
          </cell>
          <cell r="DD1062">
            <v>17.100000000000001</v>
          </cell>
          <cell r="DJ1062">
            <v>0.18</v>
          </cell>
          <cell r="DM1062">
            <v>17.100000000000001</v>
          </cell>
        </row>
        <row r="1063">
          <cell r="A1063">
            <v>137</v>
          </cell>
          <cell r="B1063" t="str">
            <v>FG</v>
          </cell>
          <cell r="C1063" t="str">
            <v>NM</v>
          </cell>
          <cell r="D1063" t="str">
            <v>DCPS</v>
          </cell>
          <cell r="I1063">
            <v>14.28</v>
          </cell>
          <cell r="R1063">
            <v>14.28</v>
          </cell>
          <cell r="AA1063">
            <v>14.28</v>
          </cell>
          <cell r="AJ1063">
            <v>14.28</v>
          </cell>
        </row>
        <row r="1064">
          <cell r="A1064">
            <v>138</v>
          </cell>
          <cell r="B1064" t="str">
            <v>FG</v>
          </cell>
          <cell r="C1064" t="str">
            <v>NM</v>
          </cell>
          <cell r="D1064" t="str">
            <v>Vegarol 1216</v>
          </cell>
          <cell r="F1064">
            <v>62.230000000000004</v>
          </cell>
          <cell r="G1064">
            <v>0</v>
          </cell>
          <cell r="H1064">
            <v>17.55</v>
          </cell>
          <cell r="I1064">
            <v>0.68</v>
          </cell>
          <cell r="J1064">
            <v>49.75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18.71</v>
          </cell>
          <cell r="P1064">
            <v>0</v>
          </cell>
          <cell r="Q1064">
            <v>17.55</v>
          </cell>
          <cell r="R1064">
            <v>0.68</v>
          </cell>
          <cell r="S1064">
            <v>100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49.189999999999991</v>
          </cell>
          <cell r="Y1064">
            <v>0</v>
          </cell>
          <cell r="Z1064">
            <v>17.21</v>
          </cell>
          <cell r="AA1064">
            <v>0.68</v>
          </cell>
          <cell r="AB1064">
            <v>121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42.189999999999991</v>
          </cell>
          <cell r="AH1064">
            <v>0</v>
          </cell>
          <cell r="AI1064">
            <v>17.55</v>
          </cell>
          <cell r="AJ1064">
            <v>0.68</v>
          </cell>
          <cell r="AK1064">
            <v>100.75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44.34</v>
          </cell>
          <cell r="AQ1064">
            <v>0</v>
          </cell>
          <cell r="AR1064">
            <v>17.55</v>
          </cell>
          <cell r="AS1064">
            <v>0.68</v>
          </cell>
          <cell r="AT1064">
            <v>156.75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81.960000000000008</v>
          </cell>
          <cell r="AZ1064">
            <v>0</v>
          </cell>
          <cell r="BA1064">
            <v>17.55</v>
          </cell>
          <cell r="BB1064">
            <v>0.68</v>
          </cell>
          <cell r="BC1064">
            <v>154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K1064">
            <v>0.68</v>
          </cell>
          <cell r="BT1064">
            <v>0.68</v>
          </cell>
          <cell r="CC1064">
            <v>0.68</v>
          </cell>
          <cell r="CL1064">
            <v>0.68</v>
          </cell>
          <cell r="CU1064">
            <v>0.68</v>
          </cell>
          <cell r="DD1064">
            <v>0.68</v>
          </cell>
          <cell r="DM1064">
            <v>0.68</v>
          </cell>
        </row>
        <row r="1065">
          <cell r="A1065">
            <v>261</v>
          </cell>
          <cell r="B1065" t="str">
            <v>FG</v>
          </cell>
          <cell r="C1065" t="str">
            <v>NM</v>
          </cell>
          <cell r="D1065" t="str">
            <v>Vegarol 1218</v>
          </cell>
          <cell r="CU1065">
            <v>13.6</v>
          </cell>
          <cell r="DD1065">
            <v>13.6</v>
          </cell>
        </row>
        <row r="1066">
          <cell r="A1066">
            <v>139</v>
          </cell>
          <cell r="B1066" t="str">
            <v>FG</v>
          </cell>
          <cell r="C1066" t="str">
            <v>NM</v>
          </cell>
          <cell r="D1066" t="str">
            <v>OLEIC-IG</v>
          </cell>
          <cell r="I1066">
            <v>8.3699999999999992</v>
          </cell>
          <cell r="R1066">
            <v>8.3699999999999992</v>
          </cell>
          <cell r="AA1066">
            <v>8.3699999999999992</v>
          </cell>
          <cell r="AJ1066">
            <v>8.3699999999999992</v>
          </cell>
          <cell r="AS1066">
            <v>8.3699999999999992</v>
          </cell>
          <cell r="BB1066">
            <v>8.3699999999999992</v>
          </cell>
        </row>
        <row r="1067">
          <cell r="A1067">
            <v>140</v>
          </cell>
          <cell r="B1067" t="str">
            <v>FG</v>
          </cell>
          <cell r="C1067" t="str">
            <v>NM</v>
          </cell>
          <cell r="D1067" t="str">
            <v>Vegarol 1214</v>
          </cell>
          <cell r="I1067">
            <v>9.18</v>
          </cell>
          <cell r="R1067">
            <v>9.18</v>
          </cell>
          <cell r="AA1067">
            <v>0.17</v>
          </cell>
          <cell r="AJ1067">
            <v>17.170000000000002</v>
          </cell>
          <cell r="AS1067">
            <v>7.48</v>
          </cell>
          <cell r="BB1067">
            <v>21.08</v>
          </cell>
          <cell r="BK1067">
            <v>7.48</v>
          </cell>
          <cell r="BT1067">
            <v>19.38</v>
          </cell>
          <cell r="CC1067">
            <v>16.32</v>
          </cell>
          <cell r="CL1067">
            <v>16.32</v>
          </cell>
          <cell r="CU1067">
            <v>15.81</v>
          </cell>
          <cell r="DD1067">
            <v>15.81</v>
          </cell>
          <cell r="DM1067">
            <v>15.81</v>
          </cell>
        </row>
        <row r="1068">
          <cell r="A1068">
            <v>257</v>
          </cell>
          <cell r="B1068" t="str">
            <v>FG</v>
          </cell>
          <cell r="C1068" t="str">
            <v>NM</v>
          </cell>
          <cell r="D1068" t="str">
            <v>Vegarol 10</v>
          </cell>
          <cell r="F1068">
            <v>199.5</v>
          </cell>
          <cell r="H1068">
            <v>41.35</v>
          </cell>
          <cell r="I1068">
            <v>14.28</v>
          </cell>
          <cell r="O1068">
            <v>122.5</v>
          </cell>
          <cell r="Q1068">
            <v>0.35</v>
          </cell>
          <cell r="R1068">
            <v>14.28</v>
          </cell>
          <cell r="X1068">
            <v>129.44999999999999</v>
          </cell>
          <cell r="Z1068">
            <v>0.35</v>
          </cell>
          <cell r="AA1068">
            <v>14.28</v>
          </cell>
          <cell r="AG1068">
            <v>38.15</v>
          </cell>
          <cell r="AI1068">
            <v>0.35</v>
          </cell>
          <cell r="AJ1068">
            <v>14.28</v>
          </cell>
          <cell r="AP1068">
            <v>137.30000000000001</v>
          </cell>
          <cell r="AR1068">
            <v>0.35</v>
          </cell>
          <cell r="AS1068">
            <v>132.11000000000001</v>
          </cell>
          <cell r="AY1068">
            <v>152.30000000000001</v>
          </cell>
          <cell r="BA1068">
            <v>0.35</v>
          </cell>
          <cell r="BB1068">
            <v>139.81</v>
          </cell>
        </row>
        <row r="1069">
          <cell r="A1069">
            <v>144</v>
          </cell>
          <cell r="B1069" t="str">
            <v>FG</v>
          </cell>
          <cell r="C1069" t="str">
            <v>FM</v>
          </cell>
          <cell r="D1069" t="str">
            <v>UTSR SPECIAL</v>
          </cell>
          <cell r="F1069">
            <v>62.230000000000004</v>
          </cell>
          <cell r="G1069">
            <v>0</v>
          </cell>
          <cell r="H1069">
            <v>17.55</v>
          </cell>
          <cell r="I1069">
            <v>145.91</v>
          </cell>
          <cell r="J1069">
            <v>49.75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18.71</v>
          </cell>
          <cell r="P1069">
            <v>0</v>
          </cell>
          <cell r="Q1069">
            <v>17.55</v>
          </cell>
          <cell r="R1069">
            <v>125.30000000000001</v>
          </cell>
          <cell r="S1069">
            <v>100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49.189999999999991</v>
          </cell>
          <cell r="Y1069">
            <v>0</v>
          </cell>
          <cell r="Z1069">
            <v>17.21</v>
          </cell>
          <cell r="AA1069">
            <v>138.34</v>
          </cell>
          <cell r="AB1069">
            <v>121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42.189999999999991</v>
          </cell>
          <cell r="AH1069">
            <v>0</v>
          </cell>
          <cell r="AI1069">
            <v>17.55</v>
          </cell>
          <cell r="AJ1069">
            <v>170.1</v>
          </cell>
          <cell r="AK1069">
            <v>100.75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44.34</v>
          </cell>
          <cell r="AQ1069">
            <v>0</v>
          </cell>
          <cell r="AR1069">
            <v>17.55</v>
          </cell>
          <cell r="AS1069">
            <v>150.54</v>
          </cell>
          <cell r="AT1069">
            <v>156.75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81.960000000000008</v>
          </cell>
          <cell r="AZ1069">
            <v>0</v>
          </cell>
          <cell r="BA1069">
            <v>17.55</v>
          </cell>
          <cell r="BB1069">
            <v>164.59000000000003</v>
          </cell>
          <cell r="BC1069">
            <v>154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104.46</v>
          </cell>
          <cell r="BI1069">
            <v>0</v>
          </cell>
          <cell r="BJ1069">
            <v>18.424000000000003</v>
          </cell>
          <cell r="BK1069">
            <v>44.25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109.93999999999998</v>
          </cell>
          <cell r="BR1069">
            <v>0</v>
          </cell>
          <cell r="BS1069">
            <v>17.794</v>
          </cell>
          <cell r="BT1069">
            <v>100.7</v>
          </cell>
          <cell r="BU1069">
            <v>159.25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144.84000000000003</v>
          </cell>
          <cell r="CA1069">
            <v>0</v>
          </cell>
          <cell r="CB1069">
            <v>17.794</v>
          </cell>
          <cell r="CC1069">
            <v>70.460000000000008</v>
          </cell>
          <cell r="CD1069">
            <v>87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116.16</v>
          </cell>
          <cell r="CJ1069">
            <v>0</v>
          </cell>
          <cell r="CK1069">
            <v>17.794</v>
          </cell>
          <cell r="CL1069">
            <v>55.25</v>
          </cell>
          <cell r="CM1069">
            <v>34</v>
          </cell>
          <cell r="CN1069">
            <v>0</v>
          </cell>
          <cell r="CO1069">
            <v>0</v>
          </cell>
          <cell r="CP1069">
            <v>0</v>
          </cell>
          <cell r="CQ1069">
            <v>0</v>
          </cell>
          <cell r="CR1069">
            <v>73.38</v>
          </cell>
          <cell r="CS1069">
            <v>0</v>
          </cell>
          <cell r="CT1069">
            <v>17.794</v>
          </cell>
          <cell r="CU1069">
            <v>66.989999999999995</v>
          </cell>
          <cell r="CV1069">
            <v>33</v>
          </cell>
          <cell r="CW1069">
            <v>0</v>
          </cell>
          <cell r="CX1069">
            <v>0</v>
          </cell>
          <cell r="CY1069">
            <v>0</v>
          </cell>
          <cell r="CZ1069">
            <v>0</v>
          </cell>
          <cell r="DA1069">
            <v>59.159999999999989</v>
          </cell>
          <cell r="DB1069">
            <v>0</v>
          </cell>
          <cell r="DC1069">
            <v>17.794</v>
          </cell>
          <cell r="DD1069">
            <v>66.989999999999995</v>
          </cell>
          <cell r="DE1069">
            <v>63.25</v>
          </cell>
          <cell r="DF1069">
            <v>0</v>
          </cell>
          <cell r="DG1069">
            <v>0</v>
          </cell>
          <cell r="DH1069">
            <v>0</v>
          </cell>
          <cell r="DI1069">
            <v>0</v>
          </cell>
          <cell r="DJ1069">
            <v>60.79999999999999</v>
          </cell>
          <cell r="DK1069">
            <v>0</v>
          </cell>
          <cell r="DL1069">
            <v>17.794</v>
          </cell>
          <cell r="DM1069">
            <v>67.7</v>
          </cell>
          <cell r="DN1069">
            <v>188.25</v>
          </cell>
          <cell r="DO1069">
            <v>0</v>
          </cell>
          <cell r="DP1069">
            <v>0</v>
          </cell>
          <cell r="DQ1069">
            <v>0</v>
          </cell>
          <cell r="DR1069">
            <v>0</v>
          </cell>
        </row>
        <row r="1070">
          <cell r="A1070" t="str">
            <v>FATTY ACID FLAKES</v>
          </cell>
          <cell r="B1070" t="str">
            <v>FG</v>
          </cell>
          <cell r="C1070" t="str">
            <v>FM</v>
          </cell>
          <cell r="D1070" t="str">
            <v>DTP-7</v>
          </cell>
          <cell r="H1070">
            <v>0.9000000000000028</v>
          </cell>
          <cell r="I1070">
            <v>14.7</v>
          </cell>
          <cell r="Q1070">
            <v>0.9000000000000028</v>
          </cell>
          <cell r="R1070">
            <v>3.8</v>
          </cell>
          <cell r="Z1070">
            <v>0.9000000000000028</v>
          </cell>
          <cell r="AA1070">
            <v>91.25</v>
          </cell>
          <cell r="AI1070">
            <v>0.9</v>
          </cell>
          <cell r="AJ1070">
            <v>36.5</v>
          </cell>
          <cell r="AR1070">
            <v>0.9000000000000028</v>
          </cell>
          <cell r="AS1070">
            <v>82.4</v>
          </cell>
          <cell r="BA1070">
            <v>0.9000000000000028</v>
          </cell>
          <cell r="BB1070">
            <v>20.05</v>
          </cell>
        </row>
        <row r="1071">
          <cell r="A1071">
            <v>141</v>
          </cell>
          <cell r="B1071" t="str">
            <v>FG</v>
          </cell>
          <cell r="C1071" t="str">
            <v>FM</v>
          </cell>
          <cell r="D1071" t="str">
            <v>C14&gt;99%</v>
          </cell>
          <cell r="F1071">
            <v>0.15</v>
          </cell>
          <cell r="H1071">
            <v>0.35000000000000142</v>
          </cell>
          <cell r="I1071">
            <v>32.875</v>
          </cell>
          <cell r="Q1071">
            <v>0.35000000000000142</v>
          </cell>
          <cell r="R1071">
            <v>32.875</v>
          </cell>
          <cell r="Z1071">
            <v>0.25000000000000144</v>
          </cell>
          <cell r="AA1071">
            <v>32.875</v>
          </cell>
          <cell r="AI1071">
            <v>0.25</v>
          </cell>
          <cell r="AJ1071">
            <v>32.875</v>
          </cell>
          <cell r="AR1071">
            <v>0.25000000000000144</v>
          </cell>
          <cell r="AS1071">
            <v>32.875</v>
          </cell>
          <cell r="BA1071">
            <v>0.25000000000000144</v>
          </cell>
          <cell r="BB1071">
            <v>32.875</v>
          </cell>
          <cell r="BK1071">
            <v>32.875</v>
          </cell>
          <cell r="BT1071">
            <v>7.875</v>
          </cell>
          <cell r="CC1071">
            <v>62.875</v>
          </cell>
          <cell r="CL1071">
            <v>58.875</v>
          </cell>
          <cell r="CU1071">
            <v>7.875</v>
          </cell>
          <cell r="DD1071">
            <v>7.875</v>
          </cell>
          <cell r="DM1071">
            <v>119.075</v>
          </cell>
        </row>
        <row r="1072">
          <cell r="A1072">
            <v>142</v>
          </cell>
          <cell r="B1072" t="str">
            <v>FG</v>
          </cell>
          <cell r="C1072" t="str">
            <v>FM</v>
          </cell>
          <cell r="D1072" t="str">
            <v>C16 85%</v>
          </cell>
          <cell r="H1072">
            <v>1.2</v>
          </cell>
          <cell r="I1072">
            <v>85.2</v>
          </cell>
          <cell r="Q1072">
            <v>0.5</v>
          </cell>
          <cell r="R1072">
            <v>52.2</v>
          </cell>
          <cell r="Z1072">
            <v>0.5</v>
          </cell>
          <cell r="AA1072">
            <v>24.2</v>
          </cell>
          <cell r="AI1072">
            <v>0.5</v>
          </cell>
          <cell r="AR1072">
            <v>0.5</v>
          </cell>
          <cell r="AS1072">
            <v>140</v>
          </cell>
          <cell r="BA1072">
            <v>0.5</v>
          </cell>
          <cell r="BB1072">
            <v>140</v>
          </cell>
          <cell r="CC1072">
            <v>168</v>
          </cell>
          <cell r="CL1072">
            <v>264</v>
          </cell>
          <cell r="DM1072">
            <v>330.5</v>
          </cell>
        </row>
        <row r="1073">
          <cell r="A1073">
            <v>143</v>
          </cell>
          <cell r="B1073" t="str">
            <v>FG</v>
          </cell>
          <cell r="C1073" t="str">
            <v>FM</v>
          </cell>
          <cell r="D1073" t="str">
            <v>UTSR</v>
          </cell>
          <cell r="F1073">
            <v>199.5</v>
          </cell>
          <cell r="H1073">
            <v>41.35</v>
          </cell>
          <cell r="I1073">
            <v>114.06</v>
          </cell>
          <cell r="O1073">
            <v>122.5</v>
          </cell>
          <cell r="Q1073">
            <v>0.35</v>
          </cell>
          <cell r="R1073">
            <v>288.95999999999998</v>
          </cell>
          <cell r="X1073">
            <v>129.44999999999999</v>
          </cell>
          <cell r="Z1073">
            <v>0.35</v>
          </cell>
          <cell r="AA1073">
            <v>200.21</v>
          </cell>
          <cell r="AG1073">
            <v>38.15</v>
          </cell>
          <cell r="AI1073">
            <v>0.35</v>
          </cell>
          <cell r="AJ1073">
            <v>202.66</v>
          </cell>
          <cell r="AP1073">
            <v>137.30000000000001</v>
          </cell>
          <cell r="AR1073">
            <v>0.35</v>
          </cell>
          <cell r="AS1073">
            <v>132.11000000000001</v>
          </cell>
          <cell r="AY1073">
            <v>152.30000000000001</v>
          </cell>
          <cell r="BA1073">
            <v>0.35</v>
          </cell>
          <cell r="BB1073">
            <v>139.81</v>
          </cell>
          <cell r="BH1073">
            <v>126.3</v>
          </cell>
          <cell r="BJ1073">
            <v>0.35</v>
          </cell>
          <cell r="BK1073">
            <v>128.99</v>
          </cell>
          <cell r="BQ1073">
            <v>240.9</v>
          </cell>
          <cell r="BS1073">
            <v>0.35</v>
          </cell>
          <cell r="BT1073">
            <v>217.72499999999999</v>
          </cell>
          <cell r="BZ1073">
            <v>202.55</v>
          </cell>
          <cell r="CB1073">
            <v>0.35</v>
          </cell>
          <cell r="CC1073">
            <v>184.625</v>
          </cell>
          <cell r="CI1073">
            <v>124.65</v>
          </cell>
          <cell r="CK1073">
            <v>0.35</v>
          </cell>
          <cell r="CL1073">
            <v>90.275000000000006</v>
          </cell>
          <cell r="CR1073">
            <v>124.65</v>
          </cell>
          <cell r="CT1073">
            <v>0.35</v>
          </cell>
          <cell r="CU1073">
            <v>58.725000000000001</v>
          </cell>
          <cell r="DA1073">
            <v>90.65</v>
          </cell>
          <cell r="DC1073">
            <v>0.35</v>
          </cell>
          <cell r="DL1073">
            <v>0.35</v>
          </cell>
          <cell r="DM1073">
            <v>249.3</v>
          </cell>
        </row>
        <row r="1074">
          <cell r="A1074">
            <v>144</v>
          </cell>
          <cell r="B1074" t="str">
            <v>FG</v>
          </cell>
          <cell r="C1074" t="str">
            <v>FM</v>
          </cell>
          <cell r="D1074" t="str">
            <v>UTSR SPECIAL</v>
          </cell>
          <cell r="DD1074">
            <v>69.599999999999994</v>
          </cell>
        </row>
        <row r="1075">
          <cell r="A1075">
            <v>145</v>
          </cell>
          <cell r="B1075" t="str">
            <v>FG</v>
          </cell>
          <cell r="C1075" t="str">
            <v>FM</v>
          </cell>
          <cell r="D1075" t="str">
            <v>DTP-7</v>
          </cell>
          <cell r="H1075">
            <v>0.9000000000000028</v>
          </cell>
          <cell r="I1075">
            <v>14.7</v>
          </cell>
          <cell r="Q1075">
            <v>0.9000000000000028</v>
          </cell>
          <cell r="R1075">
            <v>3.8</v>
          </cell>
          <cell r="Z1075">
            <v>0.9000000000000028</v>
          </cell>
          <cell r="AA1075">
            <v>91.25</v>
          </cell>
          <cell r="AI1075">
            <v>0.9</v>
          </cell>
          <cell r="AJ1075">
            <v>36.5</v>
          </cell>
          <cell r="AR1075">
            <v>0.9000000000000028</v>
          </cell>
          <cell r="AS1075">
            <v>82.4</v>
          </cell>
          <cell r="BA1075">
            <v>0.9000000000000028</v>
          </cell>
          <cell r="BB1075">
            <v>20.05</v>
          </cell>
          <cell r="BJ1075">
            <v>0.9000000000000028</v>
          </cell>
          <cell r="BK1075">
            <v>30.65</v>
          </cell>
          <cell r="BT1075">
            <v>4.05</v>
          </cell>
          <cell r="CC1075">
            <v>55.8</v>
          </cell>
          <cell r="CL1075">
            <v>77.5</v>
          </cell>
          <cell r="CU1075">
            <v>197.5</v>
          </cell>
          <cell r="DD1075">
            <v>37.5</v>
          </cell>
          <cell r="DM1075">
            <v>64.099999999999994</v>
          </cell>
        </row>
        <row r="1076">
          <cell r="A1076">
            <v>146</v>
          </cell>
          <cell r="B1076" t="str">
            <v>FG</v>
          </cell>
          <cell r="C1076" t="str">
            <v>FM</v>
          </cell>
          <cell r="D1076" t="str">
            <v>DTP-CT</v>
          </cell>
          <cell r="F1076">
            <v>0.15</v>
          </cell>
          <cell r="H1076">
            <v>0.35000000000000142</v>
          </cell>
          <cell r="I1076">
            <v>147.5</v>
          </cell>
          <cell r="Q1076">
            <v>0.35000000000000142</v>
          </cell>
          <cell r="R1076">
            <v>127.5</v>
          </cell>
          <cell r="Z1076">
            <v>0.25000000000000144</v>
          </cell>
          <cell r="AA1076">
            <v>117</v>
          </cell>
          <cell r="AI1076">
            <v>0.25</v>
          </cell>
          <cell r="AJ1076">
            <v>146.44999999999999</v>
          </cell>
          <cell r="AR1076">
            <v>0.25000000000000144</v>
          </cell>
          <cell r="AS1076">
            <v>130.44999999999999</v>
          </cell>
          <cell r="BA1076">
            <v>0.25000000000000144</v>
          </cell>
          <cell r="BB1076">
            <v>130.6</v>
          </cell>
          <cell r="BJ1076">
            <v>0.25000000000000144</v>
          </cell>
          <cell r="BK1076">
            <v>130.6</v>
          </cell>
          <cell r="BS1076">
            <v>0.25</v>
          </cell>
          <cell r="BT1076">
            <v>126.4</v>
          </cell>
          <cell r="CB1076">
            <v>0.25</v>
          </cell>
          <cell r="CC1076">
            <v>90.2</v>
          </cell>
          <cell r="CK1076">
            <v>0.25</v>
          </cell>
          <cell r="CL1076">
            <v>90.2</v>
          </cell>
          <cell r="CT1076">
            <v>0.25</v>
          </cell>
          <cell r="CU1076">
            <v>90.2</v>
          </cell>
          <cell r="DC1076">
            <v>0.25</v>
          </cell>
          <cell r="DD1076">
            <v>90.2</v>
          </cell>
          <cell r="DL1076">
            <v>0.25</v>
          </cell>
          <cell r="DM1076">
            <v>44.2</v>
          </cell>
        </row>
        <row r="1077">
          <cell r="A1077">
            <v>147</v>
          </cell>
          <cell r="B1077" t="str">
            <v>FG</v>
          </cell>
          <cell r="C1077" t="str">
            <v>FM</v>
          </cell>
          <cell r="D1077" t="str">
            <v>P-12</v>
          </cell>
          <cell r="H1077">
            <v>1.2</v>
          </cell>
          <cell r="I1077">
            <v>85.2</v>
          </cell>
          <cell r="Q1077">
            <v>0.5</v>
          </cell>
          <cell r="R1077">
            <v>52.2</v>
          </cell>
          <cell r="Z1077">
            <v>0.5</v>
          </cell>
          <cell r="AA1077">
            <v>24.2</v>
          </cell>
          <cell r="AI1077">
            <v>0.5</v>
          </cell>
          <cell r="AJ1077">
            <v>20.45</v>
          </cell>
          <cell r="AR1077">
            <v>0.5</v>
          </cell>
          <cell r="AS1077">
            <v>103.25</v>
          </cell>
          <cell r="BA1077">
            <v>0.5</v>
          </cell>
          <cell r="BB1077">
            <v>67.25</v>
          </cell>
          <cell r="BJ1077">
            <v>0.5</v>
          </cell>
          <cell r="BK1077">
            <v>18.75</v>
          </cell>
          <cell r="BS1077">
            <v>0.5</v>
          </cell>
          <cell r="BT1077">
            <v>5.75</v>
          </cell>
          <cell r="CB1077">
            <v>0.5</v>
          </cell>
          <cell r="CC1077">
            <v>0.25</v>
          </cell>
          <cell r="CK1077">
            <v>0.5</v>
          </cell>
          <cell r="CL1077">
            <v>23.35</v>
          </cell>
          <cell r="CT1077">
            <v>0.5</v>
          </cell>
          <cell r="CU1077">
            <v>20.350000000000001</v>
          </cell>
          <cell r="DC1077">
            <v>0.5</v>
          </cell>
          <cell r="DD1077">
            <v>119.95</v>
          </cell>
          <cell r="DL1077">
            <v>0.5</v>
          </cell>
          <cell r="DM1077">
            <v>149.44999999999999</v>
          </cell>
        </row>
        <row r="1078">
          <cell r="A1078">
            <v>148</v>
          </cell>
          <cell r="B1078" t="str">
            <v>FG</v>
          </cell>
          <cell r="C1078" t="str">
            <v>FM</v>
          </cell>
          <cell r="D1078" t="str">
            <v>P-12 SPECIAL</v>
          </cell>
        </row>
        <row r="1079">
          <cell r="A1079">
            <v>149</v>
          </cell>
          <cell r="B1079" t="str">
            <v>FG</v>
          </cell>
          <cell r="C1079" t="str">
            <v>NM</v>
          </cell>
          <cell r="D1079" t="str">
            <v>BEHENIC-75</v>
          </cell>
          <cell r="I1079">
            <v>40.53</v>
          </cell>
          <cell r="R1079">
            <v>40.53</v>
          </cell>
          <cell r="AA1079">
            <v>40.53</v>
          </cell>
          <cell r="AJ1079">
            <v>40.53</v>
          </cell>
          <cell r="AS1079">
            <v>40.53</v>
          </cell>
          <cell r="BB1079">
            <v>40.53</v>
          </cell>
        </row>
        <row r="1080">
          <cell r="A1080">
            <v>150</v>
          </cell>
          <cell r="B1080" t="str">
            <v>FG</v>
          </cell>
          <cell r="C1080" t="str">
            <v>NM</v>
          </cell>
          <cell r="D1080" t="str">
            <v>BEHENIC-85</v>
          </cell>
          <cell r="I1080">
            <v>15.64</v>
          </cell>
          <cell r="R1080">
            <v>15.64</v>
          </cell>
          <cell r="AA1080">
            <v>15.64</v>
          </cell>
          <cell r="AJ1080">
            <v>15.64</v>
          </cell>
          <cell r="AS1080">
            <v>15.64</v>
          </cell>
          <cell r="BB1080">
            <v>15.64</v>
          </cell>
        </row>
        <row r="1081">
          <cell r="A1081">
            <v>151</v>
          </cell>
          <cell r="B1081" t="str">
            <v>FG</v>
          </cell>
          <cell r="C1081" t="str">
            <v>FM</v>
          </cell>
          <cell r="D1081" t="str">
            <v>BEHENIC-90</v>
          </cell>
          <cell r="I1081">
            <v>147.5</v>
          </cell>
          <cell r="R1081">
            <v>127.5</v>
          </cell>
          <cell r="AA1081">
            <v>117</v>
          </cell>
          <cell r="AJ1081">
            <v>117</v>
          </cell>
          <cell r="AS1081">
            <v>97</v>
          </cell>
          <cell r="BB1081">
            <v>97</v>
          </cell>
          <cell r="BK1081">
            <v>77</v>
          </cell>
          <cell r="BT1081">
            <v>77</v>
          </cell>
          <cell r="CC1081">
            <v>77</v>
          </cell>
          <cell r="CL1081">
            <v>77</v>
          </cell>
          <cell r="CU1081">
            <v>77</v>
          </cell>
          <cell r="DD1081">
            <v>77</v>
          </cell>
          <cell r="DM1081">
            <v>77</v>
          </cell>
        </row>
        <row r="1082">
          <cell r="A1082">
            <v>152</v>
          </cell>
          <cell r="B1082" t="str">
            <v>FG</v>
          </cell>
          <cell r="C1082" t="str">
            <v>FM</v>
          </cell>
          <cell r="D1082" t="str">
            <v>G3 STEARIC</v>
          </cell>
          <cell r="H1082">
            <v>3.9</v>
          </cell>
          <cell r="I1082">
            <v>40.450000000000003</v>
          </cell>
          <cell r="Q1082">
            <v>3.9</v>
          </cell>
          <cell r="R1082">
            <v>30.45</v>
          </cell>
          <cell r="Z1082">
            <v>3.9</v>
          </cell>
          <cell r="AA1082">
            <v>30.45</v>
          </cell>
          <cell r="AI1082">
            <v>3.9</v>
          </cell>
          <cell r="AJ1082">
            <v>20.45</v>
          </cell>
          <cell r="AR1082">
            <v>3.9</v>
          </cell>
          <cell r="AS1082">
            <v>20.45</v>
          </cell>
          <cell r="BA1082">
            <v>3.9</v>
          </cell>
          <cell r="BB1082">
            <v>10.45</v>
          </cell>
          <cell r="BJ1082">
            <v>4.0999999999999996</v>
          </cell>
          <cell r="BK1082">
            <v>5.45</v>
          </cell>
          <cell r="BS1082">
            <v>4.0999999999999996</v>
          </cell>
          <cell r="BT1082">
            <v>5.45</v>
          </cell>
          <cell r="CB1082">
            <v>4.0999999999999996</v>
          </cell>
          <cell r="CC1082">
            <v>56.45</v>
          </cell>
          <cell r="CK1082">
            <v>4.0999999999999996</v>
          </cell>
          <cell r="CL1082">
            <v>46.45</v>
          </cell>
          <cell r="CT1082">
            <v>4.0999999999999996</v>
          </cell>
          <cell r="CU1082">
            <v>31.45</v>
          </cell>
          <cell r="DC1082">
            <v>4.0999999999999996</v>
          </cell>
          <cell r="DD1082">
            <v>46.7</v>
          </cell>
          <cell r="DL1082">
            <v>4.0999999999999996</v>
          </cell>
          <cell r="DM1082">
            <v>36.700000000000003</v>
          </cell>
        </row>
        <row r="1083">
          <cell r="A1083">
            <v>153</v>
          </cell>
          <cell r="B1083" t="str">
            <v>FG</v>
          </cell>
          <cell r="C1083" t="str">
            <v>NM</v>
          </cell>
          <cell r="D1083" t="str">
            <v>HYD.CASTOR OIL</v>
          </cell>
          <cell r="F1083">
            <v>1.35</v>
          </cell>
          <cell r="H1083">
            <v>1.05</v>
          </cell>
          <cell r="O1083">
            <v>1.35</v>
          </cell>
          <cell r="Q1083">
            <v>1.05</v>
          </cell>
          <cell r="X1083">
            <v>1.35</v>
          </cell>
          <cell r="Z1083">
            <v>1.05</v>
          </cell>
          <cell r="AG1083">
            <v>1.35</v>
          </cell>
          <cell r="AI1083">
            <v>1.05</v>
          </cell>
          <cell r="AP1083">
            <v>1.35</v>
          </cell>
          <cell r="AR1083">
            <v>1.05</v>
          </cell>
          <cell r="AY1083">
            <v>1.35</v>
          </cell>
          <cell r="BA1083">
            <v>1.05</v>
          </cell>
        </row>
        <row r="1084">
          <cell r="A1084">
            <v>154</v>
          </cell>
          <cell r="B1084" t="str">
            <v>FG</v>
          </cell>
          <cell r="C1084" t="str">
            <v>FM</v>
          </cell>
          <cell r="D1084" t="str">
            <v>C16  W/E</v>
          </cell>
          <cell r="I1084">
            <v>40.53</v>
          </cell>
          <cell r="R1084">
            <v>40.53</v>
          </cell>
          <cell r="AA1084">
            <v>40.53</v>
          </cell>
          <cell r="AJ1084">
            <v>40.53</v>
          </cell>
          <cell r="AS1084">
            <v>40.53</v>
          </cell>
          <cell r="BB1084">
            <v>40.53</v>
          </cell>
          <cell r="BK1084">
            <v>40.53</v>
          </cell>
          <cell r="BT1084">
            <v>40.53</v>
          </cell>
          <cell r="CC1084">
            <v>40.53</v>
          </cell>
          <cell r="CL1084">
            <v>40.53</v>
          </cell>
          <cell r="CU1084">
            <v>40.53</v>
          </cell>
          <cell r="DD1084">
            <v>40.53</v>
          </cell>
          <cell r="DM1084">
            <v>40.53</v>
          </cell>
        </row>
        <row r="1085">
          <cell r="A1085">
            <v>155</v>
          </cell>
          <cell r="B1085" t="str">
            <v>FG</v>
          </cell>
          <cell r="C1085" t="str">
            <v>FM</v>
          </cell>
          <cell r="D1085" t="str">
            <v>C18  W/E</v>
          </cell>
          <cell r="I1085">
            <v>15.64</v>
          </cell>
          <cell r="R1085">
            <v>15.64</v>
          </cell>
          <cell r="AA1085">
            <v>15.64</v>
          </cell>
          <cell r="AJ1085">
            <v>15.64</v>
          </cell>
          <cell r="AS1085">
            <v>15.64</v>
          </cell>
          <cell r="BB1085">
            <v>15.64</v>
          </cell>
          <cell r="BK1085">
            <v>15.64</v>
          </cell>
          <cell r="BT1085">
            <v>15.64</v>
          </cell>
          <cell r="CC1085">
            <v>15.64</v>
          </cell>
          <cell r="CL1085">
            <v>15.64</v>
          </cell>
          <cell r="CU1085">
            <v>15.64</v>
          </cell>
          <cell r="DD1085">
            <v>15.64</v>
          </cell>
          <cell r="DM1085">
            <v>15.64</v>
          </cell>
        </row>
        <row r="1086">
          <cell r="A1086">
            <v>156</v>
          </cell>
          <cell r="B1086" t="str">
            <v>FG</v>
          </cell>
          <cell r="C1086" t="str">
            <v>FM</v>
          </cell>
          <cell r="D1086" t="str">
            <v>C1618  W/E</v>
          </cell>
          <cell r="I1086">
            <v>31.21</v>
          </cell>
          <cell r="R1086">
            <v>31.21</v>
          </cell>
          <cell r="AA1086">
            <v>31.21</v>
          </cell>
          <cell r="AJ1086">
            <v>31.21</v>
          </cell>
          <cell r="AS1086">
            <v>31.21</v>
          </cell>
          <cell r="BB1086">
            <v>31.21</v>
          </cell>
          <cell r="BK1086">
            <v>25.51</v>
          </cell>
          <cell r="BT1086">
            <v>25.51</v>
          </cell>
          <cell r="CC1086">
            <v>25.51</v>
          </cell>
          <cell r="CL1086">
            <v>25.51</v>
          </cell>
          <cell r="CU1086">
            <v>25.51</v>
          </cell>
          <cell r="DD1086">
            <v>25.51</v>
          </cell>
          <cell r="DM1086">
            <v>25.51</v>
          </cell>
        </row>
        <row r="1087">
          <cell r="A1087">
            <v>157</v>
          </cell>
          <cell r="B1087" t="str">
            <v>FG</v>
          </cell>
          <cell r="C1087" t="str">
            <v>NM</v>
          </cell>
          <cell r="D1087" t="str">
            <v>CONTAMINATED FATTY ACID</v>
          </cell>
          <cell r="E1087" t="str">
            <v>STEARIC-90</v>
          </cell>
          <cell r="F1087">
            <v>79.599999999999994</v>
          </cell>
          <cell r="I1087">
            <v>25</v>
          </cell>
          <cell r="O1087">
            <v>79.599999999999994</v>
          </cell>
          <cell r="R1087">
            <v>25</v>
          </cell>
          <cell r="X1087">
            <v>79.599999999999994</v>
          </cell>
          <cell r="AA1087">
            <v>25</v>
          </cell>
          <cell r="AG1087">
            <v>79.599999999999994</v>
          </cell>
          <cell r="AJ1087">
            <v>25</v>
          </cell>
          <cell r="AP1087">
            <v>79.599999999999994</v>
          </cell>
          <cell r="AS1087">
            <v>25</v>
          </cell>
          <cell r="AY1087">
            <v>79.599999999999994</v>
          </cell>
          <cell r="BB1087">
            <v>25</v>
          </cell>
          <cell r="BK1087">
            <v>25</v>
          </cell>
          <cell r="BT1087">
            <v>25</v>
          </cell>
          <cell r="CL1087">
            <v>25</v>
          </cell>
          <cell r="CU1087">
            <v>25</v>
          </cell>
          <cell r="DD1087">
            <v>25</v>
          </cell>
          <cell r="DM1087">
            <v>25</v>
          </cell>
        </row>
        <row r="1088">
          <cell r="A1088">
            <v>158</v>
          </cell>
          <cell r="B1088" t="str">
            <v>FG</v>
          </cell>
          <cell r="C1088" t="str">
            <v>NM</v>
          </cell>
          <cell r="D1088" t="str">
            <v>STEARIC ACID - SPECIAL</v>
          </cell>
          <cell r="F1088">
            <v>1.35</v>
          </cell>
          <cell r="H1088">
            <v>1.05</v>
          </cell>
          <cell r="O1088">
            <v>1.35</v>
          </cell>
          <cell r="Q1088">
            <v>1.05</v>
          </cell>
          <cell r="X1088">
            <v>1.35</v>
          </cell>
          <cell r="Z1088">
            <v>1.05</v>
          </cell>
          <cell r="AG1088">
            <v>1.35</v>
          </cell>
          <cell r="AI1088">
            <v>1.05</v>
          </cell>
          <cell r="AP1088">
            <v>1.35</v>
          </cell>
          <cell r="AR1088">
            <v>1.05</v>
          </cell>
          <cell r="AY1088">
            <v>1.35</v>
          </cell>
          <cell r="BA1088">
            <v>1.05</v>
          </cell>
          <cell r="BH1088">
            <v>1.35</v>
          </cell>
          <cell r="BJ1088">
            <v>1.05</v>
          </cell>
          <cell r="BQ1088">
            <v>1.35</v>
          </cell>
          <cell r="BS1088">
            <v>1.05</v>
          </cell>
          <cell r="BZ1088">
            <v>1.35</v>
          </cell>
          <cell r="CB1088">
            <v>1.05</v>
          </cell>
          <cell r="CI1088">
            <v>1.35</v>
          </cell>
          <cell r="CK1088">
            <v>1.05</v>
          </cell>
          <cell r="CR1088">
            <v>1.35</v>
          </cell>
          <cell r="CT1088">
            <v>1.05</v>
          </cell>
          <cell r="DA1088">
            <v>1.35</v>
          </cell>
          <cell r="DC1088">
            <v>1.05</v>
          </cell>
          <cell r="DL1088">
            <v>1.05</v>
          </cell>
        </row>
        <row r="1089">
          <cell r="A1089">
            <v>159</v>
          </cell>
          <cell r="B1089" t="str">
            <v>FG</v>
          </cell>
          <cell r="C1089" t="str">
            <v>NM</v>
          </cell>
          <cell r="D1089" t="str">
            <v>DFA-C18/22</v>
          </cell>
          <cell r="F1089">
            <v>280.60000000000002</v>
          </cell>
          <cell r="G1089">
            <v>0</v>
          </cell>
          <cell r="H1089">
            <v>48.750000000000007</v>
          </cell>
          <cell r="I1089">
            <v>547.16499999999996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203.45</v>
          </cell>
          <cell r="P1089">
            <v>0</v>
          </cell>
          <cell r="Q1089">
            <v>7.0500000000000034</v>
          </cell>
          <cell r="R1089">
            <v>648.16499999999996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210.39999999999998</v>
          </cell>
          <cell r="Y1089">
            <v>0</v>
          </cell>
          <cell r="Z1089">
            <v>6.9500000000000037</v>
          </cell>
          <cell r="AA1089">
            <v>608.36500000000001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119.1</v>
          </cell>
          <cell r="AH1089">
            <v>0</v>
          </cell>
          <cell r="AI1089">
            <v>6.95</v>
          </cell>
          <cell r="AJ1089">
            <v>668.31499999999994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218.25</v>
          </cell>
          <cell r="AQ1089">
            <v>0</v>
          </cell>
          <cell r="AR1089">
            <v>6.9500000000000037</v>
          </cell>
          <cell r="AS1089">
            <v>850.91500000000008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233.25</v>
          </cell>
          <cell r="AZ1089">
            <v>0</v>
          </cell>
          <cell r="BA1089">
            <v>6.9500000000000037</v>
          </cell>
          <cell r="BB1089">
            <v>750.41500000000008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</row>
        <row r="1090">
          <cell r="A1090">
            <v>160</v>
          </cell>
          <cell r="B1090" t="str">
            <v>FG</v>
          </cell>
          <cell r="C1090" t="str">
            <v>NM</v>
          </cell>
          <cell r="D1090" t="str">
            <v>C10 Alc (14 * 170 kgs)</v>
          </cell>
        </row>
        <row r="1091">
          <cell r="A1091">
            <v>241</v>
          </cell>
          <cell r="B1091" t="str">
            <v>FG</v>
          </cell>
          <cell r="C1091" t="str">
            <v>NM</v>
          </cell>
          <cell r="D1091" t="str">
            <v>C12</v>
          </cell>
        </row>
        <row r="1092">
          <cell r="A1092">
            <v>244</v>
          </cell>
          <cell r="B1092" t="str">
            <v>FG</v>
          </cell>
          <cell r="C1092" t="str">
            <v>NM</v>
          </cell>
          <cell r="D1092" t="str">
            <v>STEARIC-90</v>
          </cell>
          <cell r="E1092" t="str">
            <v>STEARIC-90</v>
          </cell>
          <cell r="F1092">
            <v>79.599999999999994</v>
          </cell>
          <cell r="H1092">
            <v>650.04999999999995</v>
          </cell>
          <cell r="I1092">
            <v>1110.8599999999999</v>
          </cell>
          <cell r="O1092">
            <v>79.599999999999994</v>
          </cell>
          <cell r="Q1092">
            <v>806.23</v>
          </cell>
          <cell r="R1092">
            <v>968.38</v>
          </cell>
          <cell r="V1092">
            <v>69.489999999999995</v>
          </cell>
          <cell r="X1092">
            <v>79.599999999999994</v>
          </cell>
          <cell r="Z1092">
            <v>1001.87</v>
          </cell>
          <cell r="AA1092">
            <v>2262.61</v>
          </cell>
          <cell r="AG1092">
            <v>79.599999999999994</v>
          </cell>
          <cell r="AI1092">
            <v>1001.87</v>
          </cell>
          <cell r="AJ1092">
            <v>1801.14</v>
          </cell>
          <cell r="AP1092">
            <v>79.599999999999994</v>
          </cell>
          <cell r="AS1092">
            <v>1126.8900000000001</v>
          </cell>
          <cell r="AY1092">
            <v>79.599999999999994</v>
          </cell>
          <cell r="BB1092">
            <v>862.51</v>
          </cell>
          <cell r="BH1092">
            <v>79.599999999999994</v>
          </cell>
          <cell r="BQ1092">
            <v>79.599999999999994</v>
          </cell>
          <cell r="BZ1092">
            <v>79.599999999999994</v>
          </cell>
          <cell r="CI1092">
            <v>79.599999999999994</v>
          </cell>
          <cell r="CR1092">
            <v>79.599999999999994</v>
          </cell>
          <cell r="DA1092">
            <v>79.599999999999994</v>
          </cell>
        </row>
        <row r="1093">
          <cell r="A1093">
            <v>246</v>
          </cell>
          <cell r="B1093" t="str">
            <v>FG</v>
          </cell>
          <cell r="C1093" t="str">
            <v>NM</v>
          </cell>
          <cell r="D1093" t="str">
            <v>HPS 25 KGS</v>
          </cell>
          <cell r="I1093">
            <v>832.16100000000006</v>
          </cell>
          <cell r="R1093">
            <v>1026.82</v>
          </cell>
          <cell r="V1093">
            <v>33.68</v>
          </cell>
          <cell r="Z1093">
            <v>506.39</v>
          </cell>
          <cell r="AA1093">
            <v>747.88</v>
          </cell>
          <cell r="AI1093">
            <v>506.39</v>
          </cell>
          <cell r="AJ1093">
            <v>1392</v>
          </cell>
          <cell r="AS1093">
            <v>1121.76</v>
          </cell>
          <cell r="BB1093">
            <v>776.04</v>
          </cell>
        </row>
        <row r="1094">
          <cell r="A1094">
            <v>163</v>
          </cell>
          <cell r="B1094" t="str">
            <v>FG</v>
          </cell>
          <cell r="C1094" t="str">
            <v>FM</v>
          </cell>
          <cell r="D1094" t="str">
            <v>VEGROL 1218</v>
          </cell>
          <cell r="F1094">
            <v>280.60000000000002</v>
          </cell>
          <cell r="G1094">
            <v>0</v>
          </cell>
          <cell r="H1094">
            <v>48.750000000000007</v>
          </cell>
          <cell r="I1094">
            <v>547.16499999999996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203.45</v>
          </cell>
          <cell r="P1094">
            <v>0</v>
          </cell>
          <cell r="Q1094">
            <v>7.0500000000000034</v>
          </cell>
          <cell r="R1094">
            <v>648.16499999999996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210.39999999999998</v>
          </cell>
          <cell r="Y1094">
            <v>0</v>
          </cell>
          <cell r="Z1094">
            <v>6.9500000000000037</v>
          </cell>
          <cell r="AA1094">
            <v>608.36500000000001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119.1</v>
          </cell>
          <cell r="AH1094">
            <v>0</v>
          </cell>
          <cell r="AI1094">
            <v>6.95</v>
          </cell>
          <cell r="AJ1094">
            <v>668.31499999999994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218.25</v>
          </cell>
          <cell r="AQ1094">
            <v>0</v>
          </cell>
          <cell r="AR1094">
            <v>6.9500000000000037</v>
          </cell>
          <cell r="AS1094">
            <v>850.91500000000008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233.25</v>
          </cell>
          <cell r="AZ1094">
            <v>0</v>
          </cell>
          <cell r="BA1094">
            <v>6.9500000000000037</v>
          </cell>
          <cell r="BB1094">
            <v>750.41500000000008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207.25</v>
          </cell>
          <cell r="BI1094">
            <v>0</v>
          </cell>
          <cell r="BJ1094">
            <v>7.150000000000003</v>
          </cell>
          <cell r="BK1094">
            <v>530.995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321.85000000000002</v>
          </cell>
          <cell r="BR1094">
            <v>0</v>
          </cell>
          <cell r="BS1094">
            <v>6.2499999999999991</v>
          </cell>
          <cell r="BT1094">
            <v>550.92999999999995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283.5</v>
          </cell>
          <cell r="CA1094">
            <v>0</v>
          </cell>
          <cell r="CB1094">
            <v>6.2499999999999991</v>
          </cell>
          <cell r="CC1094">
            <v>776.88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205.6</v>
          </cell>
          <cell r="CJ1094">
            <v>0</v>
          </cell>
          <cell r="CK1094">
            <v>6.2499999999999991</v>
          </cell>
          <cell r="CL1094">
            <v>834.33</v>
          </cell>
          <cell r="CM1094">
            <v>0</v>
          </cell>
          <cell r="CN1094">
            <v>0</v>
          </cell>
          <cell r="CO1094">
            <v>0</v>
          </cell>
          <cell r="CP1094">
            <v>0</v>
          </cell>
          <cell r="CQ1094">
            <v>0</v>
          </cell>
          <cell r="CR1094">
            <v>205.6</v>
          </cell>
          <cell r="CS1094">
            <v>0</v>
          </cell>
          <cell r="CT1094">
            <v>6.2499999999999991</v>
          </cell>
          <cell r="CU1094">
            <v>589.78</v>
          </cell>
          <cell r="CV1094">
            <v>0</v>
          </cell>
          <cell r="CW1094">
            <v>0</v>
          </cell>
          <cell r="CX1094">
            <v>0</v>
          </cell>
          <cell r="CY1094">
            <v>0</v>
          </cell>
          <cell r="CZ1094">
            <v>0</v>
          </cell>
          <cell r="DA1094">
            <v>171.6</v>
          </cell>
          <cell r="DB1094">
            <v>0</v>
          </cell>
          <cell r="DC1094">
            <v>6.2499999999999991</v>
          </cell>
          <cell r="DD1094">
            <v>555.505</v>
          </cell>
          <cell r="DE1094">
            <v>0</v>
          </cell>
          <cell r="DF1094">
            <v>0</v>
          </cell>
          <cell r="DG1094">
            <v>0</v>
          </cell>
          <cell r="DH1094">
            <v>0</v>
          </cell>
          <cell r="DI1094">
            <v>0</v>
          </cell>
          <cell r="DJ1094">
            <v>0</v>
          </cell>
          <cell r="DK1094">
            <v>0</v>
          </cell>
          <cell r="DL1094">
            <v>6.2499999999999991</v>
          </cell>
          <cell r="DM1094">
            <v>1177.0050000000001</v>
          </cell>
          <cell r="DN1094">
            <v>0</v>
          </cell>
          <cell r="DO1094">
            <v>0</v>
          </cell>
          <cell r="DP1094">
            <v>0</v>
          </cell>
          <cell r="DQ1094">
            <v>0</v>
          </cell>
          <cell r="DR1094">
            <v>0</v>
          </cell>
        </row>
        <row r="1095">
          <cell r="A1095" t="str">
            <v>FATTY ALCOHOLS</v>
          </cell>
          <cell r="B1095" t="str">
            <v>FG</v>
          </cell>
          <cell r="C1095" t="str">
            <v>FM</v>
          </cell>
          <cell r="D1095" t="str">
            <v>VEGROL C1618TA</v>
          </cell>
          <cell r="I1095">
            <v>493.8</v>
          </cell>
          <cell r="R1095">
            <v>362.39</v>
          </cell>
          <cell r="Z1095">
            <v>299.77999999999997</v>
          </cell>
          <cell r="AI1095">
            <v>299.77999999999997</v>
          </cell>
          <cell r="AS1095">
            <v>572.87584000000004</v>
          </cell>
          <cell r="BB1095">
            <v>572.88</v>
          </cell>
        </row>
        <row r="1096">
          <cell r="A1096">
            <v>256</v>
          </cell>
          <cell r="B1096" t="str">
            <v>FG</v>
          </cell>
          <cell r="C1096" t="str">
            <v>FM</v>
          </cell>
          <cell r="D1096" t="str">
            <v>VEGROL10</v>
          </cell>
          <cell r="I1096">
            <v>183.31745599999999</v>
          </cell>
          <cell r="R1096">
            <v>153.28275199999999</v>
          </cell>
          <cell r="AA1096">
            <v>90</v>
          </cell>
          <cell r="AJ1096">
            <v>77</v>
          </cell>
          <cell r="AS1096">
            <v>506.73</v>
          </cell>
          <cell r="BB1096">
            <v>490.29646400000007</v>
          </cell>
        </row>
        <row r="1097">
          <cell r="A1097">
            <v>161</v>
          </cell>
          <cell r="B1097" t="str">
            <v>FG</v>
          </cell>
          <cell r="C1097" t="str">
            <v>FM</v>
          </cell>
          <cell r="D1097" t="str">
            <v>VEGROL1214</v>
          </cell>
          <cell r="H1097">
            <v>650.04999999999995</v>
          </cell>
          <cell r="I1097">
            <v>1110.8599999999999</v>
          </cell>
          <cell r="Q1097">
            <v>806.23</v>
          </cell>
          <cell r="R1097">
            <v>968.38</v>
          </cell>
          <cell r="V1097">
            <v>69.489999999999995</v>
          </cell>
          <cell r="Z1097">
            <v>1001.87</v>
          </cell>
          <cell r="AA1097">
            <v>2262.61</v>
          </cell>
          <cell r="AI1097">
            <v>1001.87</v>
          </cell>
          <cell r="AJ1097">
            <v>1801.14</v>
          </cell>
          <cell r="AS1097">
            <v>1126.8900000000001</v>
          </cell>
          <cell r="BB1097">
            <v>862.51</v>
          </cell>
          <cell r="BJ1097">
            <v>14.87</v>
          </cell>
          <cell r="BK1097">
            <v>1069</v>
          </cell>
          <cell r="BS1097">
            <v>1003.56</v>
          </cell>
          <cell r="BT1097">
            <v>1700.71</v>
          </cell>
          <cell r="CB1097">
            <v>101.29</v>
          </cell>
          <cell r="CC1097">
            <v>2116.69</v>
          </cell>
          <cell r="CK1097">
            <v>631.65</v>
          </cell>
          <cell r="CL1097">
            <v>940.58</v>
          </cell>
          <cell r="CT1097">
            <v>631.65</v>
          </cell>
          <cell r="CU1097">
            <v>2123.19</v>
          </cell>
          <cell r="DC1097">
            <v>631.65</v>
          </cell>
          <cell r="DD1097">
            <v>2490.27</v>
          </cell>
          <cell r="DL1097">
            <v>631.65</v>
          </cell>
          <cell r="DM1097">
            <v>1250.96</v>
          </cell>
        </row>
        <row r="1098">
          <cell r="A1098">
            <v>162</v>
          </cell>
          <cell r="B1098" t="str">
            <v>FG</v>
          </cell>
          <cell r="C1098" t="str">
            <v>FM</v>
          </cell>
          <cell r="D1098" t="str">
            <v>VEGROL1216</v>
          </cell>
          <cell r="I1098">
            <v>832.16100000000006</v>
          </cell>
          <cell r="R1098">
            <v>1026.82</v>
          </cell>
          <cell r="V1098">
            <v>33.68</v>
          </cell>
          <cell r="Z1098">
            <v>506.39</v>
          </cell>
          <cell r="AA1098">
            <v>747.88</v>
          </cell>
          <cell r="AI1098">
            <v>506.39</v>
          </cell>
          <cell r="AJ1098">
            <v>1392</v>
          </cell>
          <cell r="AS1098">
            <v>1121.76</v>
          </cell>
          <cell r="BB1098">
            <v>776.04</v>
          </cell>
          <cell r="BK1098">
            <v>559</v>
          </cell>
          <cell r="BT1098">
            <v>899.57</v>
          </cell>
          <cell r="CB1098">
            <v>428.57</v>
          </cell>
          <cell r="CC1098">
            <v>286.38</v>
          </cell>
          <cell r="CK1098">
            <v>873.69</v>
          </cell>
          <cell r="CL1098">
            <v>26.12</v>
          </cell>
          <cell r="CT1098">
            <v>1002.83</v>
          </cell>
          <cell r="DC1098">
            <v>1002.83</v>
          </cell>
          <cell r="DD1098">
            <v>0</v>
          </cell>
          <cell r="DL1098">
            <v>1002.83</v>
          </cell>
          <cell r="DM1098">
            <v>677.77</v>
          </cell>
        </row>
        <row r="1099">
          <cell r="A1099">
            <v>163</v>
          </cell>
          <cell r="B1099" t="str">
            <v>FG</v>
          </cell>
          <cell r="C1099" t="str">
            <v>FM</v>
          </cell>
          <cell r="D1099" t="str">
            <v>VEGROL 1218</v>
          </cell>
          <cell r="I1099">
            <v>871.62</v>
          </cell>
          <cell r="R1099">
            <v>876.08</v>
          </cell>
          <cell r="AA1099">
            <v>856.49</v>
          </cell>
          <cell r="AJ1099">
            <v>693.79</v>
          </cell>
          <cell r="AS1099">
            <v>805.19</v>
          </cell>
          <cell r="BB1099">
            <v>789.34</v>
          </cell>
          <cell r="BK1099">
            <v>644</v>
          </cell>
          <cell r="BT1099">
            <v>640.49</v>
          </cell>
          <cell r="CC1099">
            <v>655.44</v>
          </cell>
          <cell r="CL1099">
            <v>691.3</v>
          </cell>
          <cell r="CU1099">
            <v>753</v>
          </cell>
          <cell r="DD1099">
            <v>758.18</v>
          </cell>
          <cell r="DM1099">
            <v>690.76</v>
          </cell>
        </row>
        <row r="1100">
          <cell r="A1100">
            <v>164</v>
          </cell>
          <cell r="B1100" t="str">
            <v>FG</v>
          </cell>
          <cell r="C1100" t="str">
            <v>FM</v>
          </cell>
          <cell r="D1100" t="str">
            <v>VEGROL C1618TA</v>
          </cell>
          <cell r="I1100">
            <v>493.8</v>
          </cell>
          <cell r="R1100">
            <v>362.39</v>
          </cell>
          <cell r="Z1100">
            <v>299.77999999999997</v>
          </cell>
          <cell r="AI1100">
            <v>299.77999999999997</v>
          </cell>
          <cell r="AS1100">
            <v>572.87584000000004</v>
          </cell>
          <cell r="BB1100">
            <v>572.88</v>
          </cell>
          <cell r="BK1100">
            <v>401.2</v>
          </cell>
          <cell r="BT1100">
            <v>27.53</v>
          </cell>
          <cell r="CL1100">
            <v>882.08</v>
          </cell>
          <cell r="CU1100">
            <v>768.99</v>
          </cell>
          <cell r="DD1100">
            <v>646.22</v>
          </cell>
          <cell r="DM1100">
            <v>473.82</v>
          </cell>
        </row>
        <row r="1101">
          <cell r="A1101">
            <v>165</v>
          </cell>
          <cell r="B1101" t="str">
            <v>FG</v>
          </cell>
          <cell r="C1101" t="str">
            <v>FM</v>
          </cell>
          <cell r="D1101" t="str">
            <v>VEGROL C1618(50:50)</v>
          </cell>
          <cell r="I1101">
            <v>183.31745599999999</v>
          </cell>
          <cell r="R1101">
            <v>153.28275199999999</v>
          </cell>
          <cell r="AA1101">
            <v>90</v>
          </cell>
          <cell r="AJ1101">
            <v>77</v>
          </cell>
          <cell r="AS1101">
            <v>506.73</v>
          </cell>
          <cell r="BB1101">
            <v>490.29646400000007</v>
          </cell>
          <cell r="BK1101">
            <v>438</v>
          </cell>
          <cell r="BT1101">
            <v>375.37416000000002</v>
          </cell>
          <cell r="CC1101">
            <v>316.99852800000002</v>
          </cell>
          <cell r="CL1101">
            <v>277.32600000000002</v>
          </cell>
          <cell r="CU1101">
            <v>257.23129600000004</v>
          </cell>
          <cell r="DD1101">
            <v>257.20744000000002</v>
          </cell>
          <cell r="DM1101">
            <v>140.26532799999998</v>
          </cell>
        </row>
        <row r="1102">
          <cell r="A1102">
            <v>166</v>
          </cell>
          <cell r="B1102" t="str">
            <v>FG</v>
          </cell>
          <cell r="C1102" t="str">
            <v>FM</v>
          </cell>
          <cell r="D1102" t="str">
            <v>VEGROL C1618PS</v>
          </cell>
        </row>
        <row r="1103">
          <cell r="A1103">
            <v>167</v>
          </cell>
          <cell r="B1103" t="str">
            <v>FG</v>
          </cell>
          <cell r="C1103" t="str">
            <v>FM</v>
          </cell>
          <cell r="D1103" t="str">
            <v>VEGROL C1698</v>
          </cell>
          <cell r="I1103">
            <v>290.23</v>
          </cell>
          <cell r="R1103">
            <v>561.98</v>
          </cell>
          <cell r="AA1103">
            <v>504.05</v>
          </cell>
          <cell r="AJ1103">
            <v>288.8</v>
          </cell>
          <cell r="AS1103">
            <v>195.93850000000003</v>
          </cell>
          <cell r="BB1103">
            <v>125.82745</v>
          </cell>
          <cell r="BK1103">
            <v>125</v>
          </cell>
          <cell r="BT1103">
            <v>124.90525000000002</v>
          </cell>
          <cell r="CC1103">
            <v>550.17999999999995</v>
          </cell>
          <cell r="CL1103">
            <v>684.69</v>
          </cell>
          <cell r="CU1103">
            <v>676.99</v>
          </cell>
          <cell r="DD1103">
            <v>677.7</v>
          </cell>
          <cell r="DM1103">
            <v>585.71</v>
          </cell>
        </row>
        <row r="1104">
          <cell r="A1104">
            <v>168</v>
          </cell>
          <cell r="B1104" t="str">
            <v>FG</v>
          </cell>
          <cell r="C1104" t="str">
            <v>FM</v>
          </cell>
          <cell r="D1104" t="str">
            <v>VEGROL C1895</v>
          </cell>
        </row>
        <row r="1105">
          <cell r="A1105">
            <v>169</v>
          </cell>
          <cell r="B1105" t="str">
            <v>FG</v>
          </cell>
          <cell r="C1105" t="str">
            <v>FM</v>
          </cell>
          <cell r="D1105" t="str">
            <v>VEGROL C1898</v>
          </cell>
          <cell r="I1105">
            <v>144.49900000000002</v>
          </cell>
          <cell r="R1105">
            <v>154.38190000000003</v>
          </cell>
          <cell r="AA1105">
            <v>47</v>
          </cell>
          <cell r="AJ1105">
            <v>2</v>
          </cell>
          <cell r="AS1105">
            <v>1.9355999999999938</v>
          </cell>
          <cell r="BB1105">
            <v>296.87170000000003</v>
          </cell>
          <cell r="BK1105">
            <v>525</v>
          </cell>
          <cell r="BT1105">
            <v>334.9</v>
          </cell>
          <cell r="CC1105">
            <v>337.22</v>
          </cell>
          <cell r="CL1105">
            <v>216.47</v>
          </cell>
          <cell r="CU1105">
            <v>216.11</v>
          </cell>
          <cell r="DD1105">
            <v>216.06</v>
          </cell>
          <cell r="DM1105">
            <v>208.31</v>
          </cell>
        </row>
        <row r="1106">
          <cell r="A1106">
            <v>170</v>
          </cell>
          <cell r="B1106" t="str">
            <v>FG</v>
          </cell>
          <cell r="C1106" t="str">
            <v>FM</v>
          </cell>
          <cell r="D1106" t="str">
            <v>VEGROL C1822 (seed alc)</v>
          </cell>
          <cell r="F1106">
            <v>0</v>
          </cell>
          <cell r="G1106">
            <v>0</v>
          </cell>
          <cell r="H1106">
            <v>650.04999999999995</v>
          </cell>
          <cell r="I1106">
            <v>3980.0494560000006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806.23</v>
          </cell>
          <cell r="R1106">
            <v>4179.3442519999999</v>
          </cell>
          <cell r="S1106">
            <v>0</v>
          </cell>
          <cell r="T1106">
            <v>0</v>
          </cell>
          <cell r="U1106">
            <v>0</v>
          </cell>
          <cell r="V1106">
            <v>103.16999999999999</v>
          </cell>
          <cell r="W1106">
            <v>0</v>
          </cell>
          <cell r="X1106">
            <v>0</v>
          </cell>
          <cell r="Y1106">
            <v>0</v>
          </cell>
          <cell r="Z1106">
            <v>1808.04</v>
          </cell>
          <cell r="AA1106">
            <v>4508.0300000000007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1808.04</v>
          </cell>
          <cell r="AJ1106">
            <v>4254.7300000000005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4331.3199400000003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3915.7012140000002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K1106">
            <v>30</v>
          </cell>
        </row>
        <row r="1107">
          <cell r="A1107">
            <v>171</v>
          </cell>
          <cell r="B1107" t="str">
            <v>FG</v>
          </cell>
          <cell r="C1107" t="str">
            <v>SM</v>
          </cell>
          <cell r="D1107" t="str">
            <v>VEGROL C20:2250:50</v>
          </cell>
        </row>
        <row r="1108">
          <cell r="A1108">
            <v>172</v>
          </cell>
          <cell r="B1108" t="str">
            <v>FG</v>
          </cell>
          <cell r="C1108" t="str">
            <v>SM</v>
          </cell>
          <cell r="D1108" t="str">
            <v>VEGROL C2280</v>
          </cell>
          <cell r="I1108">
            <v>53.561999999999998</v>
          </cell>
          <cell r="R1108">
            <v>76.029600000000002</v>
          </cell>
          <cell r="AA1108">
            <v>151.26300000000001</v>
          </cell>
          <cell r="AJ1108">
            <v>110.46299999999999</v>
          </cell>
          <cell r="AS1108">
            <v>116.663</v>
          </cell>
          <cell r="BB1108">
            <v>112.663</v>
          </cell>
          <cell r="DM1108">
            <v>401.84140000000002</v>
          </cell>
        </row>
        <row r="1109">
          <cell r="A1109">
            <v>173</v>
          </cell>
          <cell r="B1109" t="str">
            <v>FG</v>
          </cell>
          <cell r="C1109" t="str">
            <v>SM</v>
          </cell>
          <cell r="D1109" t="str">
            <v>VEGROL1216 CONCENTRATED</v>
          </cell>
          <cell r="I1109">
            <v>25.574999999999999</v>
          </cell>
          <cell r="R1109">
            <v>51.575000000000003</v>
          </cell>
          <cell r="AA1109">
            <v>59.975000000000001</v>
          </cell>
          <cell r="AJ1109">
            <v>42</v>
          </cell>
          <cell r="AS1109">
            <v>70.323999999999998</v>
          </cell>
          <cell r="BB1109">
            <v>88.119</v>
          </cell>
          <cell r="CC1109">
            <v>25</v>
          </cell>
        </row>
        <row r="1110">
          <cell r="A1110">
            <v>250</v>
          </cell>
          <cell r="B1110" t="str">
            <v>FG</v>
          </cell>
          <cell r="C1110" t="str">
            <v>SM</v>
          </cell>
          <cell r="D1110" t="str">
            <v>VEGROL C2270</v>
          </cell>
          <cell r="I1110">
            <v>144.49900000000002</v>
          </cell>
          <cell r="R1110">
            <v>154.38190000000003</v>
          </cell>
          <cell r="AA1110">
            <v>47</v>
          </cell>
          <cell r="AJ1110">
            <v>2</v>
          </cell>
          <cell r="AS1110">
            <v>1.9355999999999938</v>
          </cell>
          <cell r="BB1110">
            <v>1.9355999999999938</v>
          </cell>
          <cell r="DM1110">
            <v>99.066100000000006</v>
          </cell>
        </row>
        <row r="1111">
          <cell r="A1111">
            <v>177</v>
          </cell>
          <cell r="B1111" t="str">
            <v>FG</v>
          </cell>
          <cell r="C1111" t="str">
            <v>FM</v>
          </cell>
          <cell r="D1111" t="str">
            <v>VEGROL C1698</v>
          </cell>
          <cell r="F1111">
            <v>0</v>
          </cell>
          <cell r="G1111">
            <v>0</v>
          </cell>
          <cell r="H1111">
            <v>650.04999999999995</v>
          </cell>
          <cell r="I1111">
            <v>3980.0494560000006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806.23</v>
          </cell>
          <cell r="R1111">
            <v>4179.3442519999999</v>
          </cell>
          <cell r="S1111">
            <v>0</v>
          </cell>
          <cell r="T1111">
            <v>0</v>
          </cell>
          <cell r="U1111">
            <v>0</v>
          </cell>
          <cell r="V1111">
            <v>103.16999999999999</v>
          </cell>
          <cell r="W1111">
            <v>0</v>
          </cell>
          <cell r="X1111">
            <v>0</v>
          </cell>
          <cell r="Y1111">
            <v>0</v>
          </cell>
          <cell r="Z1111">
            <v>1808.04</v>
          </cell>
          <cell r="AA1111">
            <v>4508.0300000000007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1808.04</v>
          </cell>
          <cell r="AJ1111">
            <v>4254.7300000000005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4331.3199400000003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3915.7012140000002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14.87</v>
          </cell>
          <cell r="BK1111">
            <v>3791.2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1003.56</v>
          </cell>
          <cell r="BT1111">
            <v>4103.4794099999999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529.86</v>
          </cell>
          <cell r="CC1111">
            <v>4287.9085279999999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1505.3400000000001</v>
          </cell>
          <cell r="CL1111">
            <v>3718.5659999999998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0</v>
          </cell>
          <cell r="CR1111">
            <v>0</v>
          </cell>
          <cell r="CS1111">
            <v>0</v>
          </cell>
          <cell r="CT1111">
            <v>1634.48</v>
          </cell>
          <cell r="CU1111">
            <v>4795.5112959999997</v>
          </cell>
          <cell r="CV1111">
            <v>0</v>
          </cell>
          <cell r="CW1111">
            <v>0</v>
          </cell>
          <cell r="CX1111">
            <v>0</v>
          </cell>
          <cell r="CY1111">
            <v>0</v>
          </cell>
          <cell r="CZ1111">
            <v>0</v>
          </cell>
          <cell r="DA1111">
            <v>0</v>
          </cell>
          <cell r="DB1111">
            <v>0</v>
          </cell>
          <cell r="DC1111">
            <v>1634.48</v>
          </cell>
          <cell r="DD1111">
            <v>5045.6374400000004</v>
          </cell>
          <cell r="DE1111">
            <v>0</v>
          </cell>
          <cell r="DF1111">
            <v>0</v>
          </cell>
          <cell r="DG1111">
            <v>0</v>
          </cell>
          <cell r="DH1111">
            <v>0</v>
          </cell>
          <cell r="DI1111">
            <v>0</v>
          </cell>
          <cell r="DJ1111">
            <v>0</v>
          </cell>
          <cell r="DK1111">
            <v>0</v>
          </cell>
          <cell r="DL1111">
            <v>1634.48</v>
          </cell>
          <cell r="DM1111">
            <v>4528.5028279999997</v>
          </cell>
          <cell r="DN1111">
            <v>0</v>
          </cell>
          <cell r="DO1111">
            <v>0</v>
          </cell>
          <cell r="DP1111">
            <v>0</v>
          </cell>
          <cell r="DQ1111">
            <v>0</v>
          </cell>
          <cell r="DR1111">
            <v>0</v>
          </cell>
        </row>
        <row r="1112">
          <cell r="A1112" t="str">
            <v>PASTILLES</v>
          </cell>
          <cell r="B1112" t="str">
            <v>FG</v>
          </cell>
          <cell r="C1112" t="str">
            <v>FM</v>
          </cell>
          <cell r="D1112" t="str">
            <v>VEGROL C1895</v>
          </cell>
        </row>
        <row r="1113">
          <cell r="A1113">
            <v>174</v>
          </cell>
          <cell r="B1113" t="str">
            <v>FG</v>
          </cell>
          <cell r="C1113" t="str">
            <v>FM</v>
          </cell>
          <cell r="D1113" t="str">
            <v>VEGROL C1618TA</v>
          </cell>
          <cell r="I1113">
            <v>104.038</v>
          </cell>
          <cell r="R1113">
            <v>230.63800000000001</v>
          </cell>
          <cell r="AA1113">
            <v>151.26300000000001</v>
          </cell>
          <cell r="AJ1113">
            <v>110.46299999999999</v>
          </cell>
          <cell r="AS1113">
            <v>116.663</v>
          </cell>
          <cell r="BB1113">
            <v>112.663</v>
          </cell>
          <cell r="BK1113">
            <v>167.988</v>
          </cell>
          <cell r="BT1113">
            <v>168.863</v>
          </cell>
          <cell r="CC1113">
            <v>138.863</v>
          </cell>
          <cell r="CL1113">
            <v>65.863</v>
          </cell>
          <cell r="CU1113">
            <v>184.91300000000001</v>
          </cell>
          <cell r="DD1113">
            <v>244.42699999999999</v>
          </cell>
          <cell r="DM1113">
            <v>132.48500000000001</v>
          </cell>
        </row>
        <row r="1114">
          <cell r="A1114">
            <v>175</v>
          </cell>
          <cell r="B1114" t="str">
            <v>FG</v>
          </cell>
          <cell r="C1114" t="str">
            <v>FM</v>
          </cell>
          <cell r="D1114" t="str">
            <v>VEGROL C1618(50:50)</v>
          </cell>
          <cell r="I1114">
            <v>25.574999999999999</v>
          </cell>
          <cell r="R1114">
            <v>51.575000000000003</v>
          </cell>
          <cell r="AA1114">
            <v>59.975000000000001</v>
          </cell>
          <cell r="AJ1114">
            <v>42</v>
          </cell>
          <cell r="AS1114">
            <v>70.323999999999998</v>
          </cell>
          <cell r="BB1114">
            <v>88.119</v>
          </cell>
          <cell r="BK1114">
            <v>106.926</v>
          </cell>
          <cell r="BT1114">
            <v>127.039</v>
          </cell>
          <cell r="CC1114">
            <v>176.239</v>
          </cell>
          <cell r="CL1114">
            <v>75.731999999999999</v>
          </cell>
          <cell r="CU1114">
            <v>85.807000000000002</v>
          </cell>
          <cell r="DD1114">
            <v>69.281999999999996</v>
          </cell>
          <cell r="DM1114">
            <v>131.63200000000001</v>
          </cell>
        </row>
        <row r="1115">
          <cell r="A1115">
            <v>176</v>
          </cell>
          <cell r="B1115" t="str">
            <v>FG</v>
          </cell>
          <cell r="C1115" t="str">
            <v>FM</v>
          </cell>
          <cell r="D1115" t="str">
            <v>VEGROL C1618PS</v>
          </cell>
          <cell r="I1115">
            <v>74.384</v>
          </cell>
          <cell r="R1115">
            <v>62.283999999999999</v>
          </cell>
          <cell r="AA1115">
            <v>105.28400000000001</v>
          </cell>
          <cell r="AJ1115">
            <v>135.553</v>
          </cell>
          <cell r="AS1115">
            <v>116.053</v>
          </cell>
          <cell r="BB1115">
            <v>114.753</v>
          </cell>
        </row>
        <row r="1116">
          <cell r="A1116">
            <v>177</v>
          </cell>
          <cell r="B1116" t="str">
            <v>FG</v>
          </cell>
          <cell r="C1116" t="str">
            <v>FM</v>
          </cell>
          <cell r="D1116" t="str">
            <v>VEGROL C1698</v>
          </cell>
          <cell r="I1116">
            <v>60.84</v>
          </cell>
          <cell r="R1116">
            <v>110.32</v>
          </cell>
          <cell r="AA1116">
            <v>126.84</v>
          </cell>
          <cell r="AJ1116">
            <v>263.7</v>
          </cell>
          <cell r="AS1116">
            <v>166.97</v>
          </cell>
          <cell r="BB1116">
            <v>234.47</v>
          </cell>
          <cell r="BK1116">
            <v>218.47</v>
          </cell>
          <cell r="BT1116">
            <v>160.27000000000001</v>
          </cell>
          <cell r="CC1116">
            <v>248.29</v>
          </cell>
          <cell r="CL1116">
            <v>168.13</v>
          </cell>
          <cell r="CU1116">
            <v>144.13</v>
          </cell>
          <cell r="DD1116">
            <v>130.13</v>
          </cell>
          <cell r="DM1116">
            <v>60.16</v>
          </cell>
        </row>
        <row r="1117">
          <cell r="A1117">
            <v>178</v>
          </cell>
          <cell r="B1117" t="str">
            <v>FG</v>
          </cell>
          <cell r="C1117" t="str">
            <v>FM</v>
          </cell>
          <cell r="D1117" t="str">
            <v>VEGROL C1895</v>
          </cell>
          <cell r="I1117">
            <v>207</v>
          </cell>
          <cell r="R1117">
            <v>207</v>
          </cell>
          <cell r="AA1117">
            <v>207</v>
          </cell>
          <cell r="AJ1117">
            <v>207</v>
          </cell>
          <cell r="AS1117">
            <v>207</v>
          </cell>
          <cell r="BB1117">
            <v>207</v>
          </cell>
        </row>
        <row r="1118">
          <cell r="A1118">
            <v>179</v>
          </cell>
          <cell r="B1118" t="str">
            <v>FG</v>
          </cell>
          <cell r="C1118" t="str">
            <v>FM</v>
          </cell>
          <cell r="D1118" t="str">
            <v>VEGROL C1898</v>
          </cell>
          <cell r="F1118">
            <v>0</v>
          </cell>
          <cell r="G1118">
            <v>0</v>
          </cell>
          <cell r="H1118">
            <v>0</v>
          </cell>
          <cell r="I1118">
            <v>29.4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7.7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4.7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4.7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2.0499999999999998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30.13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K1118">
            <v>11.05</v>
          </cell>
          <cell r="BT1118">
            <v>116.83</v>
          </cell>
          <cell r="CC1118">
            <v>99.83</v>
          </cell>
          <cell r="CL1118">
            <v>217.81</v>
          </cell>
          <cell r="CU1118">
            <v>215.96</v>
          </cell>
          <cell r="DD1118">
            <v>188.31</v>
          </cell>
          <cell r="DM1118">
            <v>195.84</v>
          </cell>
        </row>
        <row r="1119">
          <cell r="A1119">
            <v>180</v>
          </cell>
          <cell r="B1119" t="str">
            <v>FG</v>
          </cell>
          <cell r="C1119" t="str">
            <v>FM</v>
          </cell>
          <cell r="D1119" t="str">
            <v>VEGROL C1822</v>
          </cell>
          <cell r="I1119">
            <v>7.8</v>
          </cell>
          <cell r="R1119">
            <v>7.8</v>
          </cell>
          <cell r="AA1119">
            <v>18.600000000000001</v>
          </cell>
          <cell r="AJ1119">
            <v>4.0999999999999996</v>
          </cell>
          <cell r="AS1119">
            <v>3.6</v>
          </cell>
          <cell r="BB1119">
            <v>3.6</v>
          </cell>
          <cell r="BK1119">
            <v>3.6</v>
          </cell>
          <cell r="BT1119">
            <v>5.125</v>
          </cell>
          <cell r="CC1119">
            <v>5.125</v>
          </cell>
          <cell r="CL1119">
            <v>5.125</v>
          </cell>
          <cell r="CU1119">
            <v>5.125</v>
          </cell>
          <cell r="DD1119">
            <v>0.82499999999999996</v>
          </cell>
          <cell r="DM1119">
            <v>0.82499999999999996</v>
          </cell>
        </row>
        <row r="1120">
          <cell r="A1120">
            <v>181</v>
          </cell>
          <cell r="B1120" t="str">
            <v>FG</v>
          </cell>
          <cell r="C1120" t="str">
            <v>FM</v>
          </cell>
          <cell r="D1120" t="str">
            <v>VEGROL C22</v>
          </cell>
          <cell r="I1120">
            <v>74.384</v>
          </cell>
          <cell r="R1120">
            <v>62.283999999999999</v>
          </cell>
          <cell r="AA1120">
            <v>105.28400000000001</v>
          </cell>
          <cell r="AJ1120">
            <v>135.553</v>
          </cell>
          <cell r="AS1120">
            <v>116.053</v>
          </cell>
          <cell r="BB1120">
            <v>114.753</v>
          </cell>
          <cell r="BK1120">
            <v>104.753</v>
          </cell>
          <cell r="BT1120">
            <v>81.608999999999995</v>
          </cell>
          <cell r="CC1120">
            <v>57.609000000000002</v>
          </cell>
          <cell r="CL1120">
            <v>43.109000000000002</v>
          </cell>
          <cell r="CU1120">
            <v>33.933999999999997</v>
          </cell>
          <cell r="DD1120">
            <v>28.434000000000001</v>
          </cell>
          <cell r="DM1120">
            <v>19.434000000000001</v>
          </cell>
        </row>
        <row r="1121">
          <cell r="A1121">
            <v>182</v>
          </cell>
          <cell r="B1121" t="str">
            <v>FG</v>
          </cell>
          <cell r="C1121" t="str">
            <v>FM</v>
          </cell>
          <cell r="D1121" t="str">
            <v>VEGROL C2280</v>
          </cell>
          <cell r="I1121">
            <v>17.25</v>
          </cell>
          <cell r="R1121">
            <v>17.25</v>
          </cell>
          <cell r="AA1121">
            <v>17.25</v>
          </cell>
          <cell r="AJ1121">
            <v>17.25</v>
          </cell>
          <cell r="AS1121">
            <v>17.25</v>
          </cell>
          <cell r="BB1121">
            <v>17.25</v>
          </cell>
          <cell r="BK1121">
            <v>17.25</v>
          </cell>
          <cell r="BT1121">
            <v>17.25</v>
          </cell>
          <cell r="CC1121">
            <v>17.25</v>
          </cell>
          <cell r="CL1121">
            <v>17.25</v>
          </cell>
          <cell r="CU1121">
            <v>17.25</v>
          </cell>
          <cell r="DD1121">
            <v>17.25</v>
          </cell>
          <cell r="DM1121">
            <v>17.25</v>
          </cell>
        </row>
        <row r="1122">
          <cell r="A1122">
            <v>183</v>
          </cell>
          <cell r="B1122" t="str">
            <v>FG</v>
          </cell>
          <cell r="C1122" t="str">
            <v>FM</v>
          </cell>
          <cell r="D1122" t="str">
            <v>OFF GRADE PASTILLES</v>
          </cell>
          <cell r="I1122">
            <v>207</v>
          </cell>
          <cell r="R1122">
            <v>207</v>
          </cell>
          <cell r="AA1122">
            <v>207</v>
          </cell>
          <cell r="AJ1122">
            <v>207</v>
          </cell>
          <cell r="AS1122">
            <v>207</v>
          </cell>
          <cell r="BB1122">
            <v>207</v>
          </cell>
          <cell r="BK1122">
            <v>265</v>
          </cell>
          <cell r="BT1122">
            <v>265</v>
          </cell>
          <cell r="CC1122">
            <v>265</v>
          </cell>
          <cell r="CL1122">
            <v>265</v>
          </cell>
          <cell r="CU1122">
            <v>265</v>
          </cell>
          <cell r="DD1122">
            <v>265</v>
          </cell>
          <cell r="DM1122">
            <v>270</v>
          </cell>
        </row>
        <row r="1123">
          <cell r="A1123">
            <v>262</v>
          </cell>
          <cell r="B1123" t="str">
            <v>FG</v>
          </cell>
          <cell r="C1123" t="str">
            <v>FM</v>
          </cell>
          <cell r="D1123" t="str">
            <v>STEARYL ALCOHOL</v>
          </cell>
          <cell r="I1123">
            <v>334.22256000000004</v>
          </cell>
          <cell r="R1123">
            <v>373.98256000000003</v>
          </cell>
          <cell r="AA1123">
            <v>1198.3</v>
          </cell>
          <cell r="AJ1123">
            <v>1218</v>
          </cell>
          <cell r="AS1123">
            <v>601.1</v>
          </cell>
          <cell r="BB1123">
            <v>1320.8</v>
          </cell>
          <cell r="DM1123">
            <v>192</v>
          </cell>
        </row>
        <row r="1124">
          <cell r="A1124">
            <v>188</v>
          </cell>
          <cell r="B1124" t="str">
            <v>IPRM</v>
          </cell>
          <cell r="C1124" t="str">
            <v>NM</v>
          </cell>
          <cell r="D1124" t="str">
            <v>ALCOHOL-L/E-2(C12C18)</v>
          </cell>
          <cell r="F1124">
            <v>0</v>
          </cell>
          <cell r="G1124">
            <v>0</v>
          </cell>
          <cell r="H1124">
            <v>0</v>
          </cell>
          <cell r="I1124">
            <v>526.28700000000003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694.56700000000001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690.91200000000003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784.76600000000008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699.91000000000008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807.98500000000001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895.03700000000003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941.9860000000001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1008.206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858.01900000000012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952.11900000000003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943.65800000000002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  <cell r="DL1124">
            <v>0</v>
          </cell>
          <cell r="DM1124">
            <v>1019.6260000000001</v>
          </cell>
          <cell r="DN1124">
            <v>0</v>
          </cell>
          <cell r="DO1124">
            <v>0</v>
          </cell>
          <cell r="DP1124">
            <v>0</v>
          </cell>
          <cell r="DQ1124">
            <v>0</v>
          </cell>
          <cell r="DR1124">
            <v>0</v>
          </cell>
        </row>
        <row r="1125">
          <cell r="A1125" t="str">
            <v xml:space="preserve">ALCOHOL-INTERMEDIATES </v>
          </cell>
          <cell r="B1125" t="str">
            <v>IPRM</v>
          </cell>
          <cell r="C1125" t="str">
            <v>NM</v>
          </cell>
          <cell r="D1125" t="str">
            <v>ALCOHOL-C16RICH</v>
          </cell>
        </row>
        <row r="1126">
          <cell r="A1126">
            <v>184</v>
          </cell>
          <cell r="B1126" t="str">
            <v>IPRM</v>
          </cell>
          <cell r="C1126" t="str">
            <v>NM</v>
          </cell>
          <cell r="D1126" t="str">
            <v>ALCOHOL-L/E-C-12 88%</v>
          </cell>
          <cell r="AJ1126">
            <v>35</v>
          </cell>
        </row>
        <row r="1127">
          <cell r="A1127">
            <v>185</v>
          </cell>
          <cell r="B1127" t="str">
            <v>IPRM</v>
          </cell>
          <cell r="C1127" t="str">
            <v>NM</v>
          </cell>
          <cell r="D1127" t="str">
            <v>ALCOHOL-L/E-1(1214)</v>
          </cell>
          <cell r="I1127">
            <v>245.7</v>
          </cell>
          <cell r="R1127">
            <v>235.4</v>
          </cell>
          <cell r="AA1127">
            <v>166.6</v>
          </cell>
          <cell r="AJ1127">
            <v>132.24</v>
          </cell>
          <cell r="AS1127">
            <v>148.32</v>
          </cell>
          <cell r="BB1127">
            <v>148.32</v>
          </cell>
          <cell r="BK1127">
            <v>151.44</v>
          </cell>
          <cell r="BT1127">
            <v>162.80000000000001</v>
          </cell>
          <cell r="CC1127">
            <v>145.68</v>
          </cell>
          <cell r="CL1127">
            <v>44.64</v>
          </cell>
          <cell r="CU1127">
            <v>19.36</v>
          </cell>
        </row>
        <row r="1128">
          <cell r="A1128">
            <v>186</v>
          </cell>
          <cell r="B1128" t="str">
            <v>IPRM</v>
          </cell>
          <cell r="C1128" t="str">
            <v>NM</v>
          </cell>
          <cell r="D1128" t="str">
            <v>ALCOHOL-L/E-2(C12C16)</v>
          </cell>
          <cell r="I1128">
            <v>199.2</v>
          </cell>
          <cell r="R1128">
            <v>218.95599999999999</v>
          </cell>
          <cell r="AA1128">
            <v>218.95599999999999</v>
          </cell>
          <cell r="AJ1128">
            <v>218.95599999999999</v>
          </cell>
          <cell r="AS1128">
            <v>379.99</v>
          </cell>
          <cell r="BB1128">
            <v>379.99</v>
          </cell>
        </row>
        <row r="1129">
          <cell r="A1129">
            <v>187</v>
          </cell>
          <cell r="B1129" t="str">
            <v>IPRM</v>
          </cell>
          <cell r="C1129" t="str">
            <v>NM</v>
          </cell>
          <cell r="D1129" t="str">
            <v>ALCOHOL-L/E-C1618,22</v>
          </cell>
          <cell r="I1129">
            <v>334.22256000000004</v>
          </cell>
          <cell r="R1129">
            <v>373.98256000000003</v>
          </cell>
          <cell r="AA1129">
            <v>1198.3</v>
          </cell>
          <cell r="AJ1129">
            <v>1218</v>
          </cell>
          <cell r="AS1129">
            <v>601.1</v>
          </cell>
          <cell r="BB1129">
            <v>1320.8</v>
          </cell>
          <cell r="BK1129">
            <v>1346.3</v>
          </cell>
          <cell r="BT1129">
            <v>1346.3</v>
          </cell>
          <cell r="CC1129">
            <v>1437.7</v>
          </cell>
          <cell r="CL1129">
            <v>1456.9</v>
          </cell>
          <cell r="CU1129">
            <v>1456.9</v>
          </cell>
          <cell r="DD1129">
            <v>1456.9</v>
          </cell>
          <cell r="DM1129">
            <v>1456.9</v>
          </cell>
        </row>
        <row r="1130">
          <cell r="A1130">
            <v>188</v>
          </cell>
          <cell r="B1130" t="str">
            <v>IPRM</v>
          </cell>
          <cell r="C1130" t="str">
            <v>NM</v>
          </cell>
          <cell r="D1130" t="str">
            <v>ALCOHOL-L/E-2(C12C18)</v>
          </cell>
          <cell r="I1130">
            <v>170</v>
          </cell>
          <cell r="R1130">
            <v>170</v>
          </cell>
          <cell r="AA1130">
            <v>170</v>
          </cell>
          <cell r="AJ1130">
            <v>170</v>
          </cell>
          <cell r="AS1130">
            <v>170</v>
          </cell>
        </row>
        <row r="1131">
          <cell r="A1131">
            <v>189</v>
          </cell>
          <cell r="B1131" t="str">
            <v>IPRM</v>
          </cell>
          <cell r="C1131" t="str">
            <v>NM</v>
          </cell>
          <cell r="D1131" t="str">
            <v>ALCOHOL-C16RICH</v>
          </cell>
          <cell r="I1131">
            <v>142</v>
          </cell>
          <cell r="R1131">
            <v>109.4238</v>
          </cell>
          <cell r="AA1131">
            <v>106.8639</v>
          </cell>
          <cell r="AJ1131">
            <v>107</v>
          </cell>
          <cell r="AS1131">
            <v>21</v>
          </cell>
        </row>
        <row r="1132">
          <cell r="A1132">
            <v>190</v>
          </cell>
          <cell r="B1132" t="str">
            <v>IPRM</v>
          </cell>
          <cell r="C1132" t="str">
            <v>NM</v>
          </cell>
          <cell r="D1132" t="str">
            <v>ALCOHOL-CRUDE / L/E'S</v>
          </cell>
          <cell r="I1132">
            <v>170</v>
          </cell>
          <cell r="R1132">
            <v>170</v>
          </cell>
          <cell r="AA1132">
            <v>118.96987200000001</v>
          </cell>
          <cell r="AJ1132">
            <v>35</v>
          </cell>
          <cell r="AS1132">
            <v>170</v>
          </cell>
        </row>
        <row r="1133">
          <cell r="A1133">
            <v>191</v>
          </cell>
          <cell r="B1133" t="str">
            <v>IPRM</v>
          </cell>
          <cell r="C1133" t="str">
            <v>NM</v>
          </cell>
          <cell r="D1133" t="str">
            <v>L/E of ALC . 18</v>
          </cell>
          <cell r="AA1133">
            <v>346.85033600000003</v>
          </cell>
        </row>
        <row r="1134">
          <cell r="A1134">
            <v>192</v>
          </cell>
          <cell r="B1134" t="str">
            <v>IPRM</v>
          </cell>
          <cell r="C1134" t="str">
            <v>NM</v>
          </cell>
          <cell r="D1134" t="str">
            <v>L.E.of C 1822</v>
          </cell>
          <cell r="R1134">
            <v>379.99</v>
          </cell>
          <cell r="AA1134">
            <v>379.99</v>
          </cell>
          <cell r="AJ1134">
            <v>379.99</v>
          </cell>
          <cell r="AS1134">
            <v>379.99</v>
          </cell>
          <cell r="BB1134">
            <v>379.99</v>
          </cell>
          <cell r="BK1134">
            <v>379.99</v>
          </cell>
          <cell r="BT1134">
            <v>379.99</v>
          </cell>
          <cell r="CC1134">
            <v>379.99</v>
          </cell>
          <cell r="CL1134">
            <v>379.99</v>
          </cell>
          <cell r="CU1134">
            <v>380</v>
          </cell>
          <cell r="DD1134">
            <v>379.99</v>
          </cell>
          <cell r="DM1134">
            <v>379.99</v>
          </cell>
        </row>
        <row r="1135">
          <cell r="A1135">
            <v>251</v>
          </cell>
          <cell r="B1135" t="str">
            <v>IPRM</v>
          </cell>
          <cell r="C1135" t="str">
            <v>NM</v>
          </cell>
          <cell r="D1135" t="str">
            <v>ALCOHOL-C12/C14 (seed alc)</v>
          </cell>
          <cell r="I1135">
            <v>170</v>
          </cell>
          <cell r="R1135">
            <v>170</v>
          </cell>
          <cell r="AA1135">
            <v>170</v>
          </cell>
          <cell r="AJ1135">
            <v>170</v>
          </cell>
          <cell r="AS1135">
            <v>170</v>
          </cell>
          <cell r="BK1135">
            <v>170</v>
          </cell>
          <cell r="BT1135">
            <v>170</v>
          </cell>
          <cell r="CC1135">
            <v>170</v>
          </cell>
          <cell r="CL1135">
            <v>170</v>
          </cell>
          <cell r="CU1135">
            <v>170</v>
          </cell>
          <cell r="DD1135">
            <v>170</v>
          </cell>
          <cell r="DM1135">
            <v>170</v>
          </cell>
        </row>
        <row r="1136">
          <cell r="A1136">
            <v>252</v>
          </cell>
          <cell r="B1136" t="str">
            <v>IPRM</v>
          </cell>
          <cell r="C1136" t="str">
            <v>NM</v>
          </cell>
          <cell r="D1136" t="str">
            <v>ALCOHOL-C16 98 (seed alc)</v>
          </cell>
          <cell r="I1136">
            <v>170</v>
          </cell>
          <cell r="R1136">
            <v>170</v>
          </cell>
          <cell r="AA1136">
            <v>170</v>
          </cell>
          <cell r="AJ1136">
            <v>170</v>
          </cell>
          <cell r="AS1136">
            <v>170</v>
          </cell>
          <cell r="BK1136">
            <v>170</v>
          </cell>
          <cell r="BT1136">
            <v>170</v>
          </cell>
          <cell r="CC1136">
            <v>170</v>
          </cell>
          <cell r="CL1136">
            <v>170</v>
          </cell>
          <cell r="CU1136">
            <v>170</v>
          </cell>
          <cell r="DD1136">
            <v>170</v>
          </cell>
          <cell r="DM1136">
            <v>170</v>
          </cell>
        </row>
        <row r="1137">
          <cell r="A1137">
            <v>253</v>
          </cell>
          <cell r="B1137" t="str">
            <v>IPRM</v>
          </cell>
          <cell r="C1137" t="str">
            <v>NM</v>
          </cell>
          <cell r="D1137" t="str">
            <v>ALCOHOL-C18 98 (seed alc)</v>
          </cell>
          <cell r="I1137">
            <v>142</v>
          </cell>
          <cell r="R1137">
            <v>109.4238</v>
          </cell>
          <cell r="AA1137">
            <v>106.8639</v>
          </cell>
          <cell r="AJ1137">
            <v>107</v>
          </cell>
          <cell r="AS1137">
            <v>21</v>
          </cell>
          <cell r="BB1137">
            <v>110.5368</v>
          </cell>
          <cell r="BK1137">
            <v>170</v>
          </cell>
          <cell r="BT1137">
            <v>170</v>
          </cell>
          <cell r="CC1137">
            <v>170</v>
          </cell>
          <cell r="CL1137">
            <v>170</v>
          </cell>
          <cell r="CU1137">
            <v>170</v>
          </cell>
          <cell r="DD1137">
            <v>170</v>
          </cell>
          <cell r="DM1137">
            <v>170</v>
          </cell>
        </row>
        <row r="1138">
          <cell r="A1138">
            <v>254</v>
          </cell>
          <cell r="B1138" t="str">
            <v>IPRM</v>
          </cell>
          <cell r="C1138" t="str">
            <v>NM</v>
          </cell>
          <cell r="D1138" t="str">
            <v>ALCOHOL-C16/C18 TA (seed alc)</v>
          </cell>
          <cell r="I1138">
            <v>170</v>
          </cell>
          <cell r="R1138">
            <v>170</v>
          </cell>
          <cell r="AA1138">
            <v>118.96987200000001</v>
          </cell>
          <cell r="AJ1138">
            <v>119</v>
          </cell>
          <cell r="AS1138">
            <v>170</v>
          </cell>
          <cell r="BK1138">
            <v>170</v>
          </cell>
          <cell r="BT1138">
            <v>170</v>
          </cell>
          <cell r="CC1138">
            <v>140.345</v>
          </cell>
          <cell r="CL1138">
            <v>170</v>
          </cell>
          <cell r="CU1138">
            <v>170</v>
          </cell>
          <cell r="DD1138">
            <v>170</v>
          </cell>
          <cell r="DM1138">
            <v>170</v>
          </cell>
        </row>
        <row r="1139">
          <cell r="A1139">
            <v>193</v>
          </cell>
          <cell r="B1139" t="str">
            <v>IPRM</v>
          </cell>
          <cell r="C1139" t="str">
            <v>NM</v>
          </cell>
          <cell r="D1139" t="str">
            <v>ALCOHOL-C16/C18 (seed alc)</v>
          </cell>
          <cell r="AA1139">
            <v>346.85033600000003</v>
          </cell>
          <cell r="AS1139">
            <v>22.704429999999999</v>
          </cell>
          <cell r="BB1139">
            <v>22.704429999999999</v>
          </cell>
        </row>
        <row r="1140">
          <cell r="A1140">
            <v>194</v>
          </cell>
          <cell r="B1140" t="str">
            <v>IPRM</v>
          </cell>
          <cell r="C1140" t="str">
            <v>NM</v>
          </cell>
          <cell r="D1140" t="str">
            <v>ALCOHOL-C18/C22 (seed alc)</v>
          </cell>
          <cell r="I1140">
            <v>1611.2</v>
          </cell>
          <cell r="AA1140">
            <v>241.345</v>
          </cell>
          <cell r="AS1140">
            <v>218.95599999999999</v>
          </cell>
          <cell r="BB1140">
            <v>218.95599999999999</v>
          </cell>
          <cell r="CU1140">
            <v>241.345</v>
          </cell>
        </row>
        <row r="1141">
          <cell r="A1141">
            <v>255</v>
          </cell>
          <cell r="B1141" t="str">
            <v>IPRM</v>
          </cell>
          <cell r="C1141" t="str">
            <v>NM</v>
          </cell>
          <cell r="D1141" t="str">
            <v>ALCOHOL-C22 70 (seed alc)</v>
          </cell>
          <cell r="I1141">
            <v>170</v>
          </cell>
          <cell r="R1141">
            <v>170</v>
          </cell>
          <cell r="AA1141">
            <v>170</v>
          </cell>
          <cell r="AJ1141">
            <v>170</v>
          </cell>
          <cell r="AS1141">
            <v>170</v>
          </cell>
          <cell r="BB1141">
            <v>612.36400000000003</v>
          </cell>
          <cell r="BK1141">
            <v>151</v>
          </cell>
          <cell r="BT1141">
            <v>151.9486</v>
          </cell>
          <cell r="CC1141">
            <v>151.94900000000001</v>
          </cell>
          <cell r="CL1141">
            <v>151.88999999999999</v>
          </cell>
          <cell r="CU1141">
            <v>151.8775</v>
          </cell>
          <cell r="DD1141">
            <v>128.4777</v>
          </cell>
          <cell r="DM1141">
            <v>170</v>
          </cell>
        </row>
        <row r="1142">
          <cell r="A1142">
            <v>195</v>
          </cell>
          <cell r="B1142" t="str">
            <v>IPRM</v>
          </cell>
          <cell r="C1142" t="str">
            <v>NM</v>
          </cell>
          <cell r="D1142" t="str">
            <v>Int. Alc.20-22</v>
          </cell>
          <cell r="I1142">
            <v>621.29</v>
          </cell>
          <cell r="R1142">
            <v>241.345</v>
          </cell>
          <cell r="AJ1142">
            <v>241.345</v>
          </cell>
          <cell r="AS1142">
            <v>241.345</v>
          </cell>
          <cell r="BB1142">
            <v>241.345</v>
          </cell>
        </row>
        <row r="1143">
          <cell r="A1143">
            <v>196</v>
          </cell>
          <cell r="B1143" t="str">
            <v>IPRM</v>
          </cell>
          <cell r="C1143" t="str">
            <v>NM</v>
          </cell>
          <cell r="D1143" t="str">
            <v>ALCOHOL-RESIDUE</v>
          </cell>
          <cell r="BB1143">
            <v>110.5368</v>
          </cell>
          <cell r="BK1143">
            <v>198.13</v>
          </cell>
          <cell r="BT1143">
            <v>196.04</v>
          </cell>
          <cell r="CC1143">
            <v>111.248</v>
          </cell>
          <cell r="CL1143">
            <v>102.73599999999999</v>
          </cell>
          <cell r="CU1143">
            <v>102.35</v>
          </cell>
          <cell r="DD1143">
            <v>101.68</v>
          </cell>
          <cell r="DM1143">
            <v>101.68</v>
          </cell>
        </row>
        <row r="1144">
          <cell r="A1144">
            <v>197</v>
          </cell>
          <cell r="B1144" t="str">
            <v>IPRM</v>
          </cell>
          <cell r="C1144" t="str">
            <v>NM</v>
          </cell>
          <cell r="D1144" t="str">
            <v>ALCOHOL-HYDROCARBON</v>
          </cell>
        </row>
        <row r="1145">
          <cell r="A1145">
            <v>198</v>
          </cell>
          <cell r="B1145" t="str">
            <v>IPRM</v>
          </cell>
          <cell r="C1145" t="str">
            <v>NM</v>
          </cell>
          <cell r="D1145" t="str">
            <v>Int. Alc. V1218</v>
          </cell>
          <cell r="AS1145">
            <v>22.704429999999999</v>
          </cell>
          <cell r="BB1145">
            <v>22.704429999999999</v>
          </cell>
          <cell r="DD1145">
            <v>56.8</v>
          </cell>
          <cell r="DM1145">
            <v>203.2</v>
          </cell>
        </row>
        <row r="1146">
          <cell r="A1146">
            <v>199</v>
          </cell>
          <cell r="B1146" t="str">
            <v>IPRM</v>
          </cell>
          <cell r="C1146" t="str">
            <v>NM</v>
          </cell>
          <cell r="D1146" t="str">
            <v>Int. Alc. V1216</v>
          </cell>
          <cell r="I1146">
            <v>1611.2</v>
          </cell>
          <cell r="AS1146">
            <v>218.95599999999999</v>
          </cell>
          <cell r="BB1146">
            <v>218.95599999999999</v>
          </cell>
          <cell r="BK1146">
            <v>218.95599999999999</v>
          </cell>
          <cell r="BT1146">
            <v>218.95599999999999</v>
          </cell>
          <cell r="CC1146">
            <v>232.845</v>
          </cell>
          <cell r="CL1146">
            <v>206.21079999999998</v>
          </cell>
          <cell r="CU1146">
            <v>206.21079999999998</v>
          </cell>
          <cell r="DD1146">
            <v>206.21079999999998</v>
          </cell>
          <cell r="DM1146">
            <v>206.21079999999998</v>
          </cell>
        </row>
        <row r="1147">
          <cell r="A1147">
            <v>200</v>
          </cell>
          <cell r="B1147" t="str">
            <v>IPRM</v>
          </cell>
          <cell r="C1147" t="str">
            <v>NM</v>
          </cell>
          <cell r="D1147" t="str">
            <v>Int. Alc. V1618</v>
          </cell>
          <cell r="I1147">
            <v>99.563700000000011</v>
          </cell>
          <cell r="R1147">
            <v>1561.9</v>
          </cell>
          <cell r="AA1147">
            <v>390.42</v>
          </cell>
          <cell r="AJ1147">
            <v>737.19</v>
          </cell>
          <cell r="AS1147">
            <v>905.56400000000008</v>
          </cell>
          <cell r="BB1147">
            <v>612.36400000000003</v>
          </cell>
          <cell r="BK1147">
            <v>249.09640000000002</v>
          </cell>
          <cell r="BT1147">
            <v>248.77036799999999</v>
          </cell>
          <cell r="CC1147">
            <v>248.77036799999999</v>
          </cell>
          <cell r="CL1147">
            <v>178.45083199999999</v>
          </cell>
          <cell r="CU1147">
            <v>178.27588800000001</v>
          </cell>
          <cell r="DD1147">
            <v>178.22817599999999</v>
          </cell>
          <cell r="DM1147">
            <v>205.87727999999998</v>
          </cell>
        </row>
        <row r="1148">
          <cell r="A1148">
            <v>259</v>
          </cell>
          <cell r="B1148" t="str">
            <v>IPRM</v>
          </cell>
          <cell r="C1148" t="str">
            <v>NM</v>
          </cell>
          <cell r="D1148" t="str">
            <v>Int. Alc. V1822</v>
          </cell>
          <cell r="I1148">
            <v>621.29</v>
          </cell>
          <cell r="R1148">
            <v>241.345</v>
          </cell>
          <cell r="AA1148">
            <v>175.86351428571427</v>
          </cell>
          <cell r="AJ1148">
            <v>241.345</v>
          </cell>
          <cell r="AS1148">
            <v>241.345</v>
          </cell>
          <cell r="BB1148">
            <v>241.345</v>
          </cell>
          <cell r="BK1148">
            <v>241.345</v>
          </cell>
          <cell r="BT1148">
            <v>241.345</v>
          </cell>
          <cell r="CC1148">
            <v>241.345</v>
          </cell>
          <cell r="CL1148">
            <v>241.345</v>
          </cell>
          <cell r="DD1148">
            <v>241.345</v>
          </cell>
          <cell r="DM1148">
            <v>241.345</v>
          </cell>
        </row>
        <row r="1149">
          <cell r="A1149">
            <v>201</v>
          </cell>
          <cell r="B1149" t="str">
            <v>IPRM</v>
          </cell>
          <cell r="C1149" t="str">
            <v>NM</v>
          </cell>
          <cell r="D1149" t="str">
            <v>Wax ester 1214/1618</v>
          </cell>
        </row>
        <row r="1150">
          <cell r="A1150">
            <v>202</v>
          </cell>
          <cell r="B1150" t="str">
            <v>IPRM</v>
          </cell>
          <cell r="C1150" t="str">
            <v>NM</v>
          </cell>
          <cell r="D1150" t="str">
            <v>Wax ester 1216/1218</v>
          </cell>
          <cell r="F1150">
            <v>0</v>
          </cell>
          <cell r="G1150">
            <v>0</v>
          </cell>
          <cell r="H1150">
            <v>0</v>
          </cell>
          <cell r="I1150">
            <v>4095.0329457142857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4075.8083742857143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3953.0508222857143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3984.1456714285709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3841.3074299999998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3152.2858728571427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</row>
        <row r="1151">
          <cell r="A1151">
            <v>203</v>
          </cell>
          <cell r="B1151" t="str">
            <v>IPRM</v>
          </cell>
          <cell r="C1151" t="str">
            <v>SM</v>
          </cell>
          <cell r="D1151" t="str">
            <v>ALCOHOL Residue 1618</v>
          </cell>
        </row>
        <row r="1152">
          <cell r="A1152">
            <v>204</v>
          </cell>
          <cell r="B1152" t="str">
            <v>IPRM</v>
          </cell>
          <cell r="C1152" t="str">
            <v>SM</v>
          </cell>
          <cell r="D1152" t="str">
            <v>ALCOHOL Residue 1822</v>
          </cell>
          <cell r="E1152" t="str">
            <v>AL</v>
          </cell>
          <cell r="I1152">
            <v>32.6</v>
          </cell>
          <cell r="N1152">
            <v>14.39</v>
          </cell>
          <cell r="R1152">
            <v>0.6</v>
          </cell>
          <cell r="W1152">
            <v>14.39</v>
          </cell>
          <cell r="AA1152">
            <v>21.8</v>
          </cell>
          <cell r="AB1152">
            <v>139.56</v>
          </cell>
          <cell r="AE1152">
            <v>188.4</v>
          </cell>
          <cell r="AF1152">
            <v>14.39</v>
          </cell>
          <cell r="AO1152">
            <v>180.29</v>
          </cell>
          <cell r="AS1152">
            <v>0</v>
          </cell>
          <cell r="AT1152">
            <v>135.66</v>
          </cell>
          <cell r="AX1152">
            <v>107.54</v>
          </cell>
          <cell r="BB1152">
            <v>45</v>
          </cell>
          <cell r="BG1152">
            <v>74.540000000000006</v>
          </cell>
        </row>
        <row r="1153">
          <cell r="A1153">
            <v>205</v>
          </cell>
          <cell r="B1153" t="str">
            <v>IPRM</v>
          </cell>
          <cell r="C1153" t="str">
            <v>SM</v>
          </cell>
          <cell r="D1153" t="str">
            <v>ALCOHOL Residue 2022</v>
          </cell>
          <cell r="I1153">
            <v>99.563700000000011</v>
          </cell>
          <cell r="N1153">
            <v>7.5</v>
          </cell>
          <cell r="R1153">
            <v>98.947500000000005</v>
          </cell>
          <cell r="W1153">
            <v>7.5</v>
          </cell>
          <cell r="AA1153">
            <v>98.892200000000017</v>
          </cell>
          <cell r="AF1153">
            <v>7.5</v>
          </cell>
          <cell r="AJ1153">
            <v>108.783</v>
          </cell>
          <cell r="AN1153">
            <v>201.2</v>
          </cell>
          <cell r="AO1153">
            <v>7.5</v>
          </cell>
          <cell r="AS1153">
            <v>110.536</v>
          </cell>
          <cell r="AX1153">
            <v>7.5</v>
          </cell>
          <cell r="BB1153">
            <v>3.5</v>
          </cell>
          <cell r="BG1153">
            <v>7.5</v>
          </cell>
        </row>
        <row r="1154">
          <cell r="A1154">
            <v>206</v>
          </cell>
          <cell r="B1154" t="str">
            <v>IPRM</v>
          </cell>
          <cell r="C1154" t="str">
            <v>SM</v>
          </cell>
          <cell r="D1154" t="str">
            <v>ALCOHOL B/P&gt;C18</v>
          </cell>
          <cell r="E1154" t="str">
            <v>W</v>
          </cell>
          <cell r="I1154">
            <v>161.8566857142857</v>
          </cell>
          <cell r="J1154">
            <v>24.8</v>
          </cell>
          <cell r="M1154">
            <v>32.4</v>
          </cell>
          <cell r="N1154">
            <v>398.6</v>
          </cell>
          <cell r="R1154">
            <v>175.86351428571427</v>
          </cell>
          <cell r="S1154">
            <v>49.2</v>
          </cell>
          <cell r="W1154">
            <v>201.8</v>
          </cell>
          <cell r="AA1154">
            <v>175.86351428571427</v>
          </cell>
          <cell r="AB1154">
            <v>49.2</v>
          </cell>
          <cell r="AF1154">
            <v>68</v>
          </cell>
          <cell r="AJ1154">
            <v>176.64167142857141</v>
          </cell>
          <cell r="AK1154">
            <v>49.2</v>
          </cell>
          <cell r="AS1154">
            <v>511.79199999999997</v>
          </cell>
          <cell r="AT1154">
            <v>49.2</v>
          </cell>
          <cell r="AX1154">
            <v>206.4</v>
          </cell>
          <cell r="BB1154">
            <v>97.269642857142841</v>
          </cell>
          <cell r="BC1154">
            <v>49.2</v>
          </cell>
          <cell r="BG1154">
            <v>138.80000000000001</v>
          </cell>
          <cell r="BK1154">
            <v>495.45099999999996</v>
          </cell>
          <cell r="BT1154">
            <v>500.9</v>
          </cell>
          <cell r="CC1154">
            <v>500.89799999999997</v>
          </cell>
          <cell r="CL1154">
            <v>507.12299999999999</v>
          </cell>
          <cell r="CU1154">
            <v>498.56299999999999</v>
          </cell>
          <cell r="DD1154">
            <v>498.56299999999999</v>
          </cell>
          <cell r="DM1154">
            <v>498.56299999999999</v>
          </cell>
        </row>
        <row r="1155">
          <cell r="A1155">
            <v>207</v>
          </cell>
          <cell r="B1155" t="str">
            <v>IPRM</v>
          </cell>
          <cell r="C1155" t="str">
            <v>SM</v>
          </cell>
          <cell r="D1155" t="str">
            <v>Crude Alc. 1216</v>
          </cell>
          <cell r="E1155">
            <v>99</v>
          </cell>
          <cell r="I1155">
            <v>0</v>
          </cell>
          <cell r="J1155">
            <v>85.3</v>
          </cell>
          <cell r="N1155">
            <v>231.21</v>
          </cell>
          <cell r="R1155">
            <v>0</v>
          </cell>
          <cell r="S1155">
            <v>156.9</v>
          </cell>
          <cell r="V1155">
            <v>32.799999999999997</v>
          </cell>
          <cell r="W1155">
            <v>142.81</v>
          </cell>
          <cell r="AA1155">
            <v>77</v>
          </cell>
          <cell r="AB1155">
            <v>156.9</v>
          </cell>
          <cell r="AF1155">
            <v>141.21</v>
          </cell>
          <cell r="AJ1155">
            <v>13</v>
          </cell>
          <cell r="AK1155">
            <v>211.7</v>
          </cell>
          <cell r="AO1155">
            <v>102.41</v>
          </cell>
          <cell r="AS1155">
            <v>0</v>
          </cell>
          <cell r="AT1155">
            <v>193.3</v>
          </cell>
          <cell r="AX1155">
            <v>83.21</v>
          </cell>
          <cell r="BB1155">
            <v>0</v>
          </cell>
          <cell r="BC1155">
            <v>193.3</v>
          </cell>
          <cell r="BG1155">
            <v>66.81</v>
          </cell>
        </row>
        <row r="1156">
          <cell r="A1156">
            <v>212</v>
          </cell>
          <cell r="B1156" t="str">
            <v>FG</v>
          </cell>
          <cell r="C1156" t="str">
            <v>FM</v>
          </cell>
          <cell r="D1156" t="str">
            <v>JO TF 70%</v>
          </cell>
          <cell r="E1156" t="str">
            <v>TF</v>
          </cell>
          <cell r="F1156">
            <v>0</v>
          </cell>
          <cell r="G1156">
            <v>0</v>
          </cell>
          <cell r="H1156">
            <v>0</v>
          </cell>
          <cell r="I1156">
            <v>4095.0329457142857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4075.8083742857143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3953.0508222857143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3984.1456714285709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3841.3074299999998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3152.2858728571427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4111.7083999999995</v>
          </cell>
          <cell r="BL1156">
            <v>0</v>
          </cell>
          <cell r="BM1156">
            <v>0</v>
          </cell>
          <cell r="BN1156">
            <v>0</v>
          </cell>
          <cell r="BO1156">
            <v>0</v>
          </cell>
          <cell r="BP1156">
            <v>0</v>
          </cell>
          <cell r="BQ1156">
            <v>0</v>
          </cell>
          <cell r="BR1156">
            <v>0</v>
          </cell>
          <cell r="BS1156">
            <v>0</v>
          </cell>
          <cell r="BT1156">
            <v>4127.0499680000003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4100.7703679999995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3949.2856319999996</v>
          </cell>
          <cell r="CM1156">
            <v>0</v>
          </cell>
          <cell r="CN1156">
            <v>0</v>
          </cell>
          <cell r="CO1156">
            <v>0</v>
          </cell>
          <cell r="CP1156">
            <v>0</v>
          </cell>
          <cell r="CQ1156">
            <v>0</v>
          </cell>
          <cell r="CR1156">
            <v>0</v>
          </cell>
          <cell r="CS1156">
            <v>0</v>
          </cell>
          <cell r="CT1156">
            <v>0</v>
          </cell>
          <cell r="CU1156">
            <v>3914.882188</v>
          </cell>
          <cell r="CV1156">
            <v>0</v>
          </cell>
          <cell r="CW1156">
            <v>0</v>
          </cell>
          <cell r="CX1156">
            <v>0</v>
          </cell>
          <cell r="CY1156">
            <v>0</v>
          </cell>
          <cell r="CZ1156">
            <v>0</v>
          </cell>
          <cell r="DA1156">
            <v>0</v>
          </cell>
          <cell r="DB1156">
            <v>0</v>
          </cell>
          <cell r="DC1156">
            <v>0</v>
          </cell>
          <cell r="DD1156">
            <v>3928.1946760000001</v>
          </cell>
          <cell r="DE1156">
            <v>0</v>
          </cell>
          <cell r="DF1156">
            <v>0</v>
          </cell>
          <cell r="DG1156">
            <v>0</v>
          </cell>
          <cell r="DH1156">
            <v>0</v>
          </cell>
          <cell r="DI1156">
            <v>0</v>
          </cell>
          <cell r="DJ1156">
            <v>0</v>
          </cell>
          <cell r="DK1156">
            <v>0</v>
          </cell>
          <cell r="DL1156">
            <v>0</v>
          </cell>
          <cell r="DM1156">
            <v>4143.7660799999994</v>
          </cell>
          <cell r="DN1156">
            <v>0</v>
          </cell>
          <cell r="DO1156">
            <v>0</v>
          </cell>
          <cell r="DP1156">
            <v>0</v>
          </cell>
          <cell r="DQ1156">
            <v>0</v>
          </cell>
          <cell r="DR1156">
            <v>0</v>
          </cell>
        </row>
        <row r="1157">
          <cell r="A1157" t="str">
            <v>SOAP NOODLES</v>
          </cell>
          <cell r="B1157" t="str">
            <v>FG</v>
          </cell>
          <cell r="C1157" t="str">
            <v>FM</v>
          </cell>
          <cell r="D1157" t="str">
            <v>DR TF 70%</v>
          </cell>
          <cell r="E1157" t="str">
            <v>TF D</v>
          </cell>
          <cell r="I1157">
            <v>0</v>
          </cell>
          <cell r="J1157">
            <v>84.6</v>
          </cell>
          <cell r="M1157">
            <v>159</v>
          </cell>
          <cell r="R1157">
            <v>0</v>
          </cell>
          <cell r="S1157">
            <v>18</v>
          </cell>
          <cell r="V1157">
            <v>127.2</v>
          </cell>
          <cell r="W1157">
            <v>128.09</v>
          </cell>
          <cell r="AA1157">
            <v>0</v>
          </cell>
          <cell r="AE1157">
            <v>63.84</v>
          </cell>
          <cell r="AF1157">
            <v>71.989999999999995</v>
          </cell>
          <cell r="AK1157">
            <v>200.16</v>
          </cell>
          <cell r="AN1157">
            <v>127.2</v>
          </cell>
          <cell r="AO1157">
            <v>19.260000000000002</v>
          </cell>
          <cell r="AS1157">
            <v>0</v>
          </cell>
          <cell r="AW1157">
            <v>171</v>
          </cell>
          <cell r="AX1157">
            <v>200.57</v>
          </cell>
          <cell r="BB1157">
            <v>0</v>
          </cell>
          <cell r="BC1157">
            <v>72.06</v>
          </cell>
          <cell r="BF1157">
            <v>48.3</v>
          </cell>
          <cell r="BG1157">
            <v>200.58</v>
          </cell>
        </row>
        <row r="1158">
          <cell r="A1158">
            <v>208</v>
          </cell>
          <cell r="B1158" t="str">
            <v>FG</v>
          </cell>
          <cell r="C1158" t="str">
            <v>FM</v>
          </cell>
          <cell r="D1158" t="str">
            <v>DETTOL</v>
          </cell>
          <cell r="E1158" t="str">
            <v>AL</v>
          </cell>
          <cell r="I1158">
            <v>32.6</v>
          </cell>
          <cell r="J1158">
            <v>18</v>
          </cell>
          <cell r="N1158">
            <v>14.39</v>
          </cell>
          <cell r="R1158">
            <v>0.6</v>
          </cell>
          <cell r="W1158">
            <v>14.39</v>
          </cell>
          <cell r="AA1158">
            <v>21.8</v>
          </cell>
          <cell r="AB1158">
            <v>139.56</v>
          </cell>
          <cell r="AE1158">
            <v>188.4</v>
          </cell>
          <cell r="AF1158">
            <v>14.39</v>
          </cell>
          <cell r="AK1158">
            <v>124</v>
          </cell>
          <cell r="AN1158">
            <v>32</v>
          </cell>
          <cell r="AO1158">
            <v>180.29</v>
          </cell>
          <cell r="AS1158">
            <v>0</v>
          </cell>
          <cell r="AT1158">
            <v>135.66</v>
          </cell>
          <cell r="AX1158">
            <v>107.54</v>
          </cell>
          <cell r="BB1158">
            <v>45</v>
          </cell>
          <cell r="BC1158">
            <v>94.8</v>
          </cell>
          <cell r="BG1158">
            <v>74.540000000000006</v>
          </cell>
          <cell r="BK1158">
            <v>20.5</v>
          </cell>
          <cell r="BO1158">
            <v>32</v>
          </cell>
          <cell r="BP1158">
            <v>24.29</v>
          </cell>
          <cell r="BT1158">
            <v>14.1</v>
          </cell>
          <cell r="BY1158">
            <v>23.4</v>
          </cell>
          <cell r="CC1158">
            <v>14.1</v>
          </cell>
          <cell r="CH1158">
            <v>18.899999999999999</v>
          </cell>
          <cell r="CL1158">
            <v>16</v>
          </cell>
          <cell r="CQ1158">
            <v>2</v>
          </cell>
          <cell r="CU1158">
            <v>0</v>
          </cell>
          <cell r="CV1158">
            <v>43.4</v>
          </cell>
          <cell r="CY1158">
            <v>20</v>
          </cell>
          <cell r="CZ1158">
            <v>2</v>
          </cell>
          <cell r="DD1158">
            <v>0</v>
          </cell>
          <cell r="DE1158">
            <v>22.4</v>
          </cell>
          <cell r="DI1158">
            <v>22</v>
          </cell>
          <cell r="DM1158">
            <v>63</v>
          </cell>
          <cell r="DR1158">
            <v>25</v>
          </cell>
        </row>
        <row r="1159">
          <cell r="A1159">
            <v>209</v>
          </cell>
          <cell r="B1159" t="str">
            <v>FG</v>
          </cell>
          <cell r="C1159" t="str">
            <v>FM</v>
          </cell>
          <cell r="D1159" t="str">
            <v>DETTOL SKINCARE</v>
          </cell>
          <cell r="I1159">
            <v>0</v>
          </cell>
          <cell r="N1159">
            <v>7.5</v>
          </cell>
          <cell r="R1159">
            <v>0</v>
          </cell>
          <cell r="V1159">
            <v>218</v>
          </cell>
          <cell r="W1159">
            <v>7.5</v>
          </cell>
          <cell r="AA1159">
            <v>0</v>
          </cell>
          <cell r="AF1159">
            <v>7.5</v>
          </cell>
          <cell r="AJ1159">
            <v>41</v>
          </cell>
          <cell r="AN1159">
            <v>201.2</v>
          </cell>
          <cell r="AO1159">
            <v>7.5</v>
          </cell>
          <cell r="AS1159">
            <v>3.5</v>
          </cell>
          <cell r="AX1159">
            <v>7.5</v>
          </cell>
          <cell r="BB1159">
            <v>3.5</v>
          </cell>
          <cell r="BG1159">
            <v>7.5</v>
          </cell>
          <cell r="BK1159">
            <v>3.5</v>
          </cell>
          <cell r="BP1159">
            <v>7.5</v>
          </cell>
          <cell r="BT1159">
            <v>3.5</v>
          </cell>
          <cell r="BY1159">
            <v>7.5</v>
          </cell>
          <cell r="CC1159">
            <v>139.5</v>
          </cell>
          <cell r="CH1159">
            <v>7.5</v>
          </cell>
          <cell r="CL1159">
            <v>0</v>
          </cell>
          <cell r="CQ1159">
            <v>7.5</v>
          </cell>
          <cell r="CU1159">
            <v>0</v>
          </cell>
          <cell r="CZ1159">
            <v>7.5</v>
          </cell>
          <cell r="DD1159">
            <v>0</v>
          </cell>
          <cell r="DI1159">
            <v>7.5</v>
          </cell>
          <cell r="DM1159">
            <v>0</v>
          </cell>
          <cell r="DR1159">
            <v>7.5</v>
          </cell>
        </row>
        <row r="1160">
          <cell r="A1160">
            <v>210</v>
          </cell>
          <cell r="B1160" t="str">
            <v>FG</v>
          </cell>
          <cell r="C1160" t="str">
            <v>FM</v>
          </cell>
          <cell r="D1160" t="str">
            <v>JBMS 40:60</v>
          </cell>
          <cell r="E1160" t="str">
            <v>W</v>
          </cell>
          <cell r="I1160">
            <v>0</v>
          </cell>
          <cell r="J1160">
            <v>24.8</v>
          </cell>
          <cell r="M1160">
            <v>32.4</v>
          </cell>
          <cell r="N1160">
            <v>398.6</v>
          </cell>
          <cell r="R1160">
            <v>0</v>
          </cell>
          <cell r="S1160">
            <v>49.2</v>
          </cell>
          <cell r="W1160">
            <v>201.8</v>
          </cell>
          <cell r="AA1160">
            <v>0</v>
          </cell>
          <cell r="AB1160">
            <v>49.2</v>
          </cell>
          <cell r="AF1160">
            <v>68</v>
          </cell>
          <cell r="AJ1160">
            <v>84.8</v>
          </cell>
          <cell r="AK1160">
            <v>49.2</v>
          </cell>
          <cell r="AS1160">
            <v>2</v>
          </cell>
          <cell r="AT1160">
            <v>49.2</v>
          </cell>
          <cell r="AX1160">
            <v>206.4</v>
          </cell>
          <cell r="BB1160">
            <v>2</v>
          </cell>
          <cell r="BC1160">
            <v>49.2</v>
          </cell>
          <cell r="BG1160">
            <v>138.80000000000001</v>
          </cell>
          <cell r="BK1160">
            <v>0.4</v>
          </cell>
          <cell r="BL1160">
            <v>49.2</v>
          </cell>
          <cell r="BO1160">
            <v>1.6</v>
          </cell>
          <cell r="BP1160">
            <v>15.6</v>
          </cell>
          <cell r="BT1160">
            <v>188.4</v>
          </cell>
          <cell r="BU1160">
            <v>0.4</v>
          </cell>
          <cell r="BX1160">
            <v>325.60000000000002</v>
          </cell>
          <cell r="BY1160">
            <v>19.2</v>
          </cell>
          <cell r="CC1160">
            <v>0</v>
          </cell>
          <cell r="CD1160">
            <v>0.4</v>
          </cell>
          <cell r="CG1160">
            <v>32.4</v>
          </cell>
          <cell r="CH1160">
            <v>309.8</v>
          </cell>
          <cell r="CL1160">
            <v>0</v>
          </cell>
          <cell r="CM1160">
            <v>0.4</v>
          </cell>
          <cell r="CQ1160">
            <v>212.6</v>
          </cell>
          <cell r="CU1160">
            <v>0</v>
          </cell>
          <cell r="CV1160">
            <v>0.4</v>
          </cell>
          <cell r="CZ1160">
            <v>173</v>
          </cell>
          <cell r="DD1160">
            <v>6.2</v>
          </cell>
          <cell r="DE1160">
            <v>0.4</v>
          </cell>
          <cell r="DI1160">
            <v>127.4</v>
          </cell>
          <cell r="DM1160">
            <v>100.4</v>
          </cell>
          <cell r="DN1160">
            <v>0.4</v>
          </cell>
          <cell r="DQ1160">
            <v>374</v>
          </cell>
          <cell r="DR1160">
            <v>41.95</v>
          </cell>
        </row>
        <row r="1161">
          <cell r="A1161">
            <v>211</v>
          </cell>
          <cell r="B1161" t="str">
            <v>FG</v>
          </cell>
          <cell r="C1161" t="str">
            <v>FM</v>
          </cell>
          <cell r="D1161" t="str">
            <v>JNC 99</v>
          </cell>
          <cell r="E1161">
            <v>99</v>
          </cell>
          <cell r="I1161">
            <v>0</v>
          </cell>
          <cell r="J1161">
            <v>85.3</v>
          </cell>
          <cell r="N1161">
            <v>231.21</v>
          </cell>
          <cell r="R1161">
            <v>0</v>
          </cell>
          <cell r="S1161">
            <v>156.9</v>
          </cell>
          <cell r="V1161">
            <v>32.799999999999997</v>
          </cell>
          <cell r="W1161">
            <v>142.81</v>
          </cell>
          <cell r="AA1161">
            <v>77</v>
          </cell>
          <cell r="AB1161">
            <v>156.9</v>
          </cell>
          <cell r="AF1161">
            <v>141.21</v>
          </cell>
          <cell r="AJ1161">
            <v>13</v>
          </cell>
          <cell r="AK1161">
            <v>211.7</v>
          </cell>
          <cell r="AO1161">
            <v>102.41</v>
          </cell>
          <cell r="AS1161">
            <v>0</v>
          </cell>
          <cell r="AT1161">
            <v>193.3</v>
          </cell>
          <cell r="AX1161">
            <v>83.21</v>
          </cell>
          <cell r="BB1161">
            <v>0</v>
          </cell>
          <cell r="BC1161">
            <v>193.3</v>
          </cell>
          <cell r="BG1161">
            <v>66.81</v>
          </cell>
          <cell r="BK1161">
            <v>0</v>
          </cell>
          <cell r="BL1161">
            <v>193.3</v>
          </cell>
          <cell r="BP1161">
            <v>53.61</v>
          </cell>
          <cell r="BT1161">
            <v>0</v>
          </cell>
          <cell r="BU1161">
            <v>173.7</v>
          </cell>
          <cell r="BY1161">
            <v>18.010000000000002</v>
          </cell>
          <cell r="CC1161">
            <v>0</v>
          </cell>
          <cell r="CD1161">
            <v>140.9</v>
          </cell>
          <cell r="CG1161">
            <v>142.80000000000001</v>
          </cell>
          <cell r="CH1161">
            <v>30.8</v>
          </cell>
          <cell r="CL1161">
            <v>0</v>
          </cell>
          <cell r="CM1161">
            <v>91.3</v>
          </cell>
          <cell r="CQ1161">
            <v>167.36</v>
          </cell>
          <cell r="CU1161">
            <v>0</v>
          </cell>
          <cell r="CV1161">
            <v>91.3</v>
          </cell>
          <cell r="CZ1161">
            <v>125.36</v>
          </cell>
          <cell r="DD1161">
            <v>0</v>
          </cell>
          <cell r="DE1161">
            <v>76.900000000000006</v>
          </cell>
          <cell r="DI1161">
            <v>125.36</v>
          </cell>
          <cell r="DM1161">
            <v>105.6</v>
          </cell>
          <cell r="DN1161">
            <v>27.3</v>
          </cell>
          <cell r="DQ1161">
            <v>21.6</v>
          </cell>
          <cell r="DR1161">
            <v>78.959999999999994</v>
          </cell>
        </row>
        <row r="1162">
          <cell r="A1162">
            <v>212</v>
          </cell>
          <cell r="B1162" t="str">
            <v>FG</v>
          </cell>
          <cell r="C1162" t="str">
            <v>FM</v>
          </cell>
          <cell r="D1162" t="str">
            <v>JO TF 70%</v>
          </cell>
          <cell r="E1162" t="str">
            <v>TF</v>
          </cell>
          <cell r="I1162">
            <v>149</v>
          </cell>
          <cell r="J1162">
            <v>219.61099999999999</v>
          </cell>
          <cell r="M1162">
            <v>234.3</v>
          </cell>
          <cell r="N1162">
            <v>0.11</v>
          </cell>
          <cell r="R1162">
            <v>3.2</v>
          </cell>
          <cell r="S1162">
            <v>186.161</v>
          </cell>
          <cell r="V1162">
            <v>178</v>
          </cell>
          <cell r="W1162">
            <v>380</v>
          </cell>
          <cell r="AA1162">
            <v>3.2</v>
          </cell>
          <cell r="AB1162">
            <v>188.33600000000001</v>
          </cell>
          <cell r="AF1162">
            <v>336.6</v>
          </cell>
          <cell r="AJ1162">
            <v>174</v>
          </cell>
          <cell r="AK1162">
            <v>137.18599999999998</v>
          </cell>
          <cell r="AN1162">
            <v>68.8</v>
          </cell>
          <cell r="AO1162">
            <v>225.2</v>
          </cell>
          <cell r="AS1162">
            <v>19.600000000000001</v>
          </cell>
          <cell r="AT1162">
            <v>131.136</v>
          </cell>
          <cell r="AW1162">
            <v>68</v>
          </cell>
          <cell r="AX1162">
            <v>34.450000000000003</v>
          </cell>
          <cell r="BB1162">
            <v>19.600000000000001</v>
          </cell>
          <cell r="BC1162">
            <v>131.136</v>
          </cell>
          <cell r="BF1162">
            <v>36</v>
          </cell>
          <cell r="BK1162">
            <v>86.6</v>
          </cell>
          <cell r="BL1162">
            <v>86.936000000000007</v>
          </cell>
          <cell r="BO1162">
            <v>186</v>
          </cell>
          <cell r="BP1162">
            <v>12.5</v>
          </cell>
          <cell r="BT1162">
            <v>12.8</v>
          </cell>
          <cell r="BU1162">
            <v>114.736</v>
          </cell>
          <cell r="BX1162">
            <v>16.399999999999999</v>
          </cell>
          <cell r="BY1162">
            <v>155.19999999999999</v>
          </cell>
          <cell r="CC1162">
            <v>98.4</v>
          </cell>
          <cell r="CD1162">
            <v>204.63600000000002</v>
          </cell>
          <cell r="CG1162">
            <v>234.4</v>
          </cell>
          <cell r="CH1162">
            <v>12</v>
          </cell>
          <cell r="CL1162">
            <v>0</v>
          </cell>
          <cell r="CM1162">
            <v>356.786</v>
          </cell>
          <cell r="CP1162">
            <v>11.2</v>
          </cell>
          <cell r="CQ1162">
            <v>27.1</v>
          </cell>
          <cell r="CU1162">
            <v>229.4</v>
          </cell>
          <cell r="CV1162">
            <v>401.08600000000001</v>
          </cell>
          <cell r="CY1162">
            <v>54</v>
          </cell>
          <cell r="DD1162">
            <v>2.2000000000000002</v>
          </cell>
          <cell r="DE1162">
            <v>465.38600000000002</v>
          </cell>
          <cell r="DH1162">
            <v>279.37</v>
          </cell>
          <cell r="DI1162">
            <v>22.6</v>
          </cell>
          <cell r="DM1162">
            <v>5</v>
          </cell>
          <cell r="DN1162">
            <v>336.83600000000001</v>
          </cell>
          <cell r="DQ1162">
            <v>178.46</v>
          </cell>
          <cell r="DR1162">
            <v>103.11</v>
          </cell>
        </row>
        <row r="1163">
          <cell r="A1163">
            <v>213</v>
          </cell>
          <cell r="B1163" t="str">
            <v>FG</v>
          </cell>
          <cell r="C1163" t="str">
            <v>FM</v>
          </cell>
          <cell r="D1163" t="str">
            <v>DR TF 70%</v>
          </cell>
          <cell r="E1163" t="str">
            <v>TF D</v>
          </cell>
          <cell r="I1163">
            <v>0</v>
          </cell>
          <cell r="J1163">
            <v>84.6</v>
          </cell>
          <cell r="M1163">
            <v>159</v>
          </cell>
          <cell r="R1163">
            <v>0</v>
          </cell>
          <cell r="S1163">
            <v>18</v>
          </cell>
          <cell r="V1163">
            <v>127.2</v>
          </cell>
          <cell r="W1163">
            <v>128.09</v>
          </cell>
          <cell r="AA1163">
            <v>0</v>
          </cell>
          <cell r="AB1163">
            <v>156.69999999999999</v>
          </cell>
          <cell r="AE1163">
            <v>63.84</v>
          </cell>
          <cell r="AF1163">
            <v>71.989999999999995</v>
          </cell>
          <cell r="AK1163">
            <v>200.16</v>
          </cell>
          <cell r="AN1163">
            <v>127.2</v>
          </cell>
          <cell r="AO1163">
            <v>19.260000000000002</v>
          </cell>
          <cell r="AS1163">
            <v>0</v>
          </cell>
          <cell r="AT1163">
            <v>212.3</v>
          </cell>
          <cell r="AW1163">
            <v>171</v>
          </cell>
          <cell r="AX1163">
            <v>200.57</v>
          </cell>
          <cell r="BB1163">
            <v>0</v>
          </cell>
          <cell r="BC1163">
            <v>72.06</v>
          </cell>
          <cell r="BF1163">
            <v>48.3</v>
          </cell>
          <cell r="BG1163">
            <v>200.58</v>
          </cell>
          <cell r="BK1163">
            <v>0</v>
          </cell>
          <cell r="BL1163">
            <v>35.76</v>
          </cell>
          <cell r="BO1163">
            <v>15.9</v>
          </cell>
          <cell r="BP1163">
            <v>142.96</v>
          </cell>
          <cell r="BT1163">
            <v>0</v>
          </cell>
          <cell r="BU1163">
            <v>72.959999999999994</v>
          </cell>
          <cell r="BX1163">
            <v>192.6</v>
          </cell>
          <cell r="BY1163">
            <v>27.6</v>
          </cell>
          <cell r="CC1163">
            <v>0</v>
          </cell>
          <cell r="CD1163">
            <v>120.2</v>
          </cell>
          <cell r="CG1163">
            <v>78.599999999999994</v>
          </cell>
          <cell r="CH1163">
            <v>28.33</v>
          </cell>
          <cell r="CL1163">
            <v>0</v>
          </cell>
          <cell r="CM1163">
            <v>43.4</v>
          </cell>
          <cell r="CP1163">
            <v>74.8</v>
          </cell>
          <cell r="CU1163">
            <v>0</v>
          </cell>
          <cell r="CZ1163">
            <v>13.24</v>
          </cell>
          <cell r="DD1163">
            <v>0</v>
          </cell>
          <cell r="DH1163">
            <v>21.17</v>
          </cell>
          <cell r="DM1163">
            <v>0</v>
          </cell>
          <cell r="DN1163">
            <v>90.5</v>
          </cell>
        </row>
        <row r="1164">
          <cell r="A1164">
            <v>214</v>
          </cell>
          <cell r="B1164" t="str">
            <v>FG</v>
          </cell>
          <cell r="C1164" t="str">
            <v>FM</v>
          </cell>
          <cell r="D1164" t="str">
            <v>JO ALMOND W TF 70%</v>
          </cell>
          <cell r="E1164" t="str">
            <v>VITAVON W TF</v>
          </cell>
          <cell r="I1164">
            <v>0</v>
          </cell>
          <cell r="J1164">
            <v>18</v>
          </cell>
          <cell r="N1164">
            <v>97.6</v>
          </cell>
          <cell r="R1164">
            <v>0</v>
          </cell>
          <cell r="W1164">
            <v>64</v>
          </cell>
          <cell r="AA1164">
            <v>181</v>
          </cell>
          <cell r="AF1164">
            <v>46.6</v>
          </cell>
          <cell r="AJ1164">
            <v>35.200000000000003</v>
          </cell>
          <cell r="AK1164">
            <v>124</v>
          </cell>
          <cell r="AN1164">
            <v>32</v>
          </cell>
          <cell r="AO1164">
            <v>101.8</v>
          </cell>
          <cell r="AS1164">
            <v>1.6</v>
          </cell>
          <cell r="AT1164">
            <v>185.6</v>
          </cell>
          <cell r="AX1164">
            <v>97.8</v>
          </cell>
          <cell r="BB1164">
            <v>1.6</v>
          </cell>
          <cell r="BC1164">
            <v>94.8</v>
          </cell>
          <cell r="BG1164">
            <v>40.200000000000003</v>
          </cell>
          <cell r="BK1164">
            <v>1.6</v>
          </cell>
          <cell r="BL1164">
            <v>23.6</v>
          </cell>
          <cell r="BT1164">
            <v>1.6</v>
          </cell>
          <cell r="BU1164">
            <v>23.6</v>
          </cell>
          <cell r="CC1164">
            <v>89.6</v>
          </cell>
          <cell r="CD1164">
            <v>23.6</v>
          </cell>
          <cell r="CG1164">
            <v>86</v>
          </cell>
          <cell r="CL1164">
            <v>66</v>
          </cell>
          <cell r="CM1164">
            <v>104.4</v>
          </cell>
          <cell r="CP1164">
            <v>58.4</v>
          </cell>
          <cell r="CQ1164">
            <v>162.4</v>
          </cell>
          <cell r="CU1164">
            <v>2</v>
          </cell>
          <cell r="CV1164">
            <v>201.2</v>
          </cell>
          <cell r="CZ1164">
            <v>196.7</v>
          </cell>
          <cell r="DD1164">
            <v>2</v>
          </cell>
          <cell r="DE1164">
            <v>186.8</v>
          </cell>
          <cell r="DI1164">
            <v>141.80000000000001</v>
          </cell>
          <cell r="DM1164">
            <v>55.6</v>
          </cell>
          <cell r="DN1164">
            <v>66.8</v>
          </cell>
          <cell r="DQ1164">
            <v>90.399999999999991</v>
          </cell>
          <cell r="DR1164">
            <v>141.80000000000001</v>
          </cell>
        </row>
        <row r="1165">
          <cell r="A1165">
            <v>215</v>
          </cell>
          <cell r="B1165" t="str">
            <v>FG</v>
          </cell>
          <cell r="C1165" t="str">
            <v>FM</v>
          </cell>
          <cell r="D1165" t="str">
            <v>AMWAY</v>
          </cell>
          <cell r="I1165">
            <v>0</v>
          </cell>
          <cell r="N1165">
            <v>33</v>
          </cell>
          <cell r="R1165">
            <v>0</v>
          </cell>
          <cell r="V1165">
            <v>218</v>
          </cell>
          <cell r="W1165">
            <v>33</v>
          </cell>
          <cell r="AA1165">
            <v>0</v>
          </cell>
          <cell r="AF1165">
            <v>236.6</v>
          </cell>
          <cell r="AJ1165">
            <v>10</v>
          </cell>
          <cell r="AO1165">
            <v>210.6</v>
          </cell>
          <cell r="AS1165">
            <v>0</v>
          </cell>
          <cell r="AX1165">
            <v>142.6</v>
          </cell>
          <cell r="BB1165">
            <v>0</v>
          </cell>
          <cell r="BG1165">
            <v>135</v>
          </cell>
          <cell r="BK1165">
            <v>0</v>
          </cell>
          <cell r="BP1165">
            <v>127.8</v>
          </cell>
          <cell r="BT1165">
            <v>33.200000000000003</v>
          </cell>
          <cell r="BX1165">
            <v>16</v>
          </cell>
          <cell r="BY1165">
            <v>40.200000000000003</v>
          </cell>
          <cell r="CC1165">
            <v>0</v>
          </cell>
          <cell r="CG1165">
            <v>12.8</v>
          </cell>
          <cell r="CH1165">
            <v>138.4</v>
          </cell>
          <cell r="CL1165">
            <v>0</v>
          </cell>
          <cell r="CQ1165">
            <v>120.2</v>
          </cell>
          <cell r="CU1165">
            <v>0</v>
          </cell>
          <cell r="CZ1165">
            <v>104.2</v>
          </cell>
          <cell r="DD1165">
            <v>0</v>
          </cell>
          <cell r="DI1165">
            <v>79.400000000000006</v>
          </cell>
          <cell r="DM1165">
            <v>0</v>
          </cell>
          <cell r="DR1165">
            <v>186.6</v>
          </cell>
        </row>
        <row r="1166">
          <cell r="A1166">
            <v>216</v>
          </cell>
          <cell r="B1166" t="str">
            <v>FG</v>
          </cell>
          <cell r="C1166" t="str">
            <v>FM</v>
          </cell>
          <cell r="D1166" t="str">
            <v>FA SAUDI</v>
          </cell>
          <cell r="I1166">
            <v>0</v>
          </cell>
          <cell r="J1166">
            <v>29.2</v>
          </cell>
          <cell r="R1166">
            <v>0</v>
          </cell>
          <cell r="S1166">
            <v>29.2</v>
          </cell>
          <cell r="AA1166">
            <v>0</v>
          </cell>
          <cell r="AB1166">
            <v>29.2</v>
          </cell>
          <cell r="AK1166">
            <v>29.2</v>
          </cell>
          <cell r="AS1166">
            <v>0</v>
          </cell>
          <cell r="AT1166">
            <v>29.2</v>
          </cell>
          <cell r="BB1166">
            <v>0</v>
          </cell>
          <cell r="BC1166">
            <v>29.2</v>
          </cell>
          <cell r="BK1166">
            <v>0</v>
          </cell>
          <cell r="BL1166">
            <v>29.2</v>
          </cell>
          <cell r="BT1166">
            <v>0</v>
          </cell>
          <cell r="BU1166">
            <v>29.2</v>
          </cell>
          <cell r="CC1166">
            <v>0</v>
          </cell>
          <cell r="CD1166">
            <v>29.2</v>
          </cell>
          <cell r="CL1166">
            <v>0</v>
          </cell>
          <cell r="CM1166">
            <v>29.2</v>
          </cell>
          <cell r="CU1166">
            <v>0</v>
          </cell>
          <cell r="CV1166">
            <v>29.2</v>
          </cell>
          <cell r="DD1166">
            <v>0</v>
          </cell>
          <cell r="DE1166">
            <v>29.2</v>
          </cell>
          <cell r="DM1166">
            <v>0</v>
          </cell>
          <cell r="DN1166">
            <v>29.2</v>
          </cell>
        </row>
        <row r="1167">
          <cell r="A1167">
            <v>217</v>
          </cell>
          <cell r="B1167" t="str">
            <v>FG</v>
          </cell>
          <cell r="C1167" t="str">
            <v>FM</v>
          </cell>
          <cell r="D1167" t="str">
            <v>LE CHAT</v>
          </cell>
          <cell r="I1167">
            <v>0</v>
          </cell>
          <cell r="R1167">
            <v>0</v>
          </cell>
          <cell r="AA1167">
            <v>0</v>
          </cell>
          <cell r="AS1167">
            <v>0</v>
          </cell>
          <cell r="BB1167">
            <v>0</v>
          </cell>
          <cell r="BK1167">
            <v>0</v>
          </cell>
          <cell r="BT1167">
            <v>119</v>
          </cell>
          <cell r="CC1167">
            <v>49</v>
          </cell>
          <cell r="CL1167">
            <v>9</v>
          </cell>
          <cell r="CU1167">
            <v>9</v>
          </cell>
          <cell r="DD1167">
            <v>9</v>
          </cell>
          <cell r="DM1167">
            <v>9</v>
          </cell>
        </row>
        <row r="1168">
          <cell r="A1168">
            <v>218</v>
          </cell>
          <cell r="B1168" t="str">
            <v>FG</v>
          </cell>
          <cell r="C1168" t="str">
            <v>FM</v>
          </cell>
          <cell r="D1168" t="str">
            <v>SDM NOODLES</v>
          </cell>
          <cell r="I1168">
            <v>16</v>
          </cell>
          <cell r="J1168">
            <v>209.65</v>
          </cell>
          <cell r="R1168">
            <v>16</v>
          </cell>
          <cell r="S1168">
            <v>209.65</v>
          </cell>
          <cell r="AA1168">
            <v>16</v>
          </cell>
          <cell r="AB1168">
            <v>196.85</v>
          </cell>
          <cell r="AJ1168">
            <v>16</v>
          </cell>
          <cell r="AK1168">
            <v>144.85</v>
          </cell>
          <cell r="AS1168">
            <v>16</v>
          </cell>
          <cell r="AT1168">
            <v>106.75</v>
          </cell>
          <cell r="BB1168">
            <v>16</v>
          </cell>
          <cell r="BC1168">
            <v>236.55</v>
          </cell>
          <cell r="BK1168">
            <v>16</v>
          </cell>
          <cell r="BT1168">
            <v>16</v>
          </cell>
          <cell r="CC1168">
            <v>16</v>
          </cell>
          <cell r="CL1168">
            <v>16</v>
          </cell>
          <cell r="CU1168">
            <v>16</v>
          </cell>
          <cell r="DD1168">
            <v>16</v>
          </cell>
          <cell r="DM1168">
            <v>16</v>
          </cell>
        </row>
        <row r="1169">
          <cell r="A1169">
            <v>219</v>
          </cell>
          <cell r="B1169" t="str">
            <v>FG</v>
          </cell>
          <cell r="C1169" t="str">
            <v>FM</v>
          </cell>
          <cell r="D1169" t="str">
            <v>ITC</v>
          </cell>
          <cell r="I1169">
            <v>0</v>
          </cell>
          <cell r="J1169">
            <v>275.10000000000002</v>
          </cell>
          <cell r="R1169">
            <v>0</v>
          </cell>
          <cell r="S1169">
            <v>189.9</v>
          </cell>
          <cell r="AA1169">
            <v>0</v>
          </cell>
          <cell r="AB1169">
            <v>156.69999999999999</v>
          </cell>
          <cell r="AK1169">
            <v>211.5</v>
          </cell>
          <cell r="AS1169">
            <v>0</v>
          </cell>
          <cell r="AT1169">
            <v>212.3</v>
          </cell>
          <cell r="BB1169">
            <v>0</v>
          </cell>
          <cell r="BC1169">
            <v>201.1</v>
          </cell>
          <cell r="BK1169">
            <v>0</v>
          </cell>
          <cell r="BL1169">
            <v>202.7</v>
          </cell>
          <cell r="BU1169">
            <v>213.9</v>
          </cell>
          <cell r="CC1169">
            <v>0</v>
          </cell>
          <cell r="CD1169">
            <v>299.5</v>
          </cell>
          <cell r="CL1169">
            <v>0</v>
          </cell>
          <cell r="CM1169">
            <v>335.5</v>
          </cell>
          <cell r="CU1169">
            <v>0</v>
          </cell>
          <cell r="CV1169">
            <v>293.5</v>
          </cell>
          <cell r="DD1169">
            <v>0</v>
          </cell>
          <cell r="DE1169">
            <v>390.3</v>
          </cell>
          <cell r="DM1169">
            <v>0</v>
          </cell>
          <cell r="DN1169">
            <v>534.70000000000005</v>
          </cell>
        </row>
        <row r="1170">
          <cell r="A1170">
            <v>220</v>
          </cell>
          <cell r="B1170" t="str">
            <v>FG</v>
          </cell>
          <cell r="C1170" t="str">
            <v>FM</v>
          </cell>
          <cell r="D1170" t="str">
            <v>GENERAL NOODLES</v>
          </cell>
          <cell r="I1170">
            <v>54.4</v>
          </cell>
          <cell r="J1170">
            <v>95.11</v>
          </cell>
          <cell r="N1170">
            <v>66.03</v>
          </cell>
          <cell r="R1170">
            <v>17.399999999999999</v>
          </cell>
          <cell r="S1170">
            <v>86.31</v>
          </cell>
          <cell r="V1170">
            <v>235.6</v>
          </cell>
          <cell r="AA1170">
            <v>17.399999999999999</v>
          </cell>
          <cell r="AB1170">
            <v>80.11</v>
          </cell>
          <cell r="AE1170">
            <v>48.800000000000118</v>
          </cell>
          <cell r="AF1170">
            <v>319.3</v>
          </cell>
          <cell r="AJ1170">
            <v>35.200000000000003</v>
          </cell>
          <cell r="AK1170">
            <v>80.11</v>
          </cell>
          <cell r="AO1170">
            <v>293.39999999999998</v>
          </cell>
          <cell r="AS1170">
            <v>37.6</v>
          </cell>
          <cell r="AT1170">
            <v>80.11</v>
          </cell>
          <cell r="AW1170">
            <v>44.4</v>
          </cell>
          <cell r="AX1170">
            <v>232.6</v>
          </cell>
          <cell r="BB1170">
            <v>37.6</v>
          </cell>
          <cell r="BC1170">
            <v>80.11</v>
          </cell>
          <cell r="BF1170">
            <v>12</v>
          </cell>
          <cell r="BG1170">
            <v>239.4</v>
          </cell>
          <cell r="BK1170">
            <v>37.6</v>
          </cell>
          <cell r="BT1170">
            <v>37.6</v>
          </cell>
          <cell r="CC1170">
            <v>42.4</v>
          </cell>
          <cell r="CL1170">
            <v>61.1</v>
          </cell>
          <cell r="CU1170">
            <v>81</v>
          </cell>
          <cell r="DD1170">
            <v>75</v>
          </cell>
          <cell r="DM1170">
            <v>75</v>
          </cell>
        </row>
        <row r="1171">
          <cell r="A1171">
            <v>221</v>
          </cell>
          <cell r="B1171" t="str">
            <v>FG</v>
          </cell>
          <cell r="C1171" t="str">
            <v>FM</v>
          </cell>
          <cell r="D1171" t="str">
            <v>NEAT SCRAP SOAP</v>
          </cell>
          <cell r="I1171">
            <v>10</v>
          </cell>
          <cell r="R1171">
            <v>10</v>
          </cell>
          <cell r="AA1171">
            <v>10</v>
          </cell>
          <cell r="AJ1171">
            <v>10</v>
          </cell>
          <cell r="AS1171">
            <v>25</v>
          </cell>
          <cell r="BB1171">
            <v>25</v>
          </cell>
          <cell r="BK1171">
            <v>25</v>
          </cell>
          <cell r="BT1171">
            <v>30</v>
          </cell>
          <cell r="CC1171">
            <v>30</v>
          </cell>
          <cell r="CL1171">
            <v>30</v>
          </cell>
          <cell r="CU1171">
            <v>30</v>
          </cell>
          <cell r="DD1171">
            <v>30</v>
          </cell>
          <cell r="DM1171">
            <v>30</v>
          </cell>
        </row>
        <row r="1172">
          <cell r="A1172">
            <v>222</v>
          </cell>
          <cell r="B1172" t="str">
            <v>FG</v>
          </cell>
          <cell r="C1172" t="str">
            <v>FM</v>
          </cell>
          <cell r="D1172" t="str">
            <v>DAVID OPEC</v>
          </cell>
        </row>
        <row r="1173">
          <cell r="A1173">
            <v>223</v>
          </cell>
          <cell r="B1173" t="str">
            <v>FG</v>
          </cell>
          <cell r="C1173" t="str">
            <v>FM</v>
          </cell>
          <cell r="D1173" t="str">
            <v>DABUR VATICA</v>
          </cell>
        </row>
        <row r="1174">
          <cell r="A1174">
            <v>224</v>
          </cell>
          <cell r="B1174" t="str">
            <v>FG</v>
          </cell>
          <cell r="C1174" t="str">
            <v>FM</v>
          </cell>
          <cell r="D1174" t="str">
            <v>MARGO</v>
          </cell>
          <cell r="J1174">
            <v>209.65</v>
          </cell>
          <cell r="N1174">
            <v>52</v>
          </cell>
          <cell r="S1174">
            <v>209.65</v>
          </cell>
          <cell r="W1174">
            <v>52</v>
          </cell>
          <cell r="AB1174">
            <v>196.85</v>
          </cell>
          <cell r="AF1174">
            <v>52</v>
          </cell>
          <cell r="AK1174">
            <v>144.85</v>
          </cell>
          <cell r="AO1174">
            <v>52</v>
          </cell>
          <cell r="AT1174">
            <v>106.75</v>
          </cell>
          <cell r="AX1174">
            <v>52</v>
          </cell>
          <cell r="BC1174">
            <v>236.55</v>
          </cell>
          <cell r="BG1174">
            <v>52</v>
          </cell>
          <cell r="BL1174">
            <v>298.3</v>
          </cell>
          <cell r="BU1174">
            <v>250.3</v>
          </cell>
          <cell r="CD1174">
            <v>202.3</v>
          </cell>
          <cell r="CG1174">
            <v>16</v>
          </cell>
          <cell r="CM1174">
            <v>63.3</v>
          </cell>
          <cell r="CP1174">
            <v>91</v>
          </cell>
          <cell r="CQ1174">
            <v>128</v>
          </cell>
          <cell r="CV1174">
            <v>36.299999999999997</v>
          </cell>
          <cell r="CY1174">
            <v>75</v>
          </cell>
          <cell r="CZ1174">
            <v>132.4</v>
          </cell>
          <cell r="DE1174">
            <v>20.3</v>
          </cell>
          <cell r="DH1174">
            <v>27</v>
          </cell>
          <cell r="DI1174">
            <v>151.4</v>
          </cell>
          <cell r="DN1174">
            <v>4.55</v>
          </cell>
          <cell r="DQ1174">
            <v>15.75</v>
          </cell>
          <cell r="DR1174">
            <v>133.19999999999999</v>
          </cell>
        </row>
        <row r="1175">
          <cell r="A1175">
            <v>225</v>
          </cell>
          <cell r="B1175" t="str">
            <v>FG</v>
          </cell>
          <cell r="C1175" t="str">
            <v>FM</v>
          </cell>
          <cell r="D1175" t="str">
            <v>OIL BASED NOODLES</v>
          </cell>
        </row>
        <row r="1176">
          <cell r="A1176">
            <v>226</v>
          </cell>
          <cell r="B1176" t="str">
            <v>FG</v>
          </cell>
          <cell r="C1176" t="str">
            <v>SM</v>
          </cell>
          <cell r="D1176" t="str">
            <v>TRANSLUCENT</v>
          </cell>
          <cell r="F1176">
            <v>0</v>
          </cell>
          <cell r="G1176">
            <v>0</v>
          </cell>
          <cell r="H1176">
            <v>0</v>
          </cell>
          <cell r="I1176">
            <v>262</v>
          </cell>
          <cell r="J1176">
            <v>95.11</v>
          </cell>
          <cell r="K1176">
            <v>0</v>
          </cell>
          <cell r="L1176">
            <v>0</v>
          </cell>
          <cell r="M1176">
            <v>425.7</v>
          </cell>
          <cell r="N1176">
            <v>66.03</v>
          </cell>
          <cell r="O1176">
            <v>0</v>
          </cell>
          <cell r="P1176">
            <v>0</v>
          </cell>
          <cell r="Q1176">
            <v>0</v>
          </cell>
          <cell r="R1176">
            <v>23.4</v>
          </cell>
          <cell r="S1176">
            <v>86.31</v>
          </cell>
          <cell r="T1176">
            <v>0</v>
          </cell>
          <cell r="U1176">
            <v>0</v>
          </cell>
          <cell r="V1176">
            <v>235.6</v>
          </cell>
          <cell r="W1176">
            <v>1023.59</v>
          </cell>
          <cell r="X1176">
            <v>0</v>
          </cell>
          <cell r="Y1176">
            <v>0</v>
          </cell>
          <cell r="Z1176">
            <v>0</v>
          </cell>
          <cell r="AA1176">
            <v>34.6</v>
          </cell>
          <cell r="AB1176">
            <v>80.11</v>
          </cell>
          <cell r="AC1176">
            <v>0</v>
          </cell>
          <cell r="AD1176">
            <v>0</v>
          </cell>
          <cell r="AE1176">
            <v>48.800000000000118</v>
          </cell>
          <cell r="AF1176">
            <v>319.3</v>
          </cell>
          <cell r="AG1176">
            <v>0</v>
          </cell>
          <cell r="AH1176">
            <v>0</v>
          </cell>
          <cell r="AI1176">
            <v>0</v>
          </cell>
          <cell r="AJ1176">
            <v>34.6</v>
          </cell>
          <cell r="AK1176">
            <v>80.11</v>
          </cell>
          <cell r="AL1176">
            <v>0</v>
          </cell>
          <cell r="AM1176">
            <v>0</v>
          </cell>
          <cell r="AN1176">
            <v>429.2</v>
          </cell>
          <cell r="AO1176">
            <v>293.39999999999998</v>
          </cell>
          <cell r="AP1176">
            <v>0</v>
          </cell>
          <cell r="AQ1176">
            <v>0</v>
          </cell>
          <cell r="AR1176">
            <v>0</v>
          </cell>
          <cell r="AS1176">
            <v>105.30000000000001</v>
          </cell>
          <cell r="AT1176">
            <v>80.11</v>
          </cell>
          <cell r="AU1176">
            <v>0</v>
          </cell>
          <cell r="AV1176">
            <v>0</v>
          </cell>
          <cell r="AW1176">
            <v>44.4</v>
          </cell>
          <cell r="AX1176">
            <v>232.6</v>
          </cell>
          <cell r="AY1176">
            <v>0</v>
          </cell>
          <cell r="AZ1176">
            <v>0</v>
          </cell>
          <cell r="BA1176">
            <v>0</v>
          </cell>
          <cell r="BB1176">
            <v>150.29999999999998</v>
          </cell>
          <cell r="BC1176">
            <v>80.11</v>
          </cell>
          <cell r="BD1176">
            <v>0</v>
          </cell>
          <cell r="BE1176">
            <v>0</v>
          </cell>
          <cell r="BF1176">
            <v>12</v>
          </cell>
          <cell r="BG1176">
            <v>239.4</v>
          </cell>
          <cell r="BL1176">
            <v>71.31</v>
          </cell>
          <cell r="BP1176">
            <v>219.8</v>
          </cell>
          <cell r="BY1176">
            <v>197.1</v>
          </cell>
          <cell r="CD1176">
            <v>52.11</v>
          </cell>
          <cell r="CH1176">
            <v>139.5</v>
          </cell>
          <cell r="CM1176">
            <v>52.11</v>
          </cell>
          <cell r="CQ1176">
            <v>58.9</v>
          </cell>
          <cell r="CV1176">
            <v>52.11</v>
          </cell>
          <cell r="CZ1176">
            <v>32.200000000000003</v>
          </cell>
          <cell r="DD1176">
            <v>29</v>
          </cell>
          <cell r="DE1176">
            <v>50.91</v>
          </cell>
          <cell r="DI1176">
            <v>2.2000000000000002</v>
          </cell>
          <cell r="DM1176">
            <v>1.2</v>
          </cell>
          <cell r="DN1176">
            <v>37.31</v>
          </cell>
          <cell r="DQ1176">
            <v>13.2</v>
          </cell>
          <cell r="DR1176">
            <v>139.1</v>
          </cell>
        </row>
        <row r="1177">
          <cell r="A1177">
            <v>227</v>
          </cell>
          <cell r="B1177" t="str">
            <v>FG</v>
          </cell>
          <cell r="C1177" t="str">
            <v>SM</v>
          </cell>
          <cell r="D1177" t="str">
            <v>TETMOSOL</v>
          </cell>
          <cell r="F1177">
            <v>2508.8226499999996</v>
          </cell>
          <cell r="G1177">
            <v>8946.7241049000004</v>
          </cell>
          <cell r="H1177">
            <v>5382.5619999999999</v>
          </cell>
          <cell r="I1177">
            <v>15746.206880285714</v>
          </cell>
          <cell r="J1177">
            <v>3069.2730000000001</v>
          </cell>
          <cell r="K1177">
            <v>7209.7510000000002</v>
          </cell>
          <cell r="L1177">
            <v>1648.7660000000001</v>
          </cell>
          <cell r="M1177">
            <v>2120.04</v>
          </cell>
          <cell r="N1177">
            <v>900.44</v>
          </cell>
          <cell r="O1177">
            <v>2413.6124679999998</v>
          </cell>
          <cell r="P1177">
            <v>8654.7067600000009</v>
          </cell>
          <cell r="Q1177">
            <v>5474.2300000000005</v>
          </cell>
          <cell r="R1177">
            <v>16389.520054857141</v>
          </cell>
          <cell r="S1177">
            <v>2692.2510000000002</v>
          </cell>
          <cell r="T1177">
            <v>5380.4610000000002</v>
          </cell>
          <cell r="U1177">
            <v>49.539000000000001</v>
          </cell>
          <cell r="V1177">
            <v>2988.3900000000003</v>
          </cell>
          <cell r="W1177">
            <v>1023.59</v>
          </cell>
          <cell r="X1177">
            <v>2604.9052000000001</v>
          </cell>
          <cell r="Y1177">
            <v>8770.0426800000005</v>
          </cell>
          <cell r="Z1177">
            <v>6445.8399999999992</v>
          </cell>
          <cell r="AA1177">
            <v>16756.906808</v>
          </cell>
          <cell r="AB1177">
            <v>2920.9569999999994</v>
          </cell>
          <cell r="AC1177">
            <v>5281.2990000000009</v>
          </cell>
          <cell r="AD1177">
            <v>2061.2539999999999</v>
          </cell>
          <cell r="AE1177">
            <v>1991.39</v>
          </cell>
          <cell r="AF1177">
            <v>1294.19</v>
          </cell>
          <cell r="AG1177">
            <v>2699.7643799999996</v>
          </cell>
          <cell r="AH1177">
            <v>9556.3076600000004</v>
          </cell>
          <cell r="AI1177">
            <v>6230.55</v>
          </cell>
          <cell r="AJ1177">
            <v>16199.347871428574</v>
          </cell>
          <cell r="AK1177">
            <v>3080.3429999999998</v>
          </cell>
          <cell r="AL1177">
            <v>5288.32</v>
          </cell>
          <cell r="AM1177">
            <v>8847.8459999999995</v>
          </cell>
          <cell r="AN1177">
            <v>1297.74</v>
          </cell>
          <cell r="AO1177">
            <v>1192.46</v>
          </cell>
          <cell r="AP1177">
            <v>3055.2922799999997</v>
          </cell>
          <cell r="AQ1177">
            <v>9564.8961600000002</v>
          </cell>
          <cell r="AR1177">
            <v>4700.0599999999995</v>
          </cell>
          <cell r="AS1177">
            <v>17699.171355714287</v>
          </cell>
          <cell r="AT1177">
            <v>2586.9290000000001</v>
          </cell>
          <cell r="AU1177">
            <v>6557.2330000000002</v>
          </cell>
          <cell r="AV1177">
            <v>3863.3450000000003</v>
          </cell>
          <cell r="AW1177">
            <v>2307.9900000000002</v>
          </cell>
          <cell r="AX1177">
            <v>1164.6699999999998</v>
          </cell>
          <cell r="AY1177">
            <v>3559.43568</v>
          </cell>
          <cell r="AZ1177">
            <v>9770.3371599999991</v>
          </cell>
          <cell r="BA1177">
            <v>5955</v>
          </cell>
          <cell r="BB1177">
            <v>17975.845144000003</v>
          </cell>
          <cell r="BC1177">
            <v>2864.0140000000001</v>
          </cell>
          <cell r="BD1177">
            <v>6746.5209999999997</v>
          </cell>
          <cell r="BE1177">
            <v>2795.0239999999999</v>
          </cell>
          <cell r="BF1177">
            <v>1405.6299999999999</v>
          </cell>
          <cell r="BG1177">
            <v>954.83</v>
          </cell>
          <cell r="BU1177">
            <v>68.984999999999999</v>
          </cell>
        </row>
        <row r="1178">
          <cell r="A1178">
            <v>228</v>
          </cell>
          <cell r="B1178" t="str">
            <v>FG</v>
          </cell>
          <cell r="C1178" t="str">
            <v>FM</v>
          </cell>
          <cell r="D1178" t="str">
            <v xml:space="preserve">J &amp; J </v>
          </cell>
        </row>
        <row r="1179">
          <cell r="A1179">
            <v>229</v>
          </cell>
          <cell r="B1179" t="str">
            <v>FG</v>
          </cell>
          <cell r="C1179" t="str">
            <v>FM</v>
          </cell>
          <cell r="D1179" t="str">
            <v>JBS 80:20</v>
          </cell>
        </row>
        <row r="1180">
          <cell r="A1180">
            <v>230</v>
          </cell>
          <cell r="B1180" t="str">
            <v>FG</v>
          </cell>
          <cell r="C1180" t="str">
            <v>FM</v>
          </cell>
          <cell r="D1180" t="str">
            <v>IMPORTED NOODLES</v>
          </cell>
          <cell r="N1180">
            <v>52</v>
          </cell>
          <cell r="W1180">
            <v>52</v>
          </cell>
          <cell r="AF1180">
            <v>52</v>
          </cell>
          <cell r="AO1180">
            <v>52</v>
          </cell>
          <cell r="AX1180">
            <v>52</v>
          </cell>
          <cell r="BG1180">
            <v>52</v>
          </cell>
          <cell r="BP1180">
            <v>52</v>
          </cell>
          <cell r="BY1180">
            <v>52</v>
          </cell>
          <cell r="CH1180">
            <v>52</v>
          </cell>
          <cell r="CQ1180">
            <v>52</v>
          </cell>
          <cell r="CZ1180">
            <v>52</v>
          </cell>
          <cell r="DI1180">
            <v>52</v>
          </cell>
          <cell r="DR1180">
            <v>52</v>
          </cell>
        </row>
        <row r="1181">
          <cell r="A1181">
            <v>231</v>
          </cell>
          <cell r="B1181" t="str">
            <v>FG</v>
          </cell>
          <cell r="C1181" t="str">
            <v>FM</v>
          </cell>
          <cell r="D1181" t="str">
            <v>HAWAI SYNDAATE BASE REGULER</v>
          </cell>
        </row>
        <row r="1182">
          <cell r="F1182">
            <v>0</v>
          </cell>
          <cell r="G1182">
            <v>0</v>
          </cell>
          <cell r="H1182">
            <v>0</v>
          </cell>
          <cell r="I1182">
            <v>262</v>
          </cell>
          <cell r="J1182">
            <v>1041.3710000000001</v>
          </cell>
          <cell r="K1182">
            <v>0</v>
          </cell>
          <cell r="L1182">
            <v>0</v>
          </cell>
          <cell r="M1182">
            <v>425.7</v>
          </cell>
          <cell r="N1182">
            <v>900.44</v>
          </cell>
          <cell r="O1182">
            <v>0</v>
          </cell>
          <cell r="P1182">
            <v>0</v>
          </cell>
          <cell r="Q1182">
            <v>0</v>
          </cell>
          <cell r="R1182">
            <v>70.599999999999994</v>
          </cell>
          <cell r="S1182">
            <v>925.32099999999991</v>
          </cell>
          <cell r="T1182">
            <v>0</v>
          </cell>
          <cell r="U1182">
            <v>0</v>
          </cell>
          <cell r="V1182">
            <v>791.6</v>
          </cell>
          <cell r="W1182">
            <v>1023.59</v>
          </cell>
          <cell r="X1182">
            <v>0</v>
          </cell>
          <cell r="Y1182">
            <v>0</v>
          </cell>
          <cell r="Z1182">
            <v>0</v>
          </cell>
          <cell r="AA1182">
            <v>361</v>
          </cell>
          <cell r="AB1182">
            <v>996.85599999999999</v>
          </cell>
          <cell r="AC1182">
            <v>0</v>
          </cell>
          <cell r="AD1182">
            <v>0</v>
          </cell>
          <cell r="AE1182">
            <v>301.04000000000013</v>
          </cell>
          <cell r="AF1182">
            <v>1294.19</v>
          </cell>
          <cell r="AG1182">
            <v>0</v>
          </cell>
          <cell r="AH1182">
            <v>0</v>
          </cell>
          <cell r="AI1182">
            <v>0</v>
          </cell>
          <cell r="AJ1182">
            <v>408.6</v>
          </cell>
          <cell r="AK1182">
            <v>1187.9059999999999</v>
          </cell>
          <cell r="AL1182">
            <v>0</v>
          </cell>
          <cell r="AM1182">
            <v>0</v>
          </cell>
          <cell r="AN1182">
            <v>429.2</v>
          </cell>
          <cell r="AO1182">
            <v>1192.46</v>
          </cell>
          <cell r="AP1182">
            <v>0</v>
          </cell>
          <cell r="AQ1182">
            <v>0</v>
          </cell>
          <cell r="AR1182">
            <v>0</v>
          </cell>
          <cell r="AS1182">
            <v>105.30000000000001</v>
          </cell>
          <cell r="AT1182">
            <v>1123.2560000000001</v>
          </cell>
          <cell r="AU1182">
            <v>0</v>
          </cell>
          <cell r="AV1182">
            <v>0</v>
          </cell>
          <cell r="AW1182">
            <v>283.39999999999998</v>
          </cell>
          <cell r="AX1182">
            <v>1164.6699999999998</v>
          </cell>
          <cell r="AY1182">
            <v>0</v>
          </cell>
          <cell r="AZ1182">
            <v>0</v>
          </cell>
          <cell r="BA1182">
            <v>0</v>
          </cell>
          <cell r="BB1182">
            <v>150.29999999999998</v>
          </cell>
          <cell r="BC1182">
            <v>1087.4559999999999</v>
          </cell>
          <cell r="BD1182">
            <v>0</v>
          </cell>
          <cell r="BE1182">
            <v>0</v>
          </cell>
          <cell r="BF1182">
            <v>96.3</v>
          </cell>
          <cell r="BG1182">
            <v>954.83</v>
          </cell>
          <cell r="BH1182">
            <v>0</v>
          </cell>
          <cell r="BI1182">
            <v>0</v>
          </cell>
          <cell r="BJ1182">
            <v>0</v>
          </cell>
          <cell r="BK1182">
            <v>191.2</v>
          </cell>
          <cell r="BL1182">
            <v>990.30600000000004</v>
          </cell>
          <cell r="BM1182">
            <v>0</v>
          </cell>
          <cell r="BN1182">
            <v>0</v>
          </cell>
          <cell r="BO1182">
            <v>235.5</v>
          </cell>
          <cell r="BP1182">
            <v>656.06000000000006</v>
          </cell>
          <cell r="BQ1182">
            <v>0</v>
          </cell>
          <cell r="BR1182">
            <v>0</v>
          </cell>
          <cell r="BS1182">
            <v>0</v>
          </cell>
          <cell r="BT1182">
            <v>456.20000000000005</v>
          </cell>
          <cell r="BU1182">
            <v>947.78100000000006</v>
          </cell>
          <cell r="BV1182">
            <v>0</v>
          </cell>
          <cell r="BW1182">
            <v>0</v>
          </cell>
          <cell r="BX1182">
            <v>550.6</v>
          </cell>
          <cell r="BY1182">
            <v>540.21</v>
          </cell>
          <cell r="BZ1182">
            <v>0</v>
          </cell>
          <cell r="CA1182">
            <v>0</v>
          </cell>
          <cell r="CB1182">
            <v>0</v>
          </cell>
          <cell r="CC1182">
            <v>479</v>
          </cell>
          <cell r="CD1182">
            <v>1072.846</v>
          </cell>
          <cell r="CE1182">
            <v>0</v>
          </cell>
          <cell r="CF1182">
            <v>0</v>
          </cell>
          <cell r="CG1182">
            <v>603</v>
          </cell>
          <cell r="CH1182">
            <v>737.23</v>
          </cell>
          <cell r="CI1182">
            <v>0</v>
          </cell>
          <cell r="CJ1182">
            <v>0</v>
          </cell>
          <cell r="CK1182">
            <v>0</v>
          </cell>
          <cell r="CL1182">
            <v>198.1</v>
          </cell>
          <cell r="CM1182">
            <v>1076.396</v>
          </cell>
          <cell r="CN1182">
            <v>0</v>
          </cell>
          <cell r="CO1182">
            <v>0</v>
          </cell>
          <cell r="CP1182">
            <v>235.4</v>
          </cell>
          <cell r="CQ1182">
            <v>938.06000000000006</v>
          </cell>
          <cell r="CR1182">
            <v>0</v>
          </cell>
          <cell r="CS1182">
            <v>0</v>
          </cell>
          <cell r="CT1182">
            <v>0</v>
          </cell>
          <cell r="CU1182">
            <v>367.4</v>
          </cell>
          <cell r="CV1182">
            <v>1148.4959999999999</v>
          </cell>
          <cell r="CW1182">
            <v>0</v>
          </cell>
          <cell r="CX1182">
            <v>0</v>
          </cell>
          <cell r="CY1182">
            <v>149</v>
          </cell>
          <cell r="CZ1182">
            <v>838.6</v>
          </cell>
          <cell r="DA1182">
            <v>0</v>
          </cell>
          <cell r="DB1182">
            <v>0</v>
          </cell>
          <cell r="DC1182">
            <v>0</v>
          </cell>
          <cell r="DD1182">
            <v>169.4</v>
          </cell>
          <cell r="DE1182">
            <v>1242.596</v>
          </cell>
          <cell r="DF1182">
            <v>0</v>
          </cell>
          <cell r="DG1182">
            <v>0</v>
          </cell>
          <cell r="DH1182">
            <v>327.54000000000002</v>
          </cell>
          <cell r="DI1182">
            <v>731.66000000000008</v>
          </cell>
          <cell r="DJ1182">
            <v>0</v>
          </cell>
          <cell r="DK1182">
            <v>0</v>
          </cell>
          <cell r="DL1182">
            <v>0</v>
          </cell>
          <cell r="DM1182">
            <v>460.8</v>
          </cell>
          <cell r="DN1182">
            <v>1127.596</v>
          </cell>
          <cell r="DO1182">
            <v>0</v>
          </cell>
          <cell r="DP1182">
            <v>0</v>
          </cell>
          <cell r="DQ1182">
            <v>693.41000000000008</v>
          </cell>
          <cell r="DR1182">
            <v>909.21999999999991</v>
          </cell>
        </row>
        <row r="1183">
          <cell r="F1183">
            <v>2508.8226499999996</v>
          </cell>
          <cell r="G1183">
            <v>8946.7241049000004</v>
          </cell>
          <cell r="H1183">
            <v>5382.5619999999999</v>
          </cell>
          <cell r="I1183">
            <v>15746.206880285714</v>
          </cell>
          <cell r="J1183">
            <v>3069.2730000000001</v>
          </cell>
          <cell r="K1183">
            <v>7209.7510000000002</v>
          </cell>
          <cell r="L1183">
            <v>1648.7660000000001</v>
          </cell>
          <cell r="M1183">
            <v>2120.04</v>
          </cell>
          <cell r="N1183">
            <v>900.44</v>
          </cell>
          <cell r="O1183">
            <v>2413.6124679999998</v>
          </cell>
          <cell r="P1183">
            <v>8654.7067600000009</v>
          </cell>
          <cell r="Q1183">
            <v>5474.2300000000005</v>
          </cell>
          <cell r="R1183">
            <v>16389.520054857141</v>
          </cell>
          <cell r="S1183">
            <v>2692.2510000000002</v>
          </cell>
          <cell r="T1183">
            <v>5380.4610000000002</v>
          </cell>
          <cell r="U1183">
            <v>49.539000000000001</v>
          </cell>
          <cell r="V1183">
            <v>2988.3900000000003</v>
          </cell>
          <cell r="W1183">
            <v>1023.59</v>
          </cell>
          <cell r="X1183">
            <v>2604.9052000000001</v>
          </cell>
          <cell r="Y1183">
            <v>8770.0426800000005</v>
          </cell>
          <cell r="Z1183">
            <v>6445.8399999999992</v>
          </cell>
          <cell r="AA1183">
            <v>16756.906808</v>
          </cell>
          <cell r="AB1183">
            <v>2920.9569999999994</v>
          </cell>
          <cell r="AC1183">
            <v>5281.2990000000009</v>
          </cell>
          <cell r="AD1183">
            <v>2061.2539999999999</v>
          </cell>
          <cell r="AE1183">
            <v>1991.39</v>
          </cell>
          <cell r="AF1183">
            <v>1294.19</v>
          </cell>
          <cell r="AG1183">
            <v>2699.7643799999996</v>
          </cell>
          <cell r="AH1183">
            <v>9556.3076600000004</v>
          </cell>
          <cell r="AI1183">
            <v>6230.55</v>
          </cell>
          <cell r="AJ1183">
            <v>16199.347871428574</v>
          </cell>
          <cell r="AK1183">
            <v>3080.3429999999998</v>
          </cell>
          <cell r="AL1183">
            <v>5288.32</v>
          </cell>
          <cell r="AM1183">
            <v>8847.8459999999995</v>
          </cell>
          <cell r="AN1183">
            <v>1297.74</v>
          </cell>
          <cell r="AO1183">
            <v>1192.46</v>
          </cell>
          <cell r="AP1183">
            <v>3055.2922799999997</v>
          </cell>
          <cell r="AQ1183">
            <v>9564.8961600000002</v>
          </cell>
          <cell r="AR1183">
            <v>4700.0599999999995</v>
          </cell>
          <cell r="AS1183">
            <v>17699.171355714287</v>
          </cell>
          <cell r="AT1183">
            <v>2586.9290000000001</v>
          </cell>
          <cell r="AU1183">
            <v>6557.2330000000002</v>
          </cell>
          <cell r="AV1183">
            <v>3863.3450000000003</v>
          </cell>
          <cell r="AW1183">
            <v>2307.9900000000002</v>
          </cell>
          <cell r="AX1183">
            <v>1164.6699999999998</v>
          </cell>
          <cell r="AY1183">
            <v>3559.43568</v>
          </cell>
          <cell r="AZ1183">
            <v>9770.3371599999991</v>
          </cell>
          <cell r="BA1183">
            <v>5955</v>
          </cell>
          <cell r="BB1183">
            <v>17975.845144000003</v>
          </cell>
          <cell r="BC1183">
            <v>2864.0140000000001</v>
          </cell>
          <cell r="BD1183">
            <v>6746.5209999999997</v>
          </cell>
          <cell r="BE1183">
            <v>2795.0239999999999</v>
          </cell>
          <cell r="BF1183">
            <v>1405.6299999999999</v>
          </cell>
          <cell r="BG1183">
            <v>954.83</v>
          </cell>
          <cell r="BH1183">
            <v>3337.87068</v>
          </cell>
          <cell r="BI1183">
            <v>9950.4327999999987</v>
          </cell>
          <cell r="BJ1183">
            <v>5591.5169999999998</v>
          </cell>
          <cell r="BK1183">
            <v>18984.897957142861</v>
          </cell>
          <cell r="BL1183">
            <v>1166.095</v>
          </cell>
          <cell r="BM1183">
            <v>7096.1020000000008</v>
          </cell>
          <cell r="BN1183">
            <v>3675.83</v>
          </cell>
          <cell r="BO1183">
            <v>2181.09</v>
          </cell>
          <cell r="BP1183">
            <v>656.06000000000006</v>
          </cell>
          <cell r="BQ1183">
            <v>3580.3313800000001</v>
          </cell>
          <cell r="BR1183">
            <v>10504.956999999999</v>
          </cell>
          <cell r="BS1183">
            <v>6406.8770000000004</v>
          </cell>
          <cell r="BT1183">
            <v>19176.87400657143</v>
          </cell>
          <cell r="BU1183">
            <v>2809.2659999999996</v>
          </cell>
          <cell r="BV1183">
            <v>7275.7270000000008</v>
          </cell>
          <cell r="BW1183">
            <v>7474.6729999999998</v>
          </cell>
          <cell r="BX1183">
            <v>2564.71</v>
          </cell>
          <cell r="BY1183">
            <v>540.21</v>
          </cell>
          <cell r="BZ1183">
            <v>3428.9878799999997</v>
          </cell>
          <cell r="CA1183">
            <v>10944.358999999999</v>
          </cell>
          <cell r="CB1183">
            <v>5242.8310000000001</v>
          </cell>
          <cell r="CC1183">
            <v>19766.287310285708</v>
          </cell>
          <cell r="CD1183">
            <v>2828.1059999999998</v>
          </cell>
          <cell r="CE1183">
            <v>8897.594000000001</v>
          </cell>
          <cell r="CF1183">
            <v>4364.6779999999999</v>
          </cell>
          <cell r="CG1183">
            <v>2303.5700000000002</v>
          </cell>
          <cell r="CH1183">
            <v>737.23</v>
          </cell>
          <cell r="CI1183">
            <v>3032.8686179999995</v>
          </cell>
          <cell r="CJ1183">
            <v>10719.975499999999</v>
          </cell>
          <cell r="CK1183">
            <v>6805.6809999999996</v>
          </cell>
          <cell r="CL1183">
            <v>18648.858489142862</v>
          </cell>
          <cell r="CM1183">
            <v>2731.8369999999995</v>
          </cell>
          <cell r="CN1183">
            <v>9995.9170000000013</v>
          </cell>
          <cell r="CO1183">
            <v>1787.8499999999997</v>
          </cell>
          <cell r="CP1183">
            <v>672.15</v>
          </cell>
          <cell r="CQ1183">
            <v>938.06000000000006</v>
          </cell>
          <cell r="CR1183">
            <v>2823.0112800000002</v>
          </cell>
          <cell r="CS1183">
            <v>11237.204199999998</v>
          </cell>
          <cell r="CT1183">
            <v>6934.820999999999</v>
          </cell>
          <cell r="CU1183">
            <v>19278.625869714288</v>
          </cell>
          <cell r="CV1183">
            <v>3022.165</v>
          </cell>
          <cell r="CW1183">
            <v>9028.0740000000005</v>
          </cell>
          <cell r="CX1183">
            <v>300.01</v>
          </cell>
          <cell r="CY1183">
            <v>1921.3799999999999</v>
          </cell>
          <cell r="CZ1183">
            <v>838.6</v>
          </cell>
          <cell r="DA1183">
            <v>2872.2224999999999</v>
          </cell>
          <cell r="DB1183">
            <v>11066.669999999998</v>
          </cell>
          <cell r="DC1183">
            <v>7244.3509999999997</v>
          </cell>
          <cell r="DD1183">
            <v>18441.263901714286</v>
          </cell>
          <cell r="DE1183">
            <v>3296.9780000000001</v>
          </cell>
          <cell r="DF1183">
            <v>7421.777</v>
          </cell>
          <cell r="DG1183">
            <v>32.96</v>
          </cell>
          <cell r="DH1183">
            <v>1186.1399999999999</v>
          </cell>
          <cell r="DI1183">
            <v>731.66000000000008</v>
          </cell>
          <cell r="DJ1183">
            <v>2165.9775</v>
          </cell>
          <cell r="DK1183">
            <v>11174.647000000001</v>
          </cell>
          <cell r="DL1183">
            <v>7229.7610000000004</v>
          </cell>
          <cell r="DM1183">
            <v>20101.143979428569</v>
          </cell>
          <cell r="DN1183">
            <v>3345.8649999999998</v>
          </cell>
          <cell r="DO1183">
            <v>6857.4870000000001</v>
          </cell>
          <cell r="DP1183">
            <v>8966.973</v>
          </cell>
          <cell r="DQ1183">
            <v>1664.9900000000002</v>
          </cell>
          <cell r="DR1183">
            <v>909.21999999999991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VF Oleo costing model"/>
      <sheetName val="Assumptions"/>
      <sheetName val="RM % to sales"/>
      <sheetName val="ABP P&amp;L"/>
      <sheetName val="Oleo P&amp;L"/>
      <sheetName val="Input-output"/>
      <sheetName val="Oleo P&amp;L (InputOutput)"/>
      <sheetName val="Main &amp; By product"/>
      <sheetName val="Interest on FA"/>
      <sheetName val="GC Claculation"/>
      <sheetName val="By product summary-1"/>
      <sheetName val="By-product balance sheet"/>
      <sheetName val="Cycle Time Assumptions"/>
      <sheetName val="I-Credits"/>
      <sheetName val="PM"/>
      <sheetName val="Sales ABP 09-10"/>
      <sheetName val="1.9. Direct overheads"/>
      <sheetName val="1.5. Indirect overheads"/>
      <sheetName val="1.6 S&amp;M overheads"/>
      <sheetName val="1.19. Processing cost summary"/>
      <sheetName val="1.14 PKO Processing cost"/>
      <sheetName val="1.15. PFAD processing cost"/>
      <sheetName val="1.16. RBDPS processing cost"/>
      <sheetName val="1.17 Mustard processing cost"/>
      <sheetName val="US &amp; Eur Cost"/>
      <sheetName val="PKFAD processing cost"/>
      <sheetName val="BoM for hydrogen"/>
      <sheetName val="PKO Reco Sheet"/>
      <sheetName val="Mustard Reco Sheet"/>
      <sheetName val="PFAD Reco Sheet"/>
      <sheetName val="1.13. CPS processing cost"/>
      <sheetName val="MIX RESIDUE processing cost"/>
      <sheetName val="FO &amp; Naptha"/>
      <sheetName val="1.7.Additives sheet"/>
      <sheetName val="1.14 CNO Processing cost"/>
      <sheetName val="CNO-Final"/>
      <sheetName val="2.18.Cost computation CNO V1214"/>
      <sheetName val="2.16.Cost computation CNO V1216"/>
      <sheetName val="2.17.Cost computation PKO V1214"/>
      <sheetName val="2.15.Cost computation PKO V1216"/>
      <sheetName val="2.12 Cost computation-PFAD"/>
      <sheetName val="2.13. Cost computation-CPS"/>
      <sheetName val="2.1x.Cost computation PKO Laur"/>
      <sheetName val="2.14. Cost computation - MO"/>
      <sheetName val="2.19 Cost computation-RBDPS"/>
      <sheetName val="2.17.Cost computation PKFAD"/>
      <sheetName val="2.23 Mixed residue"/>
      <sheetName val="1.3. Location &amp; Resource"/>
      <sheetName val="1.18. Processing Time"/>
      <sheetName val="2.22 Resource wise cost"/>
      <sheetName val="1.8. Logistics cost"/>
      <sheetName val="2.1 Logistics cost"/>
      <sheetName val="2.2 Landed RM cost"/>
      <sheetName val="2.4. Seweree Direct overheads"/>
      <sheetName val="2.3.Kutch-2 Direct overheads"/>
      <sheetName val="2.5. Taloja Direct overheads"/>
      <sheetName val="2.6 Sion Direct overheads"/>
      <sheetName val="2.7 Kutch-1 Direct overheads"/>
      <sheetName val="Volume"/>
      <sheetName val="Interest"/>
      <sheetName val="Sheet1"/>
      <sheetName val="2.8. Process wise depreciation"/>
      <sheetName val="2.9Process wise Direct overhead"/>
      <sheetName val="2.10 Indirect overheads"/>
      <sheetName val="2.11 S&amp;M overhead"/>
      <sheetName val="2.24 Alcohol process"/>
      <sheetName val="2.20. Substitutable values"/>
      <sheetName val="2.21.Substitutable value comp"/>
      <sheetName val="Input output sheet-MCT"/>
      <sheetName val="MCT computation"/>
      <sheetName val="3.1. HLL_Assumptions"/>
      <sheetName val="ACTUAL COSTING(HLL)"/>
      <sheetName val="3.2. HLL Cost Computation Sheet"/>
      <sheetName val="3.3. HLL Price Output Sheet"/>
      <sheetName val="PKFAD contract"/>
      <sheetName val="10. Data 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>
        <row r="5">
          <cell r="I5" t="str">
            <v>Sion</v>
          </cell>
        </row>
        <row r="6">
          <cell r="I6" t="str">
            <v>Taloja</v>
          </cell>
        </row>
        <row r="7">
          <cell r="I7" t="str">
            <v>Kutch-1</v>
          </cell>
        </row>
        <row r="8">
          <cell r="I8" t="str">
            <v>Kutch-2</v>
          </cell>
        </row>
        <row r="9">
          <cell r="I9" t="str">
            <v>Navsari</v>
          </cell>
        </row>
        <row r="11">
          <cell r="I11" t="str">
            <v>Baddi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VF Oleo costing model"/>
      <sheetName val="Upside &amp; downside"/>
      <sheetName val="Assumption"/>
      <sheetName val="Summary P&amp;L"/>
      <sheetName val="P&amp;L"/>
      <sheetName val="Oleo P&amp;L"/>
      <sheetName val="Input-output"/>
      <sheetName val="SIon Power and Gas"/>
      <sheetName val="By product summary-1"/>
      <sheetName val="By-product balance sheet"/>
      <sheetName val="Interest Calculation"/>
      <sheetName val="Interest Fixed assets"/>
      <sheetName val="Cycle Time Assumptions"/>
      <sheetName val="1.7.Additives sheet"/>
      <sheetName val="1.5. Indirect overheads"/>
      <sheetName val="1.14 CNO Processing cost"/>
      <sheetName val="1.18. Processing Time"/>
      <sheetName val="1.19. Processing cost summary"/>
      <sheetName val="2.1 Logistics cost"/>
      <sheetName val="2.2 Landed RM cost"/>
      <sheetName val="2.5. Taloja Direct overheads"/>
      <sheetName val="2.3.Kutch-2 Direct overheads"/>
      <sheetName val="2.4. Seweree Direct overheads"/>
      <sheetName val="2.6 Sion Direct overheads"/>
      <sheetName val="2.7 Kutch-1 Direct overheads"/>
      <sheetName val="2.8. Process wise depreciation"/>
      <sheetName val="2.9Process wise Direct overhead"/>
      <sheetName val="2.22 Resource wise cost"/>
      <sheetName val="2.10 Indirect overheads"/>
      <sheetName val="PCP Sales"/>
      <sheetName val="2.11 S&amp;M overhead"/>
      <sheetName val="2.13. Cost computation-CPS"/>
      <sheetName val="2.14. Cost computation - MO"/>
      <sheetName val="2.15.Cost computation PKO V1216"/>
      <sheetName val="2.17.Cost computation PKO V1214"/>
      <sheetName val="2.16.Cost computation CNO V1216"/>
      <sheetName val="2.18.Cost computation CNO V1214"/>
      <sheetName val="2.17.Cost computation PKO Laur"/>
      <sheetName val="2.17.Split Fatty Acid V12 14"/>
      <sheetName val="2.17.Cost computation PKFAD"/>
      <sheetName val="2.12 Cost computation-PFAD"/>
      <sheetName val="2.19 Cost computation-RBDPS"/>
      <sheetName val="2.20. Substitutable values"/>
      <sheetName val="2.21.Substitutable value comp"/>
      <sheetName val="2.23  Mixed  residue Process"/>
      <sheetName val="2.24 Alcohol process"/>
      <sheetName val="2.25 Mustard residue Process"/>
      <sheetName val="2.26 PKO Residue Process"/>
      <sheetName val="I-Credits"/>
      <sheetName val="1.3. Location &amp; Resource"/>
      <sheetName val="1.8. Logistics cost"/>
      <sheetName val="1.6 S&amp;M overheads"/>
      <sheetName val="1.9. Direct overheads"/>
      <sheetName val="1.13. CPS processing cost"/>
      <sheetName val="1.14 PKO Processing cost"/>
      <sheetName val="1.18.PKFAD processing cost"/>
      <sheetName val="1.15. PFAD processing cost"/>
      <sheetName val="1.16. RBDPS processing cost"/>
      <sheetName val="1.17 Mustard processing cost"/>
      <sheetName val="MIX RESIDUE processing cost"/>
      <sheetName val="MCT Processing cost"/>
      <sheetName val="PKO Reco Sheet"/>
      <sheetName val="Mustard Reco Sheet"/>
      <sheetName val="PFAD Reco Sheet"/>
      <sheetName val="Hydrgen Gas BOM"/>
      <sheetName val="CNO-Final"/>
      <sheetName val="Pastillator &amp; Flaker Cost"/>
      <sheetName val="MCT computation"/>
      <sheetName val="PM"/>
      <sheetName val="Names"/>
      <sheetName val="Input output sheet-MCT"/>
      <sheetName val="10. Data list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16">
          <cell r="AA16">
            <v>0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>
        <row r="5">
          <cell r="B5" t="str">
            <v>Taloja Lurgi</v>
          </cell>
          <cell r="C5" t="str">
            <v>Sion distill</v>
          </cell>
          <cell r="F5" t="str">
            <v>Sion Hyd</v>
          </cell>
          <cell r="G5" t="str">
            <v>Taloja Alc</v>
          </cell>
          <cell r="H5" t="str">
            <v>Sion</v>
          </cell>
          <cell r="I5" t="str">
            <v>Sion</v>
          </cell>
        </row>
        <row r="6">
          <cell r="C6" t="str">
            <v>Section 3</v>
          </cell>
          <cell r="F6" t="str">
            <v>Taloja Hyd</v>
          </cell>
          <cell r="G6">
            <v>0</v>
          </cell>
          <cell r="H6" t="str">
            <v>Taloja</v>
          </cell>
          <cell r="I6" t="str">
            <v>Taloja</v>
          </cell>
        </row>
        <row r="7">
          <cell r="C7" t="str">
            <v>Section 4</v>
          </cell>
          <cell r="F7">
            <v>0</v>
          </cell>
          <cell r="G7">
            <v>0</v>
          </cell>
          <cell r="H7">
            <v>0</v>
          </cell>
          <cell r="I7" t="str">
            <v>Kutch-1</v>
          </cell>
        </row>
        <row r="8">
          <cell r="C8" t="str">
            <v>Section 5</v>
          </cell>
          <cell r="F8">
            <v>0</v>
          </cell>
          <cell r="G8">
            <v>0</v>
          </cell>
          <cell r="H8">
            <v>0</v>
          </cell>
          <cell r="I8" t="str">
            <v>Kutch-2</v>
          </cell>
        </row>
        <row r="9">
          <cell r="C9" t="str">
            <v>SPD</v>
          </cell>
          <cell r="F9">
            <v>0</v>
          </cell>
          <cell r="G9">
            <v>0</v>
          </cell>
          <cell r="H9">
            <v>0</v>
          </cell>
          <cell r="I9" t="str">
            <v>Navsari</v>
          </cell>
        </row>
        <row r="10">
          <cell r="C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>
            <v>0</v>
          </cell>
          <cell r="F11">
            <v>0</v>
          </cell>
          <cell r="G11">
            <v>0</v>
          </cell>
          <cell r="H11">
            <v>0</v>
          </cell>
          <cell r="I11" t="str">
            <v>Baddi</v>
          </cell>
        </row>
      </sheetData>
      <sheetData sheetId="7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.2.1"/>
      <sheetName val="5.2.2"/>
      <sheetName val="5.1"/>
      <sheetName val="scene2001"/>
      <sheetName val="sulmis"/>
      <sheetName val="Sheet2"/>
      <sheetName val="COST1_12FINAL"/>
      <sheetName val="CGS"/>
      <sheetName val="sumpl01"/>
      <sheetName val="Hrlyrate 2001"/>
      <sheetName val="Hrly rate(revised)"/>
      <sheetName val="BU01costsummary"/>
      <sheetName val="Depreciation"/>
      <sheetName val="rfsaleses2001"/>
      <sheetName val="SUMESBKG01"/>
      <sheetName val="sortbook"/>
      <sheetName val="Esbkg01"/>
      <sheetName val="Esmtl01"/>
      <sheetName val="f101book"/>
      <sheetName val="Bu00sales"/>
      <sheetName val="Ob2000"/>
      <sheetName val="Percost"/>
      <sheetName val="Operexps"/>
      <sheetName val="EXPSSUM"/>
      <sheetName val="sal Jan-Jul 01"/>
      <sheetName val="cgstsa9600"/>
      <sheetName val="Misbu02"/>
      <sheetName val="gendet"/>
      <sheetName val="summary cc2001"/>
      <sheetName val="revbuo2"/>
      <sheetName val="Expshist"/>
      <sheetName val="aborption"/>
      <sheetName val="Variance"/>
      <sheetName val="prodmix"/>
      <sheetName val="BU00book"/>
      <sheetName val="comments"/>
      <sheetName val="busplan option"/>
      <sheetName val="booking gp stat"/>
      <sheetName val="bookstat"/>
      <sheetName val="bsheet"/>
      <sheetName val="opasst"/>
      <sheetName val="cashflow"/>
      <sheetName val="gpmodel"/>
      <sheetName val="WORKINGS"/>
      <sheetName val="busplan option (2)"/>
      <sheetName val="AS PER BUD 2001 (3)"/>
      <sheetName val="Sumpl"/>
      <sheetName val="Sheet1"/>
      <sheetName val="gpmtlopt"/>
      <sheetName val="gpmtlpes"/>
      <sheetName val="sortdisp (2)"/>
      <sheetName val="Bookf2"/>
      <sheetName val="Disp"/>
      <sheetName val="f1pes"/>
      <sheetName val="Roughes01"/>
      <sheetName val="f1opt"/>
      <sheetName val="dispsum"/>
      <sheetName val="sortdisp"/>
      <sheetName val="Disp (2)"/>
      <sheetName val="pob"/>
      <sheetName val="MISes01"/>
      <sheetName val="octa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O3" t="str">
            <v>BUDGET 2001</v>
          </cell>
        </row>
        <row r="4">
          <cell r="O4">
            <v>6500</v>
          </cell>
        </row>
        <row r="5">
          <cell r="O5">
            <v>6300000</v>
          </cell>
        </row>
        <row r="6">
          <cell r="O6">
            <v>10000</v>
          </cell>
        </row>
        <row r="7">
          <cell r="O7">
            <v>2000</v>
          </cell>
        </row>
        <row r="8">
          <cell r="O8">
            <v>1000</v>
          </cell>
        </row>
        <row r="9">
          <cell r="O9">
            <v>3000</v>
          </cell>
        </row>
        <row r="10">
          <cell r="O10">
            <v>100000</v>
          </cell>
        </row>
        <row r="11">
          <cell r="O11">
            <v>6000</v>
          </cell>
        </row>
        <row r="12">
          <cell r="O12">
            <v>200000</v>
          </cell>
        </row>
        <row r="13">
          <cell r="O13">
            <v>9000</v>
          </cell>
        </row>
        <row r="14">
          <cell r="O14">
            <v>50000</v>
          </cell>
        </row>
        <row r="15">
          <cell r="O15">
            <v>500000</v>
          </cell>
        </row>
        <row r="16">
          <cell r="O16">
            <v>100000</v>
          </cell>
        </row>
        <row r="17">
          <cell r="O17">
            <v>5000</v>
          </cell>
        </row>
        <row r="19">
          <cell r="O19">
            <v>18000</v>
          </cell>
        </row>
        <row r="20">
          <cell r="O20">
            <v>90000</v>
          </cell>
        </row>
        <row r="22">
          <cell r="O22">
            <v>20000</v>
          </cell>
        </row>
        <row r="23">
          <cell r="O23">
            <v>215000</v>
          </cell>
        </row>
        <row r="24">
          <cell r="O24">
            <v>5000</v>
          </cell>
        </row>
        <row r="25">
          <cell r="O25">
            <v>150000</v>
          </cell>
        </row>
        <row r="26">
          <cell r="O26">
            <v>50000</v>
          </cell>
        </row>
        <row r="27">
          <cell r="O27">
            <v>50000</v>
          </cell>
        </row>
        <row r="28">
          <cell r="O28">
            <v>270000</v>
          </cell>
        </row>
        <row r="29">
          <cell r="O29">
            <v>700000</v>
          </cell>
        </row>
        <row r="30">
          <cell r="O30">
            <v>5000</v>
          </cell>
        </row>
        <row r="31">
          <cell r="O31">
            <v>500000</v>
          </cell>
        </row>
        <row r="32">
          <cell r="O32">
            <v>500000</v>
          </cell>
        </row>
        <row r="33">
          <cell r="O33">
            <v>240000</v>
          </cell>
        </row>
        <row r="34">
          <cell r="O34">
            <v>400000</v>
          </cell>
        </row>
        <row r="35">
          <cell r="O35">
            <v>220000</v>
          </cell>
        </row>
        <row r="36">
          <cell r="O36">
            <v>950000</v>
          </cell>
        </row>
        <row r="37">
          <cell r="O37">
            <v>150000</v>
          </cell>
        </row>
        <row r="38">
          <cell r="O38">
            <v>420000</v>
          </cell>
        </row>
        <row r="39">
          <cell r="O39">
            <v>700000</v>
          </cell>
        </row>
        <row r="41">
          <cell r="O41">
            <v>6000000</v>
          </cell>
        </row>
        <row r="42">
          <cell r="O42">
            <v>30000</v>
          </cell>
        </row>
        <row r="43">
          <cell r="O43">
            <v>50000</v>
          </cell>
        </row>
        <row r="44">
          <cell r="O44">
            <v>10000</v>
          </cell>
        </row>
        <row r="45">
          <cell r="O45">
            <v>5000</v>
          </cell>
        </row>
        <row r="46">
          <cell r="O46">
            <v>30000</v>
          </cell>
        </row>
        <row r="47">
          <cell r="O47">
            <v>400000</v>
          </cell>
        </row>
        <row r="48">
          <cell r="O48">
            <v>18000</v>
          </cell>
        </row>
        <row r="49">
          <cell r="O49">
            <v>20000</v>
          </cell>
        </row>
        <row r="50">
          <cell r="O50">
            <v>1000000</v>
          </cell>
        </row>
        <row r="51">
          <cell r="O51">
            <v>60000</v>
          </cell>
        </row>
        <row r="53">
          <cell r="O53">
            <v>70000</v>
          </cell>
        </row>
        <row r="54">
          <cell r="O54">
            <v>225000</v>
          </cell>
        </row>
        <row r="55">
          <cell r="O55">
            <v>1000</v>
          </cell>
        </row>
        <row r="58">
          <cell r="O58">
            <v>360000</v>
          </cell>
        </row>
        <row r="59">
          <cell r="O59">
            <v>5000</v>
          </cell>
        </row>
        <row r="60">
          <cell r="O60">
            <v>120000</v>
          </cell>
        </row>
        <row r="61">
          <cell r="O61">
            <v>300000</v>
          </cell>
        </row>
        <row r="62">
          <cell r="O62">
            <v>24000</v>
          </cell>
        </row>
        <row r="63">
          <cell r="O63">
            <v>360000</v>
          </cell>
        </row>
        <row r="64">
          <cell r="O64">
            <v>2000</v>
          </cell>
        </row>
        <row r="65">
          <cell r="O65">
            <v>45000</v>
          </cell>
        </row>
        <row r="66">
          <cell r="O66">
            <v>9000</v>
          </cell>
        </row>
        <row r="67">
          <cell r="O67">
            <v>120000</v>
          </cell>
        </row>
        <row r="68">
          <cell r="O68">
            <v>2000</v>
          </cell>
        </row>
        <row r="69">
          <cell r="O69">
            <v>80000</v>
          </cell>
        </row>
        <row r="72">
          <cell r="O72">
            <v>7000</v>
          </cell>
        </row>
        <row r="73">
          <cell r="O73">
            <v>150000</v>
          </cell>
        </row>
        <row r="74">
          <cell r="O74">
            <v>300000</v>
          </cell>
        </row>
        <row r="79">
          <cell r="O79">
            <v>1000</v>
          </cell>
        </row>
        <row r="80">
          <cell r="O80">
            <v>2000</v>
          </cell>
        </row>
        <row r="81">
          <cell r="O81">
            <v>15000</v>
          </cell>
        </row>
        <row r="82">
          <cell r="O82">
            <v>6000</v>
          </cell>
        </row>
        <row r="83">
          <cell r="O83">
            <v>450000</v>
          </cell>
        </row>
        <row r="84">
          <cell r="O84">
            <v>2000</v>
          </cell>
        </row>
        <row r="85">
          <cell r="O85">
            <v>900000</v>
          </cell>
        </row>
        <row r="86">
          <cell r="O86">
            <v>28000</v>
          </cell>
        </row>
        <row r="87">
          <cell r="O87">
            <v>3000</v>
          </cell>
        </row>
        <row r="88">
          <cell r="O88">
            <v>700000</v>
          </cell>
        </row>
        <row r="89">
          <cell r="O89">
            <v>15000</v>
          </cell>
        </row>
        <row r="90">
          <cell r="O90">
            <v>1000</v>
          </cell>
        </row>
        <row r="91">
          <cell r="O91">
            <v>1000</v>
          </cell>
        </row>
        <row r="93">
          <cell r="O93">
            <v>1000</v>
          </cell>
        </row>
        <row r="94">
          <cell r="O94">
            <v>250000</v>
          </cell>
        </row>
        <row r="95">
          <cell r="O95">
            <v>4000</v>
          </cell>
        </row>
        <row r="96">
          <cell r="O96">
            <v>140000</v>
          </cell>
        </row>
        <row r="98">
          <cell r="O98">
            <v>50000</v>
          </cell>
        </row>
        <row r="100">
          <cell r="O100">
            <v>1000</v>
          </cell>
        </row>
        <row r="101">
          <cell r="O101">
            <v>90000</v>
          </cell>
        </row>
        <row r="102">
          <cell r="O102">
            <v>100000</v>
          </cell>
        </row>
        <row r="103">
          <cell r="O103">
            <v>50000</v>
          </cell>
        </row>
        <row r="104">
          <cell r="O104">
            <v>12000</v>
          </cell>
        </row>
        <row r="105">
          <cell r="O105">
            <v>6000</v>
          </cell>
        </row>
        <row r="106">
          <cell r="O106">
            <v>200000</v>
          </cell>
        </row>
        <row r="107">
          <cell r="O107">
            <v>25000</v>
          </cell>
        </row>
        <row r="108">
          <cell r="O108">
            <v>20000</v>
          </cell>
        </row>
        <row r="112">
          <cell r="O112">
            <v>2000</v>
          </cell>
        </row>
        <row r="113">
          <cell r="O113">
            <v>12000</v>
          </cell>
        </row>
        <row r="114">
          <cell r="O114">
            <v>40000</v>
          </cell>
        </row>
        <row r="115">
          <cell r="O115">
            <v>35000</v>
          </cell>
        </row>
        <row r="117">
          <cell r="O117">
            <v>4000</v>
          </cell>
        </row>
        <row r="118">
          <cell r="O118">
            <v>200000</v>
          </cell>
        </row>
        <row r="119">
          <cell r="O119">
            <v>145000</v>
          </cell>
        </row>
        <row r="120">
          <cell r="O120">
            <v>12000</v>
          </cell>
        </row>
        <row r="121">
          <cell r="O121">
            <v>5000</v>
          </cell>
        </row>
        <row r="122">
          <cell r="O122">
            <v>20000</v>
          </cell>
        </row>
        <row r="123">
          <cell r="O123">
            <v>90000</v>
          </cell>
        </row>
        <row r="124">
          <cell r="O124">
            <v>42000</v>
          </cell>
        </row>
        <row r="126">
          <cell r="O126">
            <v>500000</v>
          </cell>
        </row>
        <row r="127">
          <cell r="O127">
            <v>35000</v>
          </cell>
        </row>
        <row r="128">
          <cell r="O128">
            <v>3000000</v>
          </cell>
        </row>
        <row r="129">
          <cell r="O129">
            <v>400000</v>
          </cell>
        </row>
        <row r="130">
          <cell r="O130">
            <v>300000</v>
          </cell>
        </row>
        <row r="131">
          <cell r="O131">
            <v>12750</v>
          </cell>
        </row>
        <row r="132">
          <cell r="O132">
            <v>180000</v>
          </cell>
        </row>
        <row r="133">
          <cell r="O133">
            <v>25000</v>
          </cell>
        </row>
        <row r="134">
          <cell r="O134">
            <v>3000</v>
          </cell>
        </row>
        <row r="135">
          <cell r="O135">
            <v>36000</v>
          </cell>
        </row>
        <row r="136">
          <cell r="O136">
            <v>50000</v>
          </cell>
        </row>
        <row r="137">
          <cell r="O137">
            <v>150000</v>
          </cell>
        </row>
        <row r="138">
          <cell r="O138">
            <v>172000</v>
          </cell>
        </row>
        <row r="139">
          <cell r="O139">
            <v>36000</v>
          </cell>
        </row>
        <row r="140">
          <cell r="O140">
            <v>100000</v>
          </cell>
        </row>
        <row r="141">
          <cell r="O141">
            <v>4670000</v>
          </cell>
        </row>
        <row r="142">
          <cell r="O142">
            <v>50000</v>
          </cell>
        </row>
        <row r="143">
          <cell r="O143">
            <v>19000000</v>
          </cell>
        </row>
        <row r="144">
          <cell r="O144">
            <v>-497000</v>
          </cell>
        </row>
        <row r="145">
          <cell r="O145">
            <v>35000</v>
          </cell>
        </row>
        <row r="146">
          <cell r="O146">
            <v>10000</v>
          </cell>
        </row>
        <row r="148">
          <cell r="O148">
            <v>100000</v>
          </cell>
        </row>
        <row r="149">
          <cell r="O149">
            <v>50000</v>
          </cell>
        </row>
        <row r="150">
          <cell r="O150">
            <v>300000</v>
          </cell>
        </row>
        <row r="151">
          <cell r="O151">
            <v>1400000</v>
          </cell>
        </row>
        <row r="152">
          <cell r="O152">
            <v>1200000</v>
          </cell>
        </row>
        <row r="153">
          <cell r="O153">
            <v>6000000</v>
          </cell>
        </row>
        <row r="154">
          <cell r="O154">
            <v>100000</v>
          </cell>
        </row>
        <row r="155">
          <cell r="O155">
            <v>1500000</v>
          </cell>
        </row>
        <row r="156">
          <cell r="O156">
            <v>5000000</v>
          </cell>
        </row>
        <row r="158">
          <cell r="O158">
            <v>500000</v>
          </cell>
        </row>
        <row r="159">
          <cell r="O159">
            <v>1000000</v>
          </cell>
        </row>
        <row r="162">
          <cell r="O162">
            <v>3000000</v>
          </cell>
        </row>
        <row r="164">
          <cell r="O164">
            <v>4632000</v>
          </cell>
        </row>
        <row r="165">
          <cell r="O165">
            <v>3000</v>
          </cell>
        </row>
        <row r="166">
          <cell r="O166">
            <v>72000</v>
          </cell>
        </row>
        <row r="167">
          <cell r="O167">
            <v>24000</v>
          </cell>
        </row>
        <row r="168">
          <cell r="O168">
            <v>2000</v>
          </cell>
        </row>
        <row r="169">
          <cell r="O169">
            <v>150000</v>
          </cell>
        </row>
        <row r="172">
          <cell r="O172">
            <v>3000</v>
          </cell>
        </row>
        <row r="173">
          <cell r="O173">
            <v>72000</v>
          </cell>
        </row>
        <row r="174">
          <cell r="O174">
            <v>30000</v>
          </cell>
        </row>
        <row r="175">
          <cell r="O175">
            <v>2000</v>
          </cell>
        </row>
        <row r="176">
          <cell r="O176">
            <v>1000</v>
          </cell>
        </row>
        <row r="177">
          <cell r="O177">
            <v>150000</v>
          </cell>
        </row>
        <row r="179">
          <cell r="O179">
            <v>2000</v>
          </cell>
        </row>
        <row r="180">
          <cell r="O180">
            <v>200000</v>
          </cell>
        </row>
        <row r="181">
          <cell r="O181">
            <v>20000</v>
          </cell>
        </row>
        <row r="182">
          <cell r="O182">
            <v>72000</v>
          </cell>
        </row>
        <row r="183">
          <cell r="O183">
            <v>12000</v>
          </cell>
        </row>
        <row r="184">
          <cell r="O184">
            <v>100000</v>
          </cell>
        </row>
        <row r="185">
          <cell r="O185">
            <v>700000</v>
          </cell>
        </row>
        <row r="186">
          <cell r="O186">
            <v>40000</v>
          </cell>
        </row>
        <row r="187">
          <cell r="O187">
            <v>1000</v>
          </cell>
        </row>
        <row r="188">
          <cell r="O188">
            <v>24000</v>
          </cell>
        </row>
        <row r="189">
          <cell r="O189">
            <v>240000</v>
          </cell>
        </row>
        <row r="190">
          <cell r="O190">
            <v>50000</v>
          </cell>
        </row>
        <row r="191">
          <cell r="O191">
            <v>500000</v>
          </cell>
        </row>
        <row r="192">
          <cell r="O192">
            <v>24000</v>
          </cell>
        </row>
        <row r="193">
          <cell r="O193">
            <v>750000</v>
          </cell>
        </row>
        <row r="194">
          <cell r="O194">
            <v>2000</v>
          </cell>
        </row>
        <row r="195">
          <cell r="O195">
            <v>8000</v>
          </cell>
        </row>
        <row r="197">
          <cell r="O197">
            <v>2500</v>
          </cell>
        </row>
        <row r="198">
          <cell r="O198">
            <v>30000</v>
          </cell>
        </row>
        <row r="199">
          <cell r="O199">
            <v>1000</v>
          </cell>
        </row>
        <row r="200">
          <cell r="O200">
            <v>150000</v>
          </cell>
        </row>
        <row r="201">
          <cell r="O201">
            <v>18000</v>
          </cell>
        </row>
        <row r="203">
          <cell r="O203">
            <v>200000</v>
          </cell>
        </row>
        <row r="204">
          <cell r="O204">
            <v>3000</v>
          </cell>
        </row>
        <row r="206">
          <cell r="O206">
            <v>60000</v>
          </cell>
        </row>
        <row r="207">
          <cell r="O207">
            <v>12000</v>
          </cell>
        </row>
        <row r="208">
          <cell r="O208">
            <v>2000000</v>
          </cell>
        </row>
        <row r="209">
          <cell r="O209">
            <v>10000</v>
          </cell>
        </row>
        <row r="210">
          <cell r="O210">
            <v>160000</v>
          </cell>
        </row>
        <row r="211">
          <cell r="O211">
            <v>80000</v>
          </cell>
        </row>
        <row r="212">
          <cell r="O212">
            <v>100000</v>
          </cell>
        </row>
        <row r="213">
          <cell r="O213">
            <v>360000</v>
          </cell>
        </row>
        <row r="214">
          <cell r="O214">
            <v>120000</v>
          </cell>
        </row>
        <row r="215">
          <cell r="O215">
            <v>30000</v>
          </cell>
        </row>
        <row r="216">
          <cell r="O216">
            <v>130000</v>
          </cell>
        </row>
        <row r="217">
          <cell r="O217">
            <v>0</v>
          </cell>
        </row>
        <row r="218">
          <cell r="O218">
            <v>5000</v>
          </cell>
        </row>
        <row r="219">
          <cell r="O219">
            <v>3000</v>
          </cell>
        </row>
        <row r="220">
          <cell r="O220">
            <v>24000</v>
          </cell>
        </row>
        <row r="221">
          <cell r="O221">
            <v>45000</v>
          </cell>
        </row>
        <row r="222">
          <cell r="O222">
            <v>36000</v>
          </cell>
        </row>
        <row r="223">
          <cell r="O223">
            <v>12000</v>
          </cell>
        </row>
        <row r="224">
          <cell r="O224">
            <v>65000</v>
          </cell>
        </row>
        <row r="225">
          <cell r="O225">
            <v>24000</v>
          </cell>
        </row>
        <row r="227">
          <cell r="O227">
            <v>4500000</v>
          </cell>
        </row>
        <row r="229">
          <cell r="O229">
            <v>500000</v>
          </cell>
        </row>
        <row r="231">
          <cell r="O231">
            <v>6000</v>
          </cell>
        </row>
        <row r="237">
          <cell r="O237">
            <v>300000</v>
          </cell>
        </row>
        <row r="238">
          <cell r="O238">
            <v>4000</v>
          </cell>
        </row>
        <row r="239">
          <cell r="O239">
            <v>5000</v>
          </cell>
        </row>
        <row r="240">
          <cell r="O240">
            <v>2400</v>
          </cell>
        </row>
        <row r="242">
          <cell r="O242">
            <v>12000</v>
          </cell>
        </row>
        <row r="243">
          <cell r="O243">
            <v>9000</v>
          </cell>
        </row>
        <row r="246">
          <cell r="O246">
            <v>50000</v>
          </cell>
        </row>
        <row r="247">
          <cell r="O247">
            <v>260000</v>
          </cell>
        </row>
        <row r="248">
          <cell r="O248">
            <v>500</v>
          </cell>
        </row>
        <row r="249">
          <cell r="O249">
            <v>72000</v>
          </cell>
        </row>
        <row r="250">
          <cell r="O250">
            <v>50000</v>
          </cell>
        </row>
        <row r="251">
          <cell r="O251">
            <v>360000</v>
          </cell>
        </row>
        <row r="252">
          <cell r="O252">
            <v>200000</v>
          </cell>
        </row>
        <row r="253">
          <cell r="O253">
            <v>360000</v>
          </cell>
        </row>
        <row r="254">
          <cell r="O254">
            <v>1000</v>
          </cell>
        </row>
        <row r="255">
          <cell r="O255">
            <v>5000</v>
          </cell>
        </row>
        <row r="256">
          <cell r="O256">
            <v>5000</v>
          </cell>
        </row>
        <row r="257">
          <cell r="O257">
            <v>200000</v>
          </cell>
        </row>
        <row r="258">
          <cell r="O258">
            <v>2000</v>
          </cell>
        </row>
        <row r="259">
          <cell r="O259">
            <v>120000</v>
          </cell>
        </row>
        <row r="260">
          <cell r="O260">
            <v>500</v>
          </cell>
        </row>
        <row r="261">
          <cell r="O261">
            <v>30000</v>
          </cell>
        </row>
        <row r="262">
          <cell r="O262">
            <v>55000</v>
          </cell>
        </row>
        <row r="263">
          <cell r="O263">
            <v>18000</v>
          </cell>
        </row>
        <row r="266">
          <cell r="O266">
            <v>1000</v>
          </cell>
        </row>
        <row r="267">
          <cell r="O267">
            <v>4000</v>
          </cell>
        </row>
        <row r="268">
          <cell r="O268">
            <v>175000</v>
          </cell>
        </row>
        <row r="269">
          <cell r="O269">
            <v>25000</v>
          </cell>
        </row>
        <row r="271">
          <cell r="O271">
            <v>2000</v>
          </cell>
        </row>
        <row r="272">
          <cell r="O272">
            <v>90000</v>
          </cell>
        </row>
        <row r="273">
          <cell r="O273">
            <v>500</v>
          </cell>
        </row>
        <row r="277">
          <cell r="O277">
            <v>15000</v>
          </cell>
        </row>
        <row r="278">
          <cell r="O278">
            <v>110000</v>
          </cell>
        </row>
        <row r="279">
          <cell r="O279">
            <v>25000</v>
          </cell>
        </row>
        <row r="281">
          <cell r="O281">
            <v>220000</v>
          </cell>
        </row>
        <row r="282">
          <cell r="O282">
            <v>2500</v>
          </cell>
        </row>
        <row r="283">
          <cell r="O283">
            <v>4000</v>
          </cell>
        </row>
        <row r="286">
          <cell r="O286">
            <v>1250</v>
          </cell>
        </row>
        <row r="287">
          <cell r="O287">
            <v>150000</v>
          </cell>
        </row>
        <row r="288">
          <cell r="O288">
            <v>90000</v>
          </cell>
        </row>
        <row r="291">
          <cell r="O291">
            <v>4000</v>
          </cell>
        </row>
        <row r="292">
          <cell r="O292">
            <v>48000</v>
          </cell>
        </row>
        <row r="294">
          <cell r="O294">
            <v>60000</v>
          </cell>
        </row>
        <row r="295">
          <cell r="O295">
            <v>75000</v>
          </cell>
        </row>
        <row r="296">
          <cell r="O296">
            <v>22000</v>
          </cell>
        </row>
        <row r="297">
          <cell r="O297">
            <v>5000</v>
          </cell>
        </row>
        <row r="298">
          <cell r="O298">
            <v>10000</v>
          </cell>
        </row>
        <row r="300">
          <cell r="O300">
            <v>40000</v>
          </cell>
        </row>
        <row r="302">
          <cell r="O302">
            <v>240000</v>
          </cell>
        </row>
        <row r="303">
          <cell r="O303">
            <v>36000</v>
          </cell>
        </row>
        <row r="305">
          <cell r="O305">
            <v>360000</v>
          </cell>
        </row>
        <row r="308">
          <cell r="O308">
            <v>2000</v>
          </cell>
        </row>
        <row r="309">
          <cell r="O309">
            <v>3000</v>
          </cell>
        </row>
        <row r="311">
          <cell r="O311">
            <v>1200</v>
          </cell>
        </row>
        <row r="313">
          <cell r="O313">
            <v>120000</v>
          </cell>
        </row>
        <row r="314">
          <cell r="O314">
            <v>50000</v>
          </cell>
        </row>
        <row r="318">
          <cell r="O318">
            <v>36000</v>
          </cell>
        </row>
        <row r="319">
          <cell r="O319">
            <v>45000</v>
          </cell>
        </row>
        <row r="321">
          <cell r="O321">
            <v>210000</v>
          </cell>
        </row>
        <row r="322">
          <cell r="O322">
            <v>25000</v>
          </cell>
        </row>
        <row r="323">
          <cell r="O323">
            <v>3000</v>
          </cell>
        </row>
        <row r="325">
          <cell r="O325">
            <v>25000</v>
          </cell>
        </row>
        <row r="327">
          <cell r="O327">
            <v>270000</v>
          </cell>
        </row>
        <row r="328">
          <cell r="O328">
            <v>15000</v>
          </cell>
        </row>
        <row r="329">
          <cell r="O329">
            <v>1000</v>
          </cell>
        </row>
        <row r="330">
          <cell r="O330">
            <v>200000</v>
          </cell>
        </row>
        <row r="333">
          <cell r="O333">
            <v>3000</v>
          </cell>
        </row>
        <row r="335">
          <cell r="O335">
            <v>72000</v>
          </cell>
        </row>
        <row r="336">
          <cell r="O336">
            <v>40000</v>
          </cell>
        </row>
        <row r="338">
          <cell r="O338">
            <v>15000</v>
          </cell>
        </row>
        <row r="339">
          <cell r="O339">
            <v>36000</v>
          </cell>
        </row>
        <row r="340">
          <cell r="O340">
            <v>114000</v>
          </cell>
        </row>
        <row r="341">
          <cell r="O341">
            <v>15000</v>
          </cell>
        </row>
        <row r="342">
          <cell r="O342">
            <v>5000</v>
          </cell>
        </row>
        <row r="343">
          <cell r="O343">
            <v>8000</v>
          </cell>
        </row>
        <row r="344">
          <cell r="O344">
            <v>6000</v>
          </cell>
        </row>
        <row r="347">
          <cell r="O347">
            <v>150000</v>
          </cell>
        </row>
        <row r="348">
          <cell r="O348">
            <v>6000</v>
          </cell>
        </row>
        <row r="350">
          <cell r="O350">
            <v>120000</v>
          </cell>
        </row>
        <row r="353">
          <cell r="O353">
            <v>2000</v>
          </cell>
        </row>
        <row r="354">
          <cell r="O354">
            <v>12000</v>
          </cell>
        </row>
        <row r="356">
          <cell r="O356">
            <v>200000</v>
          </cell>
        </row>
        <row r="358">
          <cell r="O358">
            <v>75000</v>
          </cell>
        </row>
        <row r="359">
          <cell r="O359">
            <v>50000</v>
          </cell>
        </row>
        <row r="361">
          <cell r="O361">
            <v>10000</v>
          </cell>
        </row>
        <row r="362">
          <cell r="O362">
            <v>130000</v>
          </cell>
        </row>
        <row r="363">
          <cell r="O363">
            <v>72000</v>
          </cell>
        </row>
        <row r="364">
          <cell r="O364">
            <v>60000</v>
          </cell>
        </row>
        <row r="365">
          <cell r="O365">
            <v>1080000</v>
          </cell>
        </row>
        <row r="366">
          <cell r="O366">
            <v>10000</v>
          </cell>
        </row>
        <row r="367">
          <cell r="O367">
            <v>24000</v>
          </cell>
        </row>
        <row r="368">
          <cell r="O368">
            <v>8000</v>
          </cell>
        </row>
        <row r="369">
          <cell r="O369">
            <v>100000</v>
          </cell>
        </row>
        <row r="371">
          <cell r="O371">
            <v>240000</v>
          </cell>
        </row>
        <row r="373">
          <cell r="O373">
            <v>12000</v>
          </cell>
        </row>
        <row r="374">
          <cell r="O374">
            <v>6000</v>
          </cell>
        </row>
        <row r="375">
          <cell r="O375">
            <v>240000</v>
          </cell>
        </row>
        <row r="378">
          <cell r="O378">
            <v>2000</v>
          </cell>
        </row>
        <row r="379">
          <cell r="O379">
            <v>2000</v>
          </cell>
        </row>
        <row r="381">
          <cell r="O381">
            <v>1000</v>
          </cell>
        </row>
        <row r="382">
          <cell r="O382">
            <v>170000</v>
          </cell>
        </row>
        <row r="383">
          <cell r="O383">
            <v>54000</v>
          </cell>
        </row>
        <row r="385">
          <cell r="O385">
            <v>30000</v>
          </cell>
        </row>
        <row r="386">
          <cell r="O386">
            <v>30000</v>
          </cell>
        </row>
        <row r="387">
          <cell r="O387">
            <v>302400</v>
          </cell>
        </row>
        <row r="388">
          <cell r="O388">
            <v>5000</v>
          </cell>
        </row>
        <row r="389">
          <cell r="O389">
            <v>1000</v>
          </cell>
        </row>
        <row r="390">
          <cell r="O390">
            <v>8000</v>
          </cell>
        </row>
        <row r="391">
          <cell r="O391">
            <v>15000</v>
          </cell>
        </row>
        <row r="393">
          <cell r="O393">
            <v>240000</v>
          </cell>
        </row>
        <row r="395">
          <cell r="O395">
            <v>12000</v>
          </cell>
        </row>
        <row r="396">
          <cell r="O396">
            <v>4000</v>
          </cell>
        </row>
        <row r="397">
          <cell r="O397">
            <v>360000</v>
          </cell>
        </row>
        <row r="402">
          <cell r="O402">
            <v>8000000</v>
          </cell>
        </row>
        <row r="403">
          <cell r="O403">
            <v>50000</v>
          </cell>
        </row>
        <row r="406">
          <cell r="O406">
            <v>2200000</v>
          </cell>
        </row>
        <row r="409">
          <cell r="O409">
            <v>1000000</v>
          </cell>
        </row>
        <row r="413">
          <cell r="O413">
            <v>1000</v>
          </cell>
        </row>
        <row r="415">
          <cell r="O415">
            <v>60000</v>
          </cell>
        </row>
        <row r="416">
          <cell r="O416">
            <v>15000</v>
          </cell>
        </row>
        <row r="418">
          <cell r="O418">
            <v>150000</v>
          </cell>
        </row>
        <row r="419">
          <cell r="O419">
            <v>75000</v>
          </cell>
        </row>
        <row r="420">
          <cell r="O420">
            <v>15000</v>
          </cell>
        </row>
        <row r="421">
          <cell r="O421">
            <v>90000</v>
          </cell>
        </row>
        <row r="425">
          <cell r="O425">
            <v>15000</v>
          </cell>
        </row>
        <row r="426">
          <cell r="O426">
            <v>180000</v>
          </cell>
        </row>
        <row r="428">
          <cell r="O428">
            <v>800000</v>
          </cell>
        </row>
        <row r="429">
          <cell r="O429">
            <v>15000</v>
          </cell>
        </row>
        <row r="430">
          <cell r="O430">
            <v>30000</v>
          </cell>
        </row>
        <row r="431">
          <cell r="O431">
            <v>8000000</v>
          </cell>
        </row>
        <row r="432">
          <cell r="O432">
            <v>6000</v>
          </cell>
        </row>
        <row r="434">
          <cell r="O434">
            <v>40000</v>
          </cell>
        </row>
        <row r="435">
          <cell r="O435">
            <v>15000</v>
          </cell>
        </row>
        <row r="436">
          <cell r="O436">
            <v>30000</v>
          </cell>
        </row>
        <row r="442">
          <cell r="O442">
            <v>15000</v>
          </cell>
        </row>
        <row r="443">
          <cell r="O443">
            <v>20000</v>
          </cell>
        </row>
        <row r="444">
          <cell r="O444">
            <v>1000000</v>
          </cell>
        </row>
        <row r="446">
          <cell r="O446">
            <v>120000</v>
          </cell>
        </row>
        <row r="447">
          <cell r="O447">
            <v>240000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Rectifications"/>
      <sheetName val="SSC Prepaid 2008"/>
      <sheetName val="SSC Mumbai Details 2008"/>
      <sheetName val="Zero Value Pivot"/>
      <sheetName val="Zeroi Value"/>
      <sheetName val="SAP India-All BA"/>
      <sheetName val="SAP India-1840"/>
      <sheetName val="Sify 1840"/>
      <sheetName val="Sify Ltd-1840"/>
      <sheetName val="Team-184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-e"/>
      <sheetName val="Sheet1"/>
      <sheetName val="FH Land"/>
      <sheetName val="LH Land"/>
      <sheetName val="BLDG"/>
      <sheetName val="P&amp;M"/>
      <sheetName val="SW"/>
      <sheetName val="FF"/>
      <sheetName val="Bus. &amp; Comm Rights"/>
      <sheetName val="Vehic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Index"/>
      <sheetName val="GENERAL"/>
      <sheetName val="GENERAL2"/>
      <sheetName val="SUBSIDIARY DETAILS"/>
      <sheetName val="NATUREOFBUSINESS"/>
      <sheetName val="BALANCE_SHEET"/>
      <sheetName val="PROFIT_LOSS"/>
      <sheetName val="OTHER_INFORMATION"/>
      <sheetName val="QUANTITATIVE_DETAILS"/>
      <sheetName val="PART_B"/>
      <sheetName val="PART_C"/>
      <sheetName val="HOUSE_PROPERTY"/>
      <sheetName val="BP"/>
      <sheetName val="DPM_DOA"/>
      <sheetName val="DEP_DCG"/>
      <sheetName val="ESR"/>
      <sheetName val="CG_OS"/>
      <sheetName val="CYLA BFLA"/>
      <sheetName val="CFL"/>
      <sheetName val="10A"/>
      <sheetName val="80G"/>
      <sheetName val="80_"/>
      <sheetName val="SI"/>
      <sheetName val="EI"/>
      <sheetName val="FRINGE_BENEFIT_INFO"/>
      <sheetName val="IT_FBT_DDTP"/>
      <sheetName val="DDT_TDS_TCS"/>
      <sheetName val="Instructions"/>
      <sheetName val="Pre_XM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65">
          <cell r="H65" t="str">
            <v>01-ANDAMAN AND NICOBAR ISLANDS</v>
          </cell>
          <cell r="J65" t="str">
            <v>01-ANDAMAN AND NICOBAR ISLANDS</v>
          </cell>
        </row>
        <row r="66">
          <cell r="H66" t="str">
            <v>02-ANDHRA PRADESH</v>
          </cell>
          <cell r="J66" t="str">
            <v>02-ANDHRA PRADESH</v>
          </cell>
        </row>
        <row r="67">
          <cell r="H67" t="str">
            <v>03-ARUNACHAL PRADESH</v>
          </cell>
          <cell r="J67" t="str">
            <v>03-ARUNACHAL PRADESH</v>
          </cell>
        </row>
        <row r="68">
          <cell r="H68" t="str">
            <v>04-ASSAM</v>
          </cell>
          <cell r="J68" t="str">
            <v>04-ASSAM</v>
          </cell>
        </row>
        <row r="69">
          <cell r="H69" t="str">
            <v>05-BIHAR</v>
          </cell>
          <cell r="J69" t="str">
            <v>05-BIHAR</v>
          </cell>
        </row>
        <row r="70">
          <cell r="H70" t="str">
            <v>06-CHANDIGARH</v>
          </cell>
          <cell r="J70" t="str">
            <v>06-CHANDIGARH</v>
          </cell>
        </row>
        <row r="71">
          <cell r="H71" t="str">
            <v>07-DADRA AND NAGAR HAVELI</v>
          </cell>
          <cell r="J71" t="str">
            <v>07-DADRA AND NAGAR HAVELI</v>
          </cell>
        </row>
        <row r="72">
          <cell r="H72" t="str">
            <v>08-DAMAN AND DIU</v>
          </cell>
          <cell r="J72" t="str">
            <v>08-DAMAN AND DIU</v>
          </cell>
        </row>
        <row r="73">
          <cell r="H73" t="str">
            <v>09-DELHI</v>
          </cell>
          <cell r="J73" t="str">
            <v>09-DELHI</v>
          </cell>
        </row>
        <row r="74">
          <cell r="H74" t="str">
            <v>10-GOA</v>
          </cell>
          <cell r="J74" t="str">
            <v>10-GOA</v>
          </cell>
        </row>
        <row r="75">
          <cell r="H75" t="str">
            <v>11-GUJARAT</v>
          </cell>
          <cell r="J75" t="str">
            <v>11-GUJARAT</v>
          </cell>
        </row>
        <row r="76">
          <cell r="H76" t="str">
            <v>12-HARYANA</v>
          </cell>
          <cell r="J76" t="str">
            <v>12-HARYANA</v>
          </cell>
        </row>
        <row r="77">
          <cell r="H77" t="str">
            <v>13-HIMACHAL PRADESH</v>
          </cell>
          <cell r="J77" t="str">
            <v>13-HIMACHAL PRADESH</v>
          </cell>
        </row>
        <row r="78">
          <cell r="H78" t="str">
            <v>14-JAMMU AND KASHMIR</v>
          </cell>
          <cell r="J78" t="str">
            <v>14-JAMMU AND KASHMIR</v>
          </cell>
        </row>
        <row r="79">
          <cell r="H79" t="str">
            <v>15-KARNATAKA</v>
          </cell>
          <cell r="J79" t="str">
            <v>15-KARNATAKA</v>
          </cell>
        </row>
        <row r="80">
          <cell r="H80" t="str">
            <v>16-KERALA</v>
          </cell>
          <cell r="J80" t="str">
            <v>16-KERALA</v>
          </cell>
        </row>
        <row r="81">
          <cell r="H81" t="str">
            <v>17-LAKHSWADEEP</v>
          </cell>
          <cell r="J81" t="str">
            <v>17-LAKHSWADEEP</v>
          </cell>
        </row>
        <row r="82">
          <cell r="H82" t="str">
            <v>18-MADHYA PRADESH</v>
          </cell>
          <cell r="J82" t="str">
            <v>18-MADHYA PRADESH</v>
          </cell>
        </row>
        <row r="83">
          <cell r="H83" t="str">
            <v>19-MAHARASHTRA</v>
          </cell>
          <cell r="J83" t="str">
            <v>19-MAHARASHTRA</v>
          </cell>
        </row>
        <row r="84">
          <cell r="H84" t="str">
            <v>20-MANIPUR</v>
          </cell>
          <cell r="J84" t="str">
            <v>20-MANIPUR</v>
          </cell>
        </row>
        <row r="85">
          <cell r="H85" t="str">
            <v>21-MEGHALAYA</v>
          </cell>
          <cell r="J85" t="str">
            <v>21-MEGHALAYA</v>
          </cell>
        </row>
        <row r="86">
          <cell r="H86" t="str">
            <v>22-MIZORAM</v>
          </cell>
          <cell r="J86" t="str">
            <v>22-MIZORAM</v>
          </cell>
        </row>
        <row r="87">
          <cell r="H87" t="str">
            <v>23-NAGALAND</v>
          </cell>
          <cell r="J87" t="str">
            <v>23-NAGALAND</v>
          </cell>
        </row>
        <row r="88">
          <cell r="H88" t="str">
            <v>24-ORISSA</v>
          </cell>
          <cell r="J88" t="str">
            <v>24-ORISSA</v>
          </cell>
        </row>
        <row r="89">
          <cell r="H89" t="str">
            <v>25-PONDICHERRY</v>
          </cell>
          <cell r="J89" t="str">
            <v>25-PONDICHERRY</v>
          </cell>
        </row>
        <row r="90">
          <cell r="H90" t="str">
            <v>26-PUNJAB</v>
          </cell>
          <cell r="J90" t="str">
            <v>26-PUNJAB</v>
          </cell>
        </row>
        <row r="91">
          <cell r="H91" t="str">
            <v>27-RAJASTHAN</v>
          </cell>
          <cell r="J91" t="str">
            <v>27-RAJASTHAN</v>
          </cell>
        </row>
        <row r="92">
          <cell r="H92" t="str">
            <v>28-SIKKIM</v>
          </cell>
          <cell r="J92" t="str">
            <v>28-SIKKIM</v>
          </cell>
        </row>
        <row r="93">
          <cell r="H93" t="str">
            <v>29-TAMILNADU</v>
          </cell>
          <cell r="J93" t="str">
            <v>29-TAMILNADU</v>
          </cell>
        </row>
        <row r="94">
          <cell r="H94" t="str">
            <v>30-TRIPURA</v>
          </cell>
          <cell r="J94" t="str">
            <v>30-TRIPURA</v>
          </cell>
        </row>
        <row r="95">
          <cell r="H95" t="str">
            <v>31-UTTAR PRADESH</v>
          </cell>
          <cell r="J95" t="str">
            <v>31-UTTAR PRADESH</v>
          </cell>
        </row>
        <row r="96">
          <cell r="H96" t="str">
            <v>32-WEST BENGAL</v>
          </cell>
          <cell r="J96" t="str">
            <v>32-WEST BENGAL</v>
          </cell>
        </row>
        <row r="97">
          <cell r="H97" t="str">
            <v>33-CHHATISHGARH</v>
          </cell>
          <cell r="J97" t="str">
            <v>33-CHHATISHGARH</v>
          </cell>
        </row>
        <row r="98">
          <cell r="H98" t="str">
            <v>34-UTTARANCHAL</v>
          </cell>
          <cell r="J98" t="str">
            <v>34-UTTARANCHAL</v>
          </cell>
        </row>
        <row r="99">
          <cell r="H99" t="str">
            <v>35-JHARKHAND</v>
          </cell>
          <cell r="J99" t="str">
            <v>35-JHARKHAND</v>
          </cell>
        </row>
        <row r="100">
          <cell r="H100" t="str">
            <v>99-FOREIGN</v>
          </cell>
          <cell r="J100" t="str">
            <v>99-FOREIGN</v>
          </cell>
        </row>
      </sheetData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  <sheetName val="INPUT bill"/>
      <sheetName val="RP"/>
      <sheetName val="bill p2"/>
      <sheetName val="Ann II A bill"/>
      <sheetName val="Ann - II bill"/>
      <sheetName val="CERT"/>
      <sheetName val="DESPATCH &amp; SALE"/>
      <sheetName val="inc det"/>
      <sheetName val="SALES &amp; SUB"/>
      <sheetName val="MSOD"/>
      <sheetName val="PURCH"/>
      <sheetName val="STOCK"/>
      <sheetName val="DEB_CLS"/>
      <sheetName val="msod-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30.04.06 (2)"/>
      <sheetName val="P&amp;L Balance Sheet"/>
      <sheetName val="PL BS"/>
      <sheetName val="Stock 31.03.06"/>
      <sheetName val="Creditors"/>
      <sheetName val="Debtors"/>
      <sheetName val="Sheet2"/>
      <sheetName val="Sheet1"/>
    </sheetNames>
    <sheetDataSet>
      <sheetData sheetId="0">
        <row r="2">
          <cell r="D2" t="str">
            <v>Inter Unit Account</v>
          </cell>
        </row>
        <row r="3">
          <cell r="D3" t="str">
            <v>Provisions</v>
          </cell>
        </row>
        <row r="4">
          <cell r="D4" t="str">
            <v>Sundry Creditors</v>
          </cell>
        </row>
        <row r="5">
          <cell r="D5" t="str">
            <v>Sundry Creditors</v>
          </cell>
        </row>
        <row r="6">
          <cell r="D6" t="str">
            <v>Sundry Creditors</v>
          </cell>
        </row>
        <row r="7">
          <cell r="D7" t="str">
            <v>Fixed Assets</v>
          </cell>
        </row>
        <row r="8">
          <cell r="D8" t="str">
            <v>Fixed Assets</v>
          </cell>
        </row>
        <row r="9">
          <cell r="D9" t="str">
            <v>Prepaid Expenses</v>
          </cell>
        </row>
        <row r="10">
          <cell r="D10" t="str">
            <v>Govt Receivable</v>
          </cell>
        </row>
        <row r="11">
          <cell r="D11" t="str">
            <v>Govt Receivable</v>
          </cell>
        </row>
        <row r="12">
          <cell r="D12" t="str">
            <v>Sundry Debtors</v>
          </cell>
        </row>
        <row r="13">
          <cell r="D13" t="str">
            <v>Sales Domestic</v>
          </cell>
        </row>
        <row r="14">
          <cell r="D14" t="str">
            <v>Purchase</v>
          </cell>
        </row>
        <row r="15">
          <cell r="D15" t="str">
            <v>Purchase</v>
          </cell>
        </row>
        <row r="16">
          <cell r="D16" t="str">
            <v>Purchase</v>
          </cell>
        </row>
        <row r="17">
          <cell r="D17" t="str">
            <v>Purchase</v>
          </cell>
        </row>
        <row r="18">
          <cell r="D18" t="str">
            <v>Purchase</v>
          </cell>
        </row>
        <row r="19">
          <cell r="D19" t="str">
            <v>Purchase</v>
          </cell>
        </row>
        <row r="20">
          <cell r="D20" t="str">
            <v>Purchase</v>
          </cell>
        </row>
        <row r="21">
          <cell r="D21" t="str">
            <v>Purchase</v>
          </cell>
        </row>
        <row r="22">
          <cell r="D22" t="str">
            <v>Purchase</v>
          </cell>
        </row>
        <row r="23">
          <cell r="D23" t="str">
            <v>Purchase</v>
          </cell>
        </row>
        <row r="24">
          <cell r="D24" t="str">
            <v>Purchase</v>
          </cell>
        </row>
        <row r="25">
          <cell r="D25" t="str">
            <v>Purchase</v>
          </cell>
        </row>
        <row r="26">
          <cell r="D26" t="str">
            <v>Purchase</v>
          </cell>
        </row>
        <row r="27">
          <cell r="D27" t="str">
            <v>Electricity Charges</v>
          </cell>
        </row>
        <row r="28">
          <cell r="D28" t="str">
            <v>Forex Gain/Loss on Raw Material Purchased</v>
          </cell>
        </row>
        <row r="29">
          <cell r="D29" t="str">
            <v>Insurance Raw Material</v>
          </cell>
        </row>
        <row r="30">
          <cell r="D30" t="str">
            <v>Labour charges</v>
          </cell>
        </row>
        <row r="31">
          <cell r="D31" t="str">
            <v>Staff salary</v>
          </cell>
        </row>
        <row r="32">
          <cell r="D32" t="str">
            <v>Internet Charges</v>
          </cell>
        </row>
        <row r="33">
          <cell r="D33" t="str">
            <v>Staff telephone expenses</v>
          </cell>
        </row>
        <row r="34">
          <cell r="D34" t="str">
            <v>Books &amp; periodicals</v>
          </cell>
        </row>
        <row r="35">
          <cell r="D35" t="str">
            <v>Brokerage &amp; Commisson</v>
          </cell>
        </row>
        <row r="36">
          <cell r="D36" t="str">
            <v>Business Meeting &amp; Conference</v>
          </cell>
        </row>
        <row r="37">
          <cell r="D37" t="str">
            <v>Courier charges</v>
          </cell>
        </row>
        <row r="38">
          <cell r="D38" t="str">
            <v>Electricity Charges</v>
          </cell>
        </row>
        <row r="39">
          <cell r="D39" t="str">
            <v>Interest on car loan</v>
          </cell>
        </row>
        <row r="40">
          <cell r="D40" t="str">
            <v>Interest on term loan</v>
          </cell>
        </row>
        <row r="41">
          <cell r="D41" t="str">
            <v>Interest on working Capital loan</v>
          </cell>
        </row>
        <row r="42">
          <cell r="D42" t="str">
            <v>Legal &amp; professional exp</v>
          </cell>
        </row>
        <row r="43">
          <cell r="D43" t="str">
            <v>Miscelleneous office exp</v>
          </cell>
        </row>
        <row r="44">
          <cell r="D44" t="str">
            <v>Office Rent</v>
          </cell>
        </row>
        <row r="45">
          <cell r="D45" t="str">
            <v>Printing &amp; stationery exp</v>
          </cell>
        </row>
        <row r="46">
          <cell r="D46" t="str">
            <v>Legal &amp; professional exp</v>
          </cell>
        </row>
        <row r="47">
          <cell r="D47" t="str">
            <v>Security Expenses</v>
          </cell>
        </row>
        <row r="48">
          <cell r="D48" t="str">
            <v>Miscelleneous office exp</v>
          </cell>
        </row>
        <row r="49">
          <cell r="D49" t="str">
            <v>Subscriptions</v>
          </cell>
        </row>
        <row r="50">
          <cell r="D50" t="str">
            <v>Test &amp; report charges</v>
          </cell>
        </row>
        <row r="51">
          <cell r="D51" t="str">
            <v>R/M computers</v>
          </cell>
        </row>
        <row r="52">
          <cell r="D52" t="str">
            <v>R/M vehicles</v>
          </cell>
        </row>
        <row r="53">
          <cell r="D53" t="str">
            <v>Miscelleneous office exp</v>
          </cell>
        </row>
        <row r="54">
          <cell r="D54" t="str">
            <v>Insurance Plant</v>
          </cell>
        </row>
      </sheetData>
      <sheetData sheetId="1" refreshError="1"/>
      <sheetData sheetId="2" refreshError="1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total"/>
      <sheetName val="Sheet1"/>
      <sheetName val="Sheet2"/>
      <sheetName val="1st quarter"/>
      <sheetName val="2nd quarter"/>
      <sheetName val="3rd quarter"/>
      <sheetName val="DATA"/>
    </sheetNames>
    <sheetDataSet>
      <sheetData sheetId="0" refreshError="1"/>
      <sheetData sheetId="1" refreshError="1"/>
      <sheetData sheetId="2" refreshError="1">
        <row r="1">
          <cell r="A1" t="str">
            <v>SR</v>
          </cell>
          <cell r="B1">
            <v>39995</v>
          </cell>
          <cell r="D1">
            <v>39995</v>
          </cell>
          <cell r="O1" t="str">
            <v>TOTAL AS</v>
          </cell>
          <cell r="P1">
            <v>40004</v>
          </cell>
          <cell r="Y1">
            <v>40011</v>
          </cell>
          <cell r="AH1">
            <v>40018</v>
          </cell>
          <cell r="AQ1">
            <v>40026</v>
          </cell>
          <cell r="AZ1">
            <v>40032</v>
          </cell>
          <cell r="BI1">
            <v>40039</v>
          </cell>
          <cell r="BR1">
            <v>40045</v>
          </cell>
          <cell r="CA1">
            <v>40053</v>
          </cell>
          <cell r="CJ1">
            <v>40057</v>
          </cell>
          <cell r="CS1">
            <v>40060</v>
          </cell>
          <cell r="DB1">
            <v>40067</v>
          </cell>
          <cell r="DK1">
            <v>40074</v>
          </cell>
          <cell r="DT1">
            <v>40081</v>
          </cell>
          <cell r="EC1">
            <v>40087</v>
          </cell>
          <cell r="EL1">
            <v>40095</v>
          </cell>
          <cell r="EU1">
            <v>40102</v>
          </cell>
          <cell r="FD1">
            <v>40109</v>
          </cell>
          <cell r="FM1">
            <v>40116</v>
          </cell>
          <cell r="FV1">
            <v>40118</v>
          </cell>
          <cell r="GE1">
            <v>40123</v>
          </cell>
          <cell r="GN1">
            <v>40130</v>
          </cell>
          <cell r="GW1">
            <v>40136</v>
          </cell>
        </row>
        <row r="2">
          <cell r="A2" t="str">
            <v>NO:</v>
          </cell>
          <cell r="D2" t="str">
            <v>MATERIAL</v>
          </cell>
          <cell r="F2">
            <v>109</v>
          </cell>
          <cell r="G2" t="str">
            <v>109 B</v>
          </cell>
          <cell r="H2" t="str">
            <v>SEWREE</v>
          </cell>
          <cell r="I2" t="str">
            <v>TALOJA</v>
          </cell>
          <cell r="J2" t="str">
            <v>KUTCH-1</v>
          </cell>
          <cell r="K2" t="str">
            <v>KUTCH-2</v>
          </cell>
          <cell r="L2" t="str">
            <v>KUTCH-O</v>
          </cell>
          <cell r="M2" t="str">
            <v>GIT</v>
          </cell>
          <cell r="N2" t="str">
            <v>BADDI</v>
          </cell>
          <cell r="O2">
            <v>39995</v>
          </cell>
          <cell r="P2">
            <v>109</v>
          </cell>
          <cell r="Q2" t="str">
            <v>109 B</v>
          </cell>
          <cell r="R2" t="str">
            <v>SEWREE</v>
          </cell>
          <cell r="S2" t="str">
            <v>TALOJA</v>
          </cell>
          <cell r="T2" t="str">
            <v>KUTCH-1</v>
          </cell>
          <cell r="U2" t="str">
            <v>KUTCH-2</v>
          </cell>
          <cell r="V2" t="str">
            <v>KUTCH-O</v>
          </cell>
          <cell r="W2" t="str">
            <v>GIT</v>
          </cell>
          <cell r="X2" t="str">
            <v>BADDI</v>
          </cell>
          <cell r="Y2">
            <v>109</v>
          </cell>
          <cell r="Z2" t="str">
            <v>109 B</v>
          </cell>
          <cell r="AA2" t="str">
            <v>SEWREE</v>
          </cell>
          <cell r="AB2" t="str">
            <v>TALOJA</v>
          </cell>
          <cell r="AC2" t="str">
            <v>KUTCH-1</v>
          </cell>
          <cell r="AD2" t="str">
            <v>KUTCH-2</v>
          </cell>
          <cell r="AE2" t="str">
            <v>KUTCH-O</v>
          </cell>
          <cell r="AF2" t="str">
            <v>GIT</v>
          </cell>
          <cell r="AG2" t="str">
            <v>BADDI</v>
          </cell>
          <cell r="AH2">
            <v>109</v>
          </cell>
          <cell r="AI2" t="str">
            <v>109 B</v>
          </cell>
          <cell r="AJ2" t="str">
            <v>SEWREE</v>
          </cell>
          <cell r="AK2" t="str">
            <v>TALOJA</v>
          </cell>
          <cell r="AL2" t="str">
            <v>KUTCH-1</v>
          </cell>
          <cell r="AM2" t="str">
            <v>KUTCH-2</v>
          </cell>
          <cell r="AN2" t="str">
            <v>KUTCH-O</v>
          </cell>
          <cell r="AO2" t="str">
            <v>GIT</v>
          </cell>
          <cell r="AP2" t="str">
            <v>BADDI</v>
          </cell>
          <cell r="AQ2">
            <v>109</v>
          </cell>
          <cell r="AR2" t="str">
            <v>109 B</v>
          </cell>
          <cell r="AS2" t="str">
            <v>SEWREE</v>
          </cell>
          <cell r="AT2" t="str">
            <v>TALOJA</v>
          </cell>
          <cell r="AU2" t="str">
            <v>KUTCH-1</v>
          </cell>
          <cell r="AV2" t="str">
            <v>KUTCH-2</v>
          </cell>
          <cell r="AW2" t="str">
            <v>KUTCH-O</v>
          </cell>
          <cell r="AX2" t="str">
            <v>GIT</v>
          </cell>
          <cell r="AY2" t="str">
            <v>BADDI</v>
          </cell>
          <cell r="AZ2">
            <v>109</v>
          </cell>
          <cell r="BA2" t="str">
            <v>109 B</v>
          </cell>
          <cell r="BB2" t="str">
            <v>SEWREE</v>
          </cell>
          <cell r="BC2" t="str">
            <v>TALOJA</v>
          </cell>
          <cell r="BD2" t="str">
            <v>KUTCH-1</v>
          </cell>
          <cell r="BE2" t="str">
            <v>KUTCH-2</v>
          </cell>
          <cell r="BF2" t="str">
            <v>KUTCH-O</v>
          </cell>
          <cell r="BG2" t="str">
            <v>GIT</v>
          </cell>
          <cell r="BH2" t="str">
            <v>BADDI</v>
          </cell>
          <cell r="BI2">
            <v>109</v>
          </cell>
          <cell r="BJ2" t="str">
            <v>109 B</v>
          </cell>
          <cell r="BK2" t="str">
            <v>SEWREE</v>
          </cell>
          <cell r="BL2" t="str">
            <v>TALOJA</v>
          </cell>
          <cell r="BM2" t="str">
            <v>KUTCH-1</v>
          </cell>
          <cell r="BN2" t="str">
            <v>KUTCH-2</v>
          </cell>
          <cell r="BO2" t="str">
            <v>KUTCH-O</v>
          </cell>
          <cell r="BP2" t="str">
            <v>GIT</v>
          </cell>
          <cell r="BQ2" t="str">
            <v>BADDI</v>
          </cell>
          <cell r="BR2">
            <v>109</v>
          </cell>
          <cell r="BS2" t="str">
            <v>109 B</v>
          </cell>
          <cell r="BT2" t="str">
            <v>SEWREE</v>
          </cell>
          <cell r="BU2" t="str">
            <v>TALOJA</v>
          </cell>
          <cell r="BV2" t="str">
            <v>KUTCH-1</v>
          </cell>
          <cell r="BW2" t="str">
            <v>KUTCH-2</v>
          </cell>
          <cell r="BX2" t="str">
            <v>KUTCH-O</v>
          </cell>
          <cell r="BY2" t="str">
            <v>GIT</v>
          </cell>
          <cell r="BZ2" t="str">
            <v>BADDI</v>
          </cell>
          <cell r="CA2">
            <v>109</v>
          </cell>
          <cell r="CB2" t="str">
            <v>109 B</v>
          </cell>
          <cell r="CC2" t="str">
            <v>SEWREE</v>
          </cell>
          <cell r="CD2" t="str">
            <v>TALOJA</v>
          </cell>
          <cell r="CE2" t="str">
            <v>KUTCH-1</v>
          </cell>
          <cell r="CF2" t="str">
            <v>KUTCH-2</v>
          </cell>
          <cell r="CG2" t="str">
            <v>KUTCH-O</v>
          </cell>
          <cell r="CH2" t="str">
            <v>GIT</v>
          </cell>
          <cell r="CI2" t="str">
            <v>BADDI</v>
          </cell>
          <cell r="CJ2">
            <v>109</v>
          </cell>
          <cell r="CK2" t="str">
            <v>109 B</v>
          </cell>
          <cell r="CL2" t="str">
            <v>SEWREE</v>
          </cell>
          <cell r="CM2" t="str">
            <v>TALOJA</v>
          </cell>
          <cell r="CN2" t="str">
            <v>KUTCH-1</v>
          </cell>
          <cell r="CO2" t="str">
            <v>KUTCH-2</v>
          </cell>
          <cell r="CP2" t="str">
            <v>KUTCH-O</v>
          </cell>
          <cell r="CQ2" t="str">
            <v>GIT</v>
          </cell>
          <cell r="CR2" t="str">
            <v>BADDI</v>
          </cell>
          <cell r="CS2">
            <v>109</v>
          </cell>
          <cell r="CT2" t="str">
            <v>109 B</v>
          </cell>
          <cell r="CU2" t="str">
            <v>SEWREE</v>
          </cell>
          <cell r="CV2" t="str">
            <v>TALOJA</v>
          </cell>
          <cell r="CW2" t="str">
            <v>KUTCH-1</v>
          </cell>
          <cell r="CX2" t="str">
            <v>KUTCH-2</v>
          </cell>
          <cell r="CY2" t="str">
            <v>KUTCH-O</v>
          </cell>
          <cell r="CZ2" t="str">
            <v>GIT</v>
          </cell>
          <cell r="DA2" t="str">
            <v>BADDI</v>
          </cell>
          <cell r="DB2">
            <v>109</v>
          </cell>
          <cell r="DC2" t="str">
            <v>109 B</v>
          </cell>
          <cell r="DD2" t="str">
            <v>SEWREE</v>
          </cell>
          <cell r="DE2" t="str">
            <v>TALOJA</v>
          </cell>
          <cell r="DF2" t="str">
            <v>KUTCH-1</v>
          </cell>
          <cell r="DG2" t="str">
            <v>KUTCH-2</v>
          </cell>
          <cell r="DH2" t="str">
            <v>KUTCH-O</v>
          </cell>
          <cell r="DI2" t="str">
            <v>GIT</v>
          </cell>
          <cell r="DJ2" t="str">
            <v>BADDI</v>
          </cell>
          <cell r="DK2">
            <v>109</v>
          </cell>
          <cell r="DL2" t="str">
            <v>109 B</v>
          </cell>
          <cell r="DM2" t="str">
            <v>SEWREE</v>
          </cell>
          <cell r="DN2" t="str">
            <v>TALOJA</v>
          </cell>
          <cell r="DO2" t="str">
            <v>KUTCH-1</v>
          </cell>
          <cell r="DP2" t="str">
            <v>KUTCH-2</v>
          </cell>
          <cell r="DQ2" t="str">
            <v>KUTCH-O</v>
          </cell>
          <cell r="DR2" t="str">
            <v>GIT</v>
          </cell>
          <cell r="DS2" t="str">
            <v>BADDI</v>
          </cell>
          <cell r="DT2">
            <v>109</v>
          </cell>
          <cell r="DU2" t="str">
            <v>109 B</v>
          </cell>
          <cell r="DV2" t="str">
            <v>SEWREE</v>
          </cell>
          <cell r="DW2" t="str">
            <v>TALOJA</v>
          </cell>
          <cell r="DX2" t="str">
            <v>KUTCH-1</v>
          </cell>
          <cell r="DY2" t="str">
            <v>KUTCH-2</v>
          </cell>
          <cell r="DZ2" t="str">
            <v>KUTCH-O</v>
          </cell>
          <cell r="EA2" t="str">
            <v>GIT</v>
          </cell>
          <cell r="EB2" t="str">
            <v>BADDI</v>
          </cell>
          <cell r="EC2">
            <v>109</v>
          </cell>
          <cell r="ED2" t="str">
            <v>109 B</v>
          </cell>
          <cell r="EE2" t="str">
            <v>SEWREE</v>
          </cell>
          <cell r="EF2" t="str">
            <v>TALOJA</v>
          </cell>
          <cell r="EG2" t="str">
            <v>KUTCH-1</v>
          </cell>
          <cell r="EH2" t="str">
            <v>KUTCH-2</v>
          </cell>
          <cell r="EI2" t="str">
            <v>KUTCH-O</v>
          </cell>
          <cell r="EJ2" t="str">
            <v>GIT</v>
          </cell>
          <cell r="EK2" t="str">
            <v>BADDI</v>
          </cell>
          <cell r="EL2">
            <v>109</v>
          </cell>
          <cell r="EM2" t="str">
            <v>109 B</v>
          </cell>
          <cell r="EN2" t="str">
            <v>SEWREE</v>
          </cell>
          <cell r="EO2" t="str">
            <v>TALOJA</v>
          </cell>
          <cell r="EP2" t="str">
            <v>KUTCH-1</v>
          </cell>
          <cell r="EQ2" t="str">
            <v>KUTCH-2</v>
          </cell>
          <cell r="ER2" t="str">
            <v>KUTCH-O</v>
          </cell>
          <cell r="ES2" t="str">
            <v>GIT</v>
          </cell>
          <cell r="ET2" t="str">
            <v>BADDI</v>
          </cell>
          <cell r="EU2">
            <v>109</v>
          </cell>
          <cell r="EV2" t="str">
            <v>109 B</v>
          </cell>
          <cell r="EW2" t="str">
            <v>SEWREE</v>
          </cell>
          <cell r="EX2" t="str">
            <v>TALOJA</v>
          </cell>
          <cell r="EY2" t="str">
            <v>KUTCH-1</v>
          </cell>
          <cell r="EZ2" t="str">
            <v>KUTCH-2</v>
          </cell>
          <cell r="FA2" t="str">
            <v>KUTCH-O</v>
          </cell>
          <cell r="FB2" t="str">
            <v>GIT</v>
          </cell>
          <cell r="FC2" t="str">
            <v>BADDI</v>
          </cell>
          <cell r="FD2">
            <v>109</v>
          </cell>
          <cell r="FE2" t="str">
            <v>109 B</v>
          </cell>
          <cell r="FF2" t="str">
            <v>SEWREE</v>
          </cell>
          <cell r="FG2" t="str">
            <v>TALOJA</v>
          </cell>
          <cell r="FH2" t="str">
            <v>KUTCH-1</v>
          </cell>
          <cell r="FI2" t="str">
            <v>KUTCH-2</v>
          </cell>
          <cell r="FJ2" t="str">
            <v>KUTCH-O</v>
          </cell>
          <cell r="FK2" t="str">
            <v>GIT</v>
          </cell>
          <cell r="FL2" t="str">
            <v>BADDI</v>
          </cell>
          <cell r="FM2">
            <v>109</v>
          </cell>
          <cell r="FN2" t="str">
            <v>109 B</v>
          </cell>
          <cell r="FO2" t="str">
            <v>SEWREE</v>
          </cell>
          <cell r="FP2" t="str">
            <v>TALOJA</v>
          </cell>
          <cell r="FQ2" t="str">
            <v>KUTCH-1</v>
          </cell>
          <cell r="FR2" t="str">
            <v>KUTCH-2</v>
          </cell>
          <cell r="FS2" t="str">
            <v>KUTCH-O</v>
          </cell>
          <cell r="FT2" t="str">
            <v>GIT</v>
          </cell>
          <cell r="FU2" t="str">
            <v>BADDI</v>
          </cell>
          <cell r="FV2">
            <v>109</v>
          </cell>
          <cell r="FW2" t="str">
            <v>109 B</v>
          </cell>
          <cell r="FX2" t="str">
            <v>SEWREE</v>
          </cell>
          <cell r="FY2" t="str">
            <v>TALOJA</v>
          </cell>
          <cell r="FZ2" t="str">
            <v>KUTCH-1</v>
          </cell>
          <cell r="GA2" t="str">
            <v>KUTCH-2</v>
          </cell>
          <cell r="GB2" t="str">
            <v>KUTCH-O</v>
          </cell>
          <cell r="GC2" t="str">
            <v>GIT</v>
          </cell>
          <cell r="GD2" t="str">
            <v>BADDI</v>
          </cell>
          <cell r="GE2">
            <v>109</v>
          </cell>
          <cell r="GF2" t="str">
            <v>109 B</v>
          </cell>
          <cell r="GG2" t="str">
            <v>SEWREE</v>
          </cell>
          <cell r="GH2" t="str">
            <v>TALOJA</v>
          </cell>
          <cell r="GI2" t="str">
            <v>KUTCH-1</v>
          </cell>
          <cell r="GJ2" t="str">
            <v>KUTCH-2</v>
          </cell>
          <cell r="GK2" t="str">
            <v>KUTCH-O</v>
          </cell>
          <cell r="GL2" t="str">
            <v>GIT</v>
          </cell>
          <cell r="GM2" t="str">
            <v>BADDI</v>
          </cell>
          <cell r="GN2">
            <v>109</v>
          </cell>
          <cell r="GO2" t="str">
            <v>109 B</v>
          </cell>
          <cell r="GP2" t="str">
            <v>SEWREE</v>
          </cell>
          <cell r="GQ2" t="str">
            <v>TALOJA</v>
          </cell>
          <cell r="GR2" t="str">
            <v>KUTCH-1</v>
          </cell>
          <cell r="GS2" t="str">
            <v>KUTCH-2</v>
          </cell>
          <cell r="GT2" t="str">
            <v>KUTCH-O</v>
          </cell>
          <cell r="GU2" t="str">
            <v>GIT</v>
          </cell>
          <cell r="GV2" t="str">
            <v>BADDI</v>
          </cell>
          <cell r="GW2">
            <v>109</v>
          </cell>
          <cell r="GX2" t="str">
            <v>109 B</v>
          </cell>
          <cell r="GY2" t="str">
            <v>SEWREE</v>
          </cell>
          <cell r="GZ2" t="str">
            <v>TALOJA</v>
          </cell>
          <cell r="HA2" t="str">
            <v>KUTCH-1</v>
          </cell>
          <cell r="HB2" t="str">
            <v>KUTCH-2</v>
          </cell>
          <cell r="HC2" t="str">
            <v>KUTCH-O</v>
          </cell>
          <cell r="HD2" t="str">
            <v>GIT</v>
          </cell>
          <cell r="HE2" t="str">
            <v>BADDI</v>
          </cell>
        </row>
        <row r="3">
          <cell r="A3" t="str">
            <v>RAW MATERIALS</v>
          </cell>
        </row>
        <row r="4">
          <cell r="A4">
            <v>1</v>
          </cell>
          <cell r="B4" t="str">
            <v>RM</v>
          </cell>
          <cell r="C4" t="str">
            <v>FM</v>
          </cell>
          <cell r="D4" t="str">
            <v>CPKO-5%</v>
          </cell>
          <cell r="E4" t="str">
            <v>CPKO-5%</v>
          </cell>
          <cell r="K4">
            <v>1379.807</v>
          </cell>
          <cell r="L4">
            <v>1990.2180000000001</v>
          </cell>
          <cell r="M4">
            <v>2000.0340000000001</v>
          </cell>
          <cell r="O4">
            <v>5370.0590000000002</v>
          </cell>
          <cell r="U4">
            <v>793.24599999999998</v>
          </cell>
          <cell r="V4">
            <v>10.644000000000005</v>
          </cell>
          <cell r="W4">
            <v>3969.94</v>
          </cell>
          <cell r="AD4">
            <v>21.707999999999998</v>
          </cell>
          <cell r="AF4">
            <v>7969.92</v>
          </cell>
          <cell r="AM4">
            <v>579.93600000000004</v>
          </cell>
          <cell r="AN4">
            <v>7572.97</v>
          </cell>
          <cell r="AV4">
            <v>1665.336</v>
          </cell>
          <cell r="AW4">
            <v>3841.0649999999996</v>
          </cell>
          <cell r="BE4">
            <v>1181.277</v>
          </cell>
          <cell r="BF4">
            <v>1671.635</v>
          </cell>
          <cell r="BG4">
            <v>3000</v>
          </cell>
          <cell r="BN4">
            <v>1739.3530000000001</v>
          </cell>
          <cell r="BO4">
            <v>3137.9140000000002</v>
          </cell>
          <cell r="BW4">
            <v>1081.7819999999999</v>
          </cell>
          <cell r="BX4">
            <v>2480.9340000000002</v>
          </cell>
          <cell r="CF4">
            <v>645.81299999999999</v>
          </cell>
          <cell r="CH4">
            <v>5000</v>
          </cell>
          <cell r="CO4">
            <v>48.843000000000004</v>
          </cell>
          <cell r="CQ4">
            <v>5010.9539999999997</v>
          </cell>
          <cell r="CX4">
            <v>48.843000000000004</v>
          </cell>
          <cell r="CZ4">
            <v>5010</v>
          </cell>
          <cell r="DG4">
            <v>1447.413</v>
          </cell>
          <cell r="DH4">
            <v>3279.924</v>
          </cell>
          <cell r="DI4">
            <v>6750</v>
          </cell>
          <cell r="DP4">
            <v>2198.8389999999999</v>
          </cell>
          <cell r="DQ4">
            <v>956.30400000000009</v>
          </cell>
          <cell r="DR4">
            <v>8750</v>
          </cell>
          <cell r="DY4">
            <v>3251.34</v>
          </cell>
          <cell r="DZ4">
            <v>7122.7830000000004</v>
          </cell>
          <cell r="EH4">
            <v>4183.1679999999997</v>
          </cell>
          <cell r="EI4">
            <v>4950.4129999999996</v>
          </cell>
          <cell r="EJ4">
            <v>2750</v>
          </cell>
          <cell r="EQ4">
            <v>4597.5730000000003</v>
          </cell>
          <cell r="ER4">
            <v>2543.81</v>
          </cell>
          <cell r="ES4">
            <v>3009.9789999999998</v>
          </cell>
          <cell r="EZ4">
            <v>4361.4989999999998</v>
          </cell>
          <cell r="FA4">
            <v>3032.1689999999999</v>
          </cell>
          <cell r="FI4">
            <v>902.69100000000003</v>
          </cell>
          <cell r="FJ4">
            <v>2653.3090000000002</v>
          </cell>
          <cell r="FR4">
            <v>896.35900000000004</v>
          </cell>
          <cell r="FS4">
            <v>5530.192</v>
          </cell>
          <cell r="GA4">
            <v>1171.327</v>
          </cell>
          <cell r="GB4">
            <v>4617.7820000000002</v>
          </cell>
          <cell r="GJ4">
            <v>1943.8330000000001</v>
          </cell>
          <cell r="GK4">
            <v>3518.7520000000004</v>
          </cell>
          <cell r="GS4">
            <v>2449.3850000000002</v>
          </cell>
          <cell r="GT4">
            <v>1794.5619999999999</v>
          </cell>
        </row>
        <row r="5">
          <cell r="A5">
            <v>2</v>
          </cell>
          <cell r="B5" t="str">
            <v>RM</v>
          </cell>
          <cell r="C5" t="str">
            <v>FM</v>
          </cell>
          <cell r="D5" t="str">
            <v>CPKO-23%</v>
          </cell>
          <cell r="E5" t="str">
            <v>CPKO-23%</v>
          </cell>
          <cell r="G5">
            <v>290.7</v>
          </cell>
          <cell r="K5">
            <v>7.77</v>
          </cell>
          <cell r="O5">
            <v>298.46999999999997</v>
          </cell>
          <cell r="U5">
            <v>7.77</v>
          </cell>
          <cell r="AD5">
            <v>7.77</v>
          </cell>
        </row>
        <row r="6">
          <cell r="A6">
            <v>3</v>
          </cell>
          <cell r="B6" t="str">
            <v>RM</v>
          </cell>
          <cell r="C6" t="str">
            <v>FM</v>
          </cell>
          <cell r="D6" t="str">
            <v>CNO-C</v>
          </cell>
          <cell r="E6" t="str">
            <v>CNO-C</v>
          </cell>
          <cell r="O6">
            <v>0</v>
          </cell>
        </row>
        <row r="7">
          <cell r="A7">
            <v>4</v>
          </cell>
          <cell r="B7" t="str">
            <v>RM</v>
          </cell>
          <cell r="C7" t="str">
            <v>FM</v>
          </cell>
          <cell r="D7" t="str">
            <v>CNO-R</v>
          </cell>
          <cell r="E7" t="str">
            <v>CNO-R</v>
          </cell>
          <cell r="O7">
            <v>0</v>
          </cell>
        </row>
        <row r="8">
          <cell r="A8">
            <v>5</v>
          </cell>
          <cell r="B8" t="str">
            <v>RM</v>
          </cell>
          <cell r="C8" t="str">
            <v>FM</v>
          </cell>
          <cell r="D8" t="str">
            <v>PKFAD</v>
          </cell>
          <cell r="E8" t="str">
            <v>PKFAD</v>
          </cell>
          <cell r="O8">
            <v>0</v>
          </cell>
          <cell r="DI8">
            <v>203.5</v>
          </cell>
          <cell r="DR8">
            <v>203.5</v>
          </cell>
          <cell r="EH8">
            <v>13.683999999999999</v>
          </cell>
        </row>
        <row r="9">
          <cell r="A9">
            <v>6</v>
          </cell>
          <cell r="B9" t="str">
            <v>RM</v>
          </cell>
          <cell r="C9" t="str">
            <v>FM</v>
          </cell>
          <cell r="D9" t="str">
            <v>RBDPS</v>
          </cell>
          <cell r="E9" t="str">
            <v>RBDPS</v>
          </cell>
          <cell r="G9">
            <v>507.45600000000007</v>
          </cell>
          <cell r="H9">
            <v>184.226</v>
          </cell>
          <cell r="I9">
            <v>365</v>
          </cell>
          <cell r="K9">
            <v>115.8</v>
          </cell>
          <cell r="M9">
            <v>158.18</v>
          </cell>
          <cell r="O9">
            <v>1330.662</v>
          </cell>
          <cell r="Q9">
            <v>10.86336</v>
          </cell>
          <cell r="R9">
            <v>184.226</v>
          </cell>
          <cell r="S9">
            <v>277.7</v>
          </cell>
          <cell r="U9">
            <v>285.45</v>
          </cell>
          <cell r="AA9">
            <v>184.226</v>
          </cell>
          <cell r="AB9">
            <v>182.6</v>
          </cell>
          <cell r="AD9">
            <v>453.5</v>
          </cell>
          <cell r="AF9">
            <v>11</v>
          </cell>
          <cell r="AJ9">
            <v>184.226</v>
          </cell>
          <cell r="AK9">
            <v>506</v>
          </cell>
          <cell r="AM9">
            <v>627.37</v>
          </cell>
          <cell r="AS9">
            <v>184.226</v>
          </cell>
          <cell r="AT9">
            <v>768.5</v>
          </cell>
          <cell r="AV9">
            <v>965.02</v>
          </cell>
          <cell r="BB9">
            <v>184.226</v>
          </cell>
          <cell r="BC9">
            <v>768.5</v>
          </cell>
          <cell r="BE9">
            <v>983.91</v>
          </cell>
          <cell r="BJ9">
            <v>236.2842</v>
          </cell>
          <cell r="BK9">
            <v>184.226</v>
          </cell>
          <cell r="BL9">
            <v>768.5</v>
          </cell>
          <cell r="BN9">
            <v>345.76299999999998</v>
          </cell>
          <cell r="BS9">
            <v>225.18360000000001</v>
          </cell>
          <cell r="BT9">
            <v>184.226</v>
          </cell>
          <cell r="BU9">
            <v>768.5</v>
          </cell>
          <cell r="BW9">
            <v>345.76299999999998</v>
          </cell>
          <cell r="CC9">
            <v>184.226</v>
          </cell>
          <cell r="CD9">
            <v>768.5</v>
          </cell>
          <cell r="CF9">
            <v>660.71299999999997</v>
          </cell>
          <cell r="CL9">
            <v>184.226</v>
          </cell>
          <cell r="CM9">
            <v>768.5</v>
          </cell>
          <cell r="CO9">
            <v>771.45299999999997</v>
          </cell>
          <cell r="CV9">
            <v>768.5</v>
          </cell>
          <cell r="CX9">
            <v>771.45299999999997</v>
          </cell>
          <cell r="DD9">
            <v>184.226</v>
          </cell>
          <cell r="DE9">
            <v>768.5</v>
          </cell>
          <cell r="DG9">
            <v>771.45299999999997</v>
          </cell>
          <cell r="DM9">
            <v>184.226</v>
          </cell>
          <cell r="DN9">
            <v>768.5</v>
          </cell>
          <cell r="DP9">
            <v>634.54399999999998</v>
          </cell>
          <cell r="DV9">
            <v>184.226</v>
          </cell>
          <cell r="DW9">
            <v>768.5</v>
          </cell>
          <cell r="DY9">
            <v>27.177</v>
          </cell>
          <cell r="EE9">
            <v>184.226</v>
          </cell>
          <cell r="EF9">
            <v>768.5</v>
          </cell>
          <cell r="EH9">
            <v>27.177</v>
          </cell>
          <cell r="EN9">
            <v>184.226</v>
          </cell>
          <cell r="EO9">
            <v>768.5</v>
          </cell>
          <cell r="EW9">
            <v>184.226</v>
          </cell>
          <cell r="EX9">
            <v>602.4</v>
          </cell>
          <cell r="FF9">
            <v>184.226</v>
          </cell>
          <cell r="FG9">
            <v>391.8</v>
          </cell>
          <cell r="FO9">
            <v>184.226</v>
          </cell>
          <cell r="FP9">
            <v>391.79828571428573</v>
          </cell>
          <cell r="FR9">
            <v>121.36</v>
          </cell>
          <cell r="FX9">
            <v>184.226</v>
          </cell>
          <cell r="FY9">
            <v>419.38971428571432</v>
          </cell>
          <cell r="GA9">
            <v>155.19</v>
          </cell>
          <cell r="GG9">
            <v>184.226</v>
          </cell>
          <cell r="GH9">
            <v>419.38971428571432</v>
          </cell>
          <cell r="GJ9">
            <v>362.76</v>
          </cell>
          <cell r="GP9">
            <v>184.226</v>
          </cell>
          <cell r="GQ9">
            <v>323.73942857142862</v>
          </cell>
          <cell r="GS9">
            <v>39.65</v>
          </cell>
        </row>
        <row r="10">
          <cell r="A10">
            <v>7</v>
          </cell>
          <cell r="B10" t="str">
            <v>RM</v>
          </cell>
          <cell r="C10" t="str">
            <v>FM</v>
          </cell>
          <cell r="D10" t="str">
            <v>CPS-5%</v>
          </cell>
          <cell r="E10" t="str">
            <v>CPS-5%</v>
          </cell>
          <cell r="O10">
            <v>0</v>
          </cell>
        </row>
        <row r="11">
          <cell r="A11">
            <v>8</v>
          </cell>
          <cell r="B11" t="str">
            <v>RM</v>
          </cell>
          <cell r="C11" t="str">
            <v>FM</v>
          </cell>
          <cell r="D11" t="str">
            <v>CPS-20%</v>
          </cell>
          <cell r="E11" t="str">
            <v>CPS-20%</v>
          </cell>
          <cell r="O11">
            <v>0</v>
          </cell>
        </row>
        <row r="12">
          <cell r="A12">
            <v>9</v>
          </cell>
          <cell r="B12" t="str">
            <v>RM</v>
          </cell>
          <cell r="C12" t="str">
            <v>FM</v>
          </cell>
          <cell r="D12" t="str">
            <v>CPS-23%-HLL</v>
          </cell>
          <cell r="E12" t="str">
            <v>CPS-23%-HLL</v>
          </cell>
          <cell r="O12">
            <v>0</v>
          </cell>
        </row>
        <row r="13">
          <cell r="A13">
            <v>10</v>
          </cell>
          <cell r="B13" t="str">
            <v>RM</v>
          </cell>
          <cell r="C13" t="str">
            <v>FM</v>
          </cell>
          <cell r="D13" t="str">
            <v>CPO</v>
          </cell>
          <cell r="E13" t="str">
            <v>CPO</v>
          </cell>
          <cell r="O13">
            <v>0</v>
          </cell>
        </row>
        <row r="14">
          <cell r="A14">
            <v>11</v>
          </cell>
          <cell r="B14" t="str">
            <v>RM</v>
          </cell>
          <cell r="C14" t="str">
            <v>FM</v>
          </cell>
          <cell r="D14" t="str">
            <v>RBDPN</v>
          </cell>
          <cell r="E14" t="str">
            <v>RBDPN</v>
          </cell>
          <cell r="H14">
            <v>62.774000000000001</v>
          </cell>
          <cell r="O14">
            <v>62.774000000000001</v>
          </cell>
          <cell r="R14">
            <v>43.043999999999997</v>
          </cell>
        </row>
        <row r="15">
          <cell r="A15">
            <v>12</v>
          </cell>
          <cell r="B15" t="str">
            <v>RM</v>
          </cell>
          <cell r="C15" t="str">
            <v>FM</v>
          </cell>
          <cell r="D15" t="str">
            <v>PFAD</v>
          </cell>
          <cell r="E15" t="str">
            <v>PFAD</v>
          </cell>
          <cell r="G15">
            <v>1151.8</v>
          </cell>
          <cell r="H15">
            <v>3831.55</v>
          </cell>
          <cell r="M15">
            <v>2999.9319999999998</v>
          </cell>
          <cell r="O15">
            <v>7983.2820000000002</v>
          </cell>
          <cell r="Q15">
            <v>1515.06</v>
          </cell>
          <cell r="R15">
            <v>3262.7799999999997</v>
          </cell>
          <cell r="V15">
            <v>2972.375</v>
          </cell>
          <cell r="Z15">
            <v>1001.18</v>
          </cell>
          <cell r="AA15">
            <v>1722.6100000000001</v>
          </cell>
          <cell r="AD15">
            <v>605.24</v>
          </cell>
          <cell r="AE15">
            <v>2367.1350000000002</v>
          </cell>
          <cell r="AF15">
            <v>1002.481</v>
          </cell>
          <cell r="AI15">
            <v>708.8</v>
          </cell>
          <cell r="AJ15">
            <v>1794.7340000000002</v>
          </cell>
          <cell r="AM15">
            <v>756.26199999999994</v>
          </cell>
          <cell r="AN15">
            <v>1595.3</v>
          </cell>
          <cell r="AR15">
            <v>1342.29</v>
          </cell>
          <cell r="AS15">
            <v>311.51400000000001</v>
          </cell>
          <cell r="AV15">
            <v>1313.8820000000001</v>
          </cell>
          <cell r="AW15">
            <v>1037.68</v>
          </cell>
          <cell r="BA15">
            <v>1207.175</v>
          </cell>
          <cell r="BE15">
            <v>1313.8820000000001</v>
          </cell>
          <cell r="BF15">
            <v>1037.68</v>
          </cell>
          <cell r="BN15">
            <v>1612.5419999999999</v>
          </cell>
          <cell r="BO15">
            <v>739.02</v>
          </cell>
          <cell r="BW15">
            <v>2291.8119999999999</v>
          </cell>
          <cell r="BX15">
            <v>59.75</v>
          </cell>
          <cell r="CB15">
            <v>285.44400000000002</v>
          </cell>
          <cell r="CF15">
            <v>2352.462</v>
          </cell>
          <cell r="CO15">
            <v>2071.7629999999999</v>
          </cell>
          <cell r="CP15">
            <v>1876.5540000000001</v>
          </cell>
          <cell r="CX15">
            <v>1611.348</v>
          </cell>
          <cell r="CY15">
            <v>1474.204</v>
          </cell>
          <cell r="DG15">
            <v>1198.2560000000001</v>
          </cell>
          <cell r="DH15">
            <v>629.29399999999998</v>
          </cell>
          <cell r="DP15">
            <v>1044.6600000000001</v>
          </cell>
          <cell r="DY15">
            <v>259.10700000000003</v>
          </cell>
          <cell r="EG15">
            <v>64.656000000000006</v>
          </cell>
          <cell r="EP15">
            <v>48.347999999999999</v>
          </cell>
          <cell r="EV15">
            <v>172.27080000000001</v>
          </cell>
          <cell r="EY15">
            <v>41.411999999999999</v>
          </cell>
          <cell r="EZ15">
            <v>17.486999999999998</v>
          </cell>
          <cell r="FE15">
            <v>342.33300000000003</v>
          </cell>
          <cell r="FH15">
            <v>4.8959999999999999</v>
          </cell>
          <cell r="FI15">
            <v>51.626999999999995</v>
          </cell>
          <cell r="FN15">
            <v>130.3074</v>
          </cell>
          <cell r="FQ15">
            <v>35.292000000000002</v>
          </cell>
          <cell r="FR15">
            <v>484.3889999999999</v>
          </cell>
          <cell r="FS15">
            <v>2171.768</v>
          </cell>
          <cell r="FW15">
            <v>46.38</v>
          </cell>
          <cell r="GA15">
            <v>615.54200000000003</v>
          </cell>
          <cell r="GB15">
            <v>1763.2080000000001</v>
          </cell>
          <cell r="GF15">
            <v>13.2516</v>
          </cell>
          <cell r="GJ15">
            <v>238.69699999999995</v>
          </cell>
          <cell r="GK15">
            <v>3799.6669999999999</v>
          </cell>
          <cell r="GO15">
            <v>13.2516</v>
          </cell>
          <cell r="GS15">
            <v>658.38499999999999</v>
          </cell>
          <cell r="GT15">
            <v>2702.3870000000002</v>
          </cell>
        </row>
        <row r="16">
          <cell r="A16">
            <v>13</v>
          </cell>
          <cell r="B16" t="str">
            <v>RM</v>
          </cell>
          <cell r="C16" t="str">
            <v>FM</v>
          </cell>
          <cell r="D16" t="str">
            <v>MUSTARD OIL-EXPELLER</v>
          </cell>
          <cell r="E16" t="str">
            <v>MUSTARD OIL-EXPELLER</v>
          </cell>
          <cell r="K16">
            <v>813.96</v>
          </cell>
          <cell r="O16">
            <v>813.96</v>
          </cell>
          <cell r="U16">
            <v>814.73699999999997</v>
          </cell>
          <cell r="V16">
            <v>151.52500000000001</v>
          </cell>
          <cell r="AD16">
            <v>661.40899999999999</v>
          </cell>
          <cell r="AE16">
            <v>168.465</v>
          </cell>
          <cell r="AM16">
            <v>520.55700000000002</v>
          </cell>
          <cell r="AN16">
            <v>173.52</v>
          </cell>
          <cell r="AV16">
            <v>850.84999999999991</v>
          </cell>
          <cell r="AW16">
            <v>173.52</v>
          </cell>
          <cell r="BE16">
            <v>1110.6219999999998</v>
          </cell>
          <cell r="BN16">
            <v>1305.683</v>
          </cell>
          <cell r="BW16">
            <v>1070.068</v>
          </cell>
          <cell r="CF16">
            <v>1317.78</v>
          </cell>
          <cell r="CO16">
            <v>1150.586</v>
          </cell>
          <cell r="CX16">
            <v>1065.019</v>
          </cell>
          <cell r="DG16">
            <v>1394.645</v>
          </cell>
          <cell r="DP16">
            <v>1621.932</v>
          </cell>
          <cell r="DY16">
            <v>2247.5320000000002</v>
          </cell>
          <cell r="EH16">
            <v>2242.2219999999998</v>
          </cell>
          <cell r="EQ16">
            <v>2017.954</v>
          </cell>
          <cell r="EZ16">
            <v>2190.576</v>
          </cell>
          <cell r="FI16">
            <v>2190.576</v>
          </cell>
          <cell r="FR16">
            <v>2336.1260000000002</v>
          </cell>
          <cell r="GA16">
            <v>2384.029</v>
          </cell>
          <cell r="GJ16">
            <v>1782.653</v>
          </cell>
          <cell r="GK16">
            <v>319.33999999999997</v>
          </cell>
          <cell r="GS16">
            <v>611.56799999999998</v>
          </cell>
          <cell r="GT16">
            <v>813.52499999999998</v>
          </cell>
        </row>
        <row r="17">
          <cell r="A17">
            <v>14</v>
          </cell>
          <cell r="B17" t="str">
            <v>RM</v>
          </cell>
          <cell r="C17" t="str">
            <v>FM</v>
          </cell>
          <cell r="D17" t="str">
            <v>MUSTARD OIL-REFINED</v>
          </cell>
          <cell r="E17" t="str">
            <v>MUSTARD OIL-REFINED</v>
          </cell>
          <cell r="G17">
            <v>214.55136000000002</v>
          </cell>
          <cell r="K17">
            <v>113.003</v>
          </cell>
          <cell r="M17">
            <v>180.9</v>
          </cell>
          <cell r="O17">
            <v>508.45436000000007</v>
          </cell>
          <cell r="BE17">
            <v>162.245</v>
          </cell>
          <cell r="CF17">
            <v>2.4700000000000002</v>
          </cell>
        </row>
        <row r="18">
          <cell r="A18">
            <v>15</v>
          </cell>
          <cell r="B18" t="str">
            <v>RM</v>
          </cell>
          <cell r="C18" t="str">
            <v>FM</v>
          </cell>
          <cell r="D18" t="str">
            <v>CRUDE GLYCERINE</v>
          </cell>
          <cell r="E18" t="str">
            <v>CRUDE GLYCERINE</v>
          </cell>
          <cell r="F18">
            <v>193.23</v>
          </cell>
          <cell r="H18">
            <v>203.41</v>
          </cell>
          <cell r="J18">
            <v>392.11200000000002</v>
          </cell>
          <cell r="K18">
            <v>974.226</v>
          </cell>
          <cell r="O18">
            <v>1762.9780000000001</v>
          </cell>
          <cell r="P18">
            <v>199.12</v>
          </cell>
          <cell r="R18">
            <v>203.41</v>
          </cell>
          <cell r="T18">
            <v>227.21100000000001</v>
          </cell>
          <cell r="U18">
            <v>1170.6679999999999</v>
          </cell>
          <cell r="Y18">
            <v>175.54</v>
          </cell>
          <cell r="AA18">
            <v>203.41</v>
          </cell>
          <cell r="AC18">
            <v>375.64299999999997</v>
          </cell>
          <cell r="AD18">
            <v>1037.818</v>
          </cell>
          <cell r="AH18">
            <v>163.1</v>
          </cell>
          <cell r="AJ18">
            <v>203.41</v>
          </cell>
          <cell r="AL18">
            <v>536.64200000000005</v>
          </cell>
          <cell r="AM18">
            <v>691.255</v>
          </cell>
          <cell r="AQ18">
            <v>113.32</v>
          </cell>
          <cell r="AS18">
            <v>131.28</v>
          </cell>
          <cell r="AU18">
            <v>764.02200000000005</v>
          </cell>
          <cell r="AV18">
            <v>752.75</v>
          </cell>
          <cell r="AZ18">
            <v>36.03</v>
          </cell>
          <cell r="BB18">
            <v>131.28</v>
          </cell>
          <cell r="BD18">
            <v>875.26400000000001</v>
          </cell>
          <cell r="BE18">
            <v>980.06799999999998</v>
          </cell>
          <cell r="BG18">
            <v>248.13</v>
          </cell>
          <cell r="BI18">
            <v>112.01</v>
          </cell>
          <cell r="BK18">
            <v>131.28</v>
          </cell>
          <cell r="BM18">
            <v>993.79100000000005</v>
          </cell>
          <cell r="BN18">
            <v>980.13599999999997</v>
          </cell>
          <cell r="BP18">
            <v>248.13</v>
          </cell>
          <cell r="BR18">
            <v>72.05</v>
          </cell>
          <cell r="BT18">
            <v>116.54</v>
          </cell>
          <cell r="BV18">
            <v>798.98599999999999</v>
          </cell>
          <cell r="BW18">
            <v>1130.7180000000001</v>
          </cell>
          <cell r="BY18">
            <v>248.13</v>
          </cell>
          <cell r="CA18">
            <v>317.02</v>
          </cell>
          <cell r="CC18">
            <v>85.85</v>
          </cell>
          <cell r="CE18">
            <v>1124.088</v>
          </cell>
          <cell r="CF18">
            <v>1031.8309999999999</v>
          </cell>
          <cell r="CJ18">
            <v>356.32</v>
          </cell>
          <cell r="CL18">
            <v>85.85</v>
          </cell>
          <cell r="CN18">
            <v>1207.731</v>
          </cell>
          <cell r="CO18">
            <v>1136.1120000000001</v>
          </cell>
          <cell r="CS18">
            <v>314.39999999999998</v>
          </cell>
          <cell r="CU18">
            <v>85.85</v>
          </cell>
          <cell r="CW18">
            <v>1288.8509999999999</v>
          </cell>
          <cell r="CX18">
            <v>1113.905</v>
          </cell>
          <cell r="DB18">
            <v>206.98</v>
          </cell>
          <cell r="DD18">
            <v>69.8</v>
          </cell>
          <cell r="DF18">
            <v>1297.0709999999999</v>
          </cell>
          <cell r="DG18">
            <v>984.65099999999995</v>
          </cell>
          <cell r="DK18">
            <v>145.41</v>
          </cell>
          <cell r="DM18">
            <v>54.96</v>
          </cell>
          <cell r="DO18">
            <v>1386.5609999999999</v>
          </cell>
          <cell r="DP18">
            <v>1120.499</v>
          </cell>
          <cell r="DT18">
            <v>136.24</v>
          </cell>
          <cell r="DV18">
            <v>23.82</v>
          </cell>
          <cell r="DX18">
            <v>1201.694</v>
          </cell>
          <cell r="DY18">
            <v>1167.759</v>
          </cell>
          <cell r="EC18">
            <v>205.67</v>
          </cell>
          <cell r="EG18">
            <v>1125.268</v>
          </cell>
          <cell r="EH18">
            <v>1290.8679999999999</v>
          </cell>
          <cell r="EL18">
            <v>142.79</v>
          </cell>
          <cell r="EP18">
            <v>1164.0820000000001</v>
          </cell>
          <cell r="EQ18">
            <v>1284.605</v>
          </cell>
          <cell r="EU18">
            <v>224.67</v>
          </cell>
          <cell r="EY18">
            <v>1201.329</v>
          </cell>
          <cell r="EZ18">
            <v>1323.3240000000001</v>
          </cell>
          <cell r="FD18">
            <v>319.64</v>
          </cell>
          <cell r="FH18">
            <v>1059.682</v>
          </cell>
          <cell r="FI18">
            <v>1726.078</v>
          </cell>
          <cell r="FM18">
            <v>270.52</v>
          </cell>
          <cell r="FQ18">
            <v>1047.9079999999999</v>
          </cell>
          <cell r="FR18">
            <v>1697.7270000000001</v>
          </cell>
          <cell r="FV18">
            <v>263.97000000000003</v>
          </cell>
          <cell r="FZ18">
            <v>1038.3699999999999</v>
          </cell>
          <cell r="GA18">
            <v>1706.269</v>
          </cell>
          <cell r="GE18">
            <v>331.43</v>
          </cell>
          <cell r="GI18">
            <v>956.32600000000002</v>
          </cell>
          <cell r="GJ18">
            <v>1614.434</v>
          </cell>
          <cell r="GN18">
            <v>323.57</v>
          </cell>
          <cell r="GR18">
            <v>1067.076</v>
          </cell>
          <cell r="GS18">
            <v>2158.384</v>
          </cell>
        </row>
        <row r="19">
          <cell r="A19">
            <v>16</v>
          </cell>
          <cell r="B19" t="str">
            <v>RM</v>
          </cell>
          <cell r="C19" t="str">
            <v>FM</v>
          </cell>
          <cell r="D19" t="str">
            <v>CAUSTIC SODA</v>
          </cell>
          <cell r="E19" t="str">
            <v>CAUSTIC SODA</v>
          </cell>
          <cell r="I19">
            <v>461</v>
          </cell>
          <cell r="J19">
            <v>76.197000000000003</v>
          </cell>
          <cell r="O19">
            <v>537.197</v>
          </cell>
          <cell r="S19">
            <v>301.10000000000002</v>
          </cell>
          <cell r="T19">
            <v>41.246000000000002</v>
          </cell>
          <cell r="AB19">
            <v>261.7</v>
          </cell>
          <cell r="AC19">
            <v>34.978999999999999</v>
          </cell>
          <cell r="AF19">
            <v>33.04</v>
          </cell>
          <cell r="AK19">
            <v>298.3</v>
          </cell>
          <cell r="AT19">
            <v>283.2</v>
          </cell>
          <cell r="AU19">
            <v>63.255000000000003</v>
          </cell>
          <cell r="AX19">
            <v>65.52</v>
          </cell>
          <cell r="BC19">
            <v>274.10000000000002</v>
          </cell>
          <cell r="BD19">
            <v>40.941000000000003</v>
          </cell>
          <cell r="BG19">
            <v>32.58</v>
          </cell>
          <cell r="BL19">
            <v>454.1</v>
          </cell>
          <cell r="BM19">
            <v>11.135999999999999</v>
          </cell>
          <cell r="BP19">
            <v>29.31</v>
          </cell>
          <cell r="BU19">
            <v>452</v>
          </cell>
          <cell r="BV19">
            <v>86.114999999999995</v>
          </cell>
          <cell r="CD19">
            <v>348.8</v>
          </cell>
          <cell r="CE19">
            <v>100.413</v>
          </cell>
          <cell r="CH19">
            <v>30.11</v>
          </cell>
          <cell r="CM19">
            <v>310</v>
          </cell>
          <cell r="CN19">
            <v>93.278000000000006</v>
          </cell>
          <cell r="CQ19">
            <v>44.71</v>
          </cell>
          <cell r="CV19">
            <v>290.5</v>
          </cell>
          <cell r="CW19">
            <v>85.21</v>
          </cell>
          <cell r="DE19">
            <v>110.3</v>
          </cell>
          <cell r="DF19">
            <v>67.382999999999996</v>
          </cell>
          <cell r="DI19">
            <v>47.82</v>
          </cell>
          <cell r="DN19">
            <v>155.9</v>
          </cell>
          <cell r="DO19">
            <v>60.7</v>
          </cell>
          <cell r="DR19">
            <v>33</v>
          </cell>
          <cell r="DW19">
            <v>109.8</v>
          </cell>
          <cell r="DX19">
            <v>21.236000000000001</v>
          </cell>
          <cell r="EA19">
            <v>91.03</v>
          </cell>
          <cell r="EF19">
            <v>119.4</v>
          </cell>
          <cell r="EG19">
            <v>0.96499999999999997</v>
          </cell>
          <cell r="EJ19">
            <v>74.2</v>
          </cell>
          <cell r="EO19">
            <v>255.5</v>
          </cell>
          <cell r="EP19">
            <v>112.908</v>
          </cell>
          <cell r="ES19">
            <v>77.489999999999995</v>
          </cell>
          <cell r="EX19">
            <v>404.5</v>
          </cell>
          <cell r="EY19">
            <v>143.57400000000001</v>
          </cell>
          <cell r="FB19">
            <v>17.18</v>
          </cell>
          <cell r="FG19">
            <v>324.2</v>
          </cell>
          <cell r="FH19">
            <v>174.863</v>
          </cell>
          <cell r="FK19">
            <v>33.229999999999997</v>
          </cell>
          <cell r="FP19">
            <v>413.4</v>
          </cell>
          <cell r="FQ19">
            <v>138.494</v>
          </cell>
          <cell r="FT19">
            <v>48.9</v>
          </cell>
          <cell r="FY19">
            <v>409.8</v>
          </cell>
          <cell r="FZ19">
            <v>167.94300000000001</v>
          </cell>
          <cell r="GH19">
            <v>386</v>
          </cell>
          <cell r="GI19">
            <v>151.017</v>
          </cell>
          <cell r="GL19">
            <v>48.47</v>
          </cell>
          <cell r="GQ19">
            <v>775.2</v>
          </cell>
          <cell r="GR19">
            <v>114.685</v>
          </cell>
          <cell r="GU19">
            <v>134.94</v>
          </cell>
        </row>
        <row r="20">
          <cell r="A20">
            <v>17</v>
          </cell>
          <cell r="B20" t="str">
            <v>RM</v>
          </cell>
          <cell r="C20" t="str">
            <v>FM</v>
          </cell>
          <cell r="D20" t="str">
            <v>MINERAL OIL(SAVANOL-82)</v>
          </cell>
          <cell r="E20" t="str">
            <v>MINERAL OIL(SAVANOL-82)</v>
          </cell>
          <cell r="O20">
            <v>0</v>
          </cell>
        </row>
        <row r="21">
          <cell r="A21">
            <v>237</v>
          </cell>
          <cell r="B21" t="str">
            <v>RM</v>
          </cell>
          <cell r="C21" t="str">
            <v>FM</v>
          </cell>
          <cell r="D21" t="str">
            <v>NEEM OIL</v>
          </cell>
          <cell r="E21" t="str">
            <v>NEEM OIL</v>
          </cell>
          <cell r="J21">
            <v>8</v>
          </cell>
          <cell r="O21">
            <v>8</v>
          </cell>
          <cell r="T21">
            <v>7.91</v>
          </cell>
          <cell r="AC21">
            <v>21.06</v>
          </cell>
          <cell r="AL21">
            <v>9.15</v>
          </cell>
          <cell r="AU21">
            <v>25.41</v>
          </cell>
          <cell r="BD21">
            <v>25.41</v>
          </cell>
          <cell r="BM21">
            <v>54.29</v>
          </cell>
          <cell r="BV21">
            <v>47.988</v>
          </cell>
          <cell r="CE21">
            <v>43.896000000000001</v>
          </cell>
          <cell r="CN21">
            <v>41.85</v>
          </cell>
          <cell r="CW21">
            <v>41.85</v>
          </cell>
          <cell r="DX21">
            <v>28.643999999999998</v>
          </cell>
          <cell r="EG21">
            <v>26.04</v>
          </cell>
          <cell r="EP21">
            <v>22.088000000000001</v>
          </cell>
          <cell r="EY21">
            <v>38.118000000000002</v>
          </cell>
          <cell r="FH21">
            <v>38.118000000000002</v>
          </cell>
          <cell r="FQ21">
            <v>38.118000000000002</v>
          </cell>
          <cell r="FZ21">
            <v>38.118000000000002</v>
          </cell>
          <cell r="GI21">
            <v>38.118000000000002</v>
          </cell>
          <cell r="GR21">
            <v>38.118000000000002</v>
          </cell>
        </row>
        <row r="22">
          <cell r="D22" t="str">
            <v>RM TOTAL</v>
          </cell>
          <cell r="E22" t="str">
            <v>RM TOTAL</v>
          </cell>
          <cell r="F22">
            <v>193.23</v>
          </cell>
          <cell r="G22">
            <v>2164.5073600000001</v>
          </cell>
          <cell r="H22">
            <v>4281.96</v>
          </cell>
          <cell r="I22">
            <v>826</v>
          </cell>
          <cell r="J22">
            <v>468.30900000000003</v>
          </cell>
          <cell r="K22">
            <v>3404.5660000000003</v>
          </cell>
          <cell r="L22">
            <v>1990.2180000000001</v>
          </cell>
          <cell r="M22">
            <v>5339.0459999999994</v>
          </cell>
          <cell r="N22">
            <v>0</v>
          </cell>
          <cell r="O22">
            <v>18675.836360000001</v>
          </cell>
          <cell r="P22">
            <v>199.12</v>
          </cell>
          <cell r="Q22">
            <v>1525.92336</v>
          </cell>
          <cell r="R22">
            <v>3693.4599999999996</v>
          </cell>
          <cell r="S22">
            <v>578.79999999999995</v>
          </cell>
          <cell r="T22">
            <v>268.45699999999999</v>
          </cell>
          <cell r="U22">
            <v>3071.8710000000001</v>
          </cell>
          <cell r="V22">
            <v>3134.5440000000003</v>
          </cell>
          <cell r="W22">
            <v>3969.94</v>
          </cell>
          <cell r="X22">
            <v>0</v>
          </cell>
          <cell r="Y22">
            <v>175.54</v>
          </cell>
          <cell r="Z22">
            <v>1001.18</v>
          </cell>
          <cell r="AA22">
            <v>2110.2460000000001</v>
          </cell>
          <cell r="AB22">
            <v>444.29999999999995</v>
          </cell>
          <cell r="AC22">
            <v>431.68199999999996</v>
          </cell>
          <cell r="AD22">
            <v>2787.4449999999997</v>
          </cell>
          <cell r="AE22">
            <v>2535.6000000000004</v>
          </cell>
          <cell r="AF22">
            <v>9016.4410000000007</v>
          </cell>
          <cell r="AG22">
            <v>0</v>
          </cell>
          <cell r="AH22">
            <v>163.1</v>
          </cell>
          <cell r="AI22">
            <v>708.8</v>
          </cell>
          <cell r="AJ22">
            <v>2182.37</v>
          </cell>
          <cell r="AK22">
            <v>804.3</v>
          </cell>
          <cell r="AL22">
            <v>545.79200000000003</v>
          </cell>
          <cell r="AM22">
            <v>3175.38</v>
          </cell>
          <cell r="AN22">
            <v>9341.7900000000009</v>
          </cell>
          <cell r="AO22">
            <v>0</v>
          </cell>
          <cell r="AP22">
            <v>0</v>
          </cell>
          <cell r="AQ22">
            <v>113.32</v>
          </cell>
          <cell r="AR22">
            <v>1342.29</v>
          </cell>
          <cell r="AS22">
            <v>627.02</v>
          </cell>
          <cell r="AT22">
            <v>1051.7</v>
          </cell>
          <cell r="AU22">
            <v>852.68700000000001</v>
          </cell>
          <cell r="AV22">
            <v>5547.8379999999997</v>
          </cell>
          <cell r="AW22">
            <v>5052.2650000000003</v>
          </cell>
          <cell r="AX22">
            <v>65.52</v>
          </cell>
          <cell r="AY22">
            <v>0</v>
          </cell>
          <cell r="AZ22">
            <v>36.03</v>
          </cell>
          <cell r="BA22">
            <v>1207.175</v>
          </cell>
          <cell r="BB22">
            <v>315.50599999999997</v>
          </cell>
          <cell r="BC22">
            <v>1042.5999999999999</v>
          </cell>
          <cell r="BD22">
            <v>941.61500000000001</v>
          </cell>
          <cell r="BE22">
            <v>5732.0039999999999</v>
          </cell>
          <cell r="BF22">
            <v>2709.3150000000001</v>
          </cell>
          <cell r="BG22">
            <v>3280.71</v>
          </cell>
          <cell r="BH22">
            <v>0</v>
          </cell>
          <cell r="BI22">
            <v>112.01</v>
          </cell>
          <cell r="BJ22">
            <v>236.2842</v>
          </cell>
          <cell r="BK22">
            <v>315.50599999999997</v>
          </cell>
          <cell r="BL22">
            <v>1222.5999999999999</v>
          </cell>
          <cell r="BM22">
            <v>1059.2170000000001</v>
          </cell>
          <cell r="BN22">
            <v>5983.4770000000008</v>
          </cell>
          <cell r="BO22">
            <v>3876.9340000000002</v>
          </cell>
          <cell r="BP22">
            <v>277.44</v>
          </cell>
          <cell r="BQ22">
            <v>0</v>
          </cell>
          <cell r="BR22">
            <v>72.05</v>
          </cell>
          <cell r="BS22">
            <v>225.18360000000001</v>
          </cell>
          <cell r="BT22">
            <v>300.76600000000002</v>
          </cell>
          <cell r="BU22">
            <v>1220.5</v>
          </cell>
          <cell r="BV22">
            <v>933.08899999999994</v>
          </cell>
          <cell r="BW22">
            <v>5920.143</v>
          </cell>
          <cell r="BX22">
            <v>2540.6840000000002</v>
          </cell>
          <cell r="BY22">
            <v>248.13</v>
          </cell>
          <cell r="BZ22">
            <v>0</v>
          </cell>
          <cell r="CA22">
            <v>317.02</v>
          </cell>
          <cell r="CB22">
            <v>285.44400000000002</v>
          </cell>
          <cell r="CC22">
            <v>270.07600000000002</v>
          </cell>
          <cell r="CD22">
            <v>1117.3</v>
          </cell>
          <cell r="CE22">
            <v>1268.3969999999999</v>
          </cell>
          <cell r="CF22">
            <v>6011.0690000000004</v>
          </cell>
          <cell r="CG22">
            <v>0</v>
          </cell>
          <cell r="CH22">
            <v>5030.1099999999997</v>
          </cell>
          <cell r="CI22">
            <v>0</v>
          </cell>
          <cell r="CJ22">
            <v>356.32</v>
          </cell>
          <cell r="CK22">
            <v>0</v>
          </cell>
          <cell r="CL22">
            <v>270.07600000000002</v>
          </cell>
          <cell r="CM22">
            <v>1078.5</v>
          </cell>
          <cell r="CN22">
            <v>1342.8589999999999</v>
          </cell>
          <cell r="CO22">
            <v>5178.7569999999996</v>
          </cell>
          <cell r="CP22">
            <v>1876.5540000000001</v>
          </cell>
          <cell r="CQ22">
            <v>5055.6639999999998</v>
          </cell>
          <cell r="CR22">
            <v>0</v>
          </cell>
          <cell r="CS22">
            <v>314.39999999999998</v>
          </cell>
          <cell r="CT22">
            <v>0</v>
          </cell>
          <cell r="CU22">
            <v>85.85</v>
          </cell>
          <cell r="CV22">
            <v>1059</v>
          </cell>
          <cell r="CW22">
            <v>1415.9109999999998</v>
          </cell>
          <cell r="CX22">
            <v>4610.5679999999993</v>
          </cell>
          <cell r="CY22">
            <v>1474.204</v>
          </cell>
          <cell r="CZ22">
            <v>5010</v>
          </cell>
          <cell r="DA22">
            <v>0</v>
          </cell>
          <cell r="DB22">
            <v>206.98</v>
          </cell>
          <cell r="DC22">
            <v>0</v>
          </cell>
          <cell r="DD22">
            <v>254.02600000000001</v>
          </cell>
          <cell r="DE22">
            <v>878.8</v>
          </cell>
          <cell r="DF22">
            <v>1364.454</v>
          </cell>
          <cell r="DG22">
            <v>5796.4179999999997</v>
          </cell>
          <cell r="DH22">
            <v>3909.2179999999998</v>
          </cell>
          <cell r="DI22">
            <v>7001.32</v>
          </cell>
          <cell r="DJ22">
            <v>0</v>
          </cell>
          <cell r="DK22">
            <v>145.41</v>
          </cell>
          <cell r="DL22">
            <v>0</v>
          </cell>
          <cell r="DM22">
            <v>239.18600000000001</v>
          </cell>
          <cell r="DN22">
            <v>924.4</v>
          </cell>
          <cell r="DO22">
            <v>1447.261</v>
          </cell>
          <cell r="DP22">
            <v>6620.4739999999993</v>
          </cell>
          <cell r="DQ22">
            <v>956.30400000000009</v>
          </cell>
          <cell r="DR22">
            <v>8986.5</v>
          </cell>
          <cell r="DS22">
            <v>0</v>
          </cell>
          <cell r="DT22">
            <v>136.24</v>
          </cell>
          <cell r="DU22">
            <v>0</v>
          </cell>
          <cell r="DV22">
            <v>208.04599999999999</v>
          </cell>
          <cell r="DW22">
            <v>878.3</v>
          </cell>
          <cell r="DX22">
            <v>1251.5740000000001</v>
          </cell>
          <cell r="DY22">
            <v>6952.9150000000009</v>
          </cell>
          <cell r="DZ22">
            <v>7122.7830000000004</v>
          </cell>
          <cell r="EA22">
            <v>91.03</v>
          </cell>
          <cell r="EB22">
            <v>0</v>
          </cell>
          <cell r="EC22">
            <v>205.67</v>
          </cell>
          <cell r="ED22">
            <v>0</v>
          </cell>
          <cell r="EE22">
            <v>184.226</v>
          </cell>
          <cell r="EF22">
            <v>887.9</v>
          </cell>
          <cell r="EG22">
            <v>1216.9289999999999</v>
          </cell>
          <cell r="EH22">
            <v>7757.1189999999988</v>
          </cell>
          <cell r="EI22">
            <v>4950.4129999999996</v>
          </cell>
          <cell r="EJ22">
            <v>2824.2</v>
          </cell>
          <cell r="EK22">
            <v>0</v>
          </cell>
          <cell r="EL22">
            <v>142.79</v>
          </cell>
          <cell r="EM22">
            <v>0</v>
          </cell>
          <cell r="EN22">
            <v>184.226</v>
          </cell>
          <cell r="EO22">
            <v>1024</v>
          </cell>
          <cell r="EP22">
            <v>1347.4259999999999</v>
          </cell>
          <cell r="EQ22">
            <v>7900.1319999999996</v>
          </cell>
          <cell r="ER22">
            <v>2543.81</v>
          </cell>
          <cell r="ES22">
            <v>3087.4689999999996</v>
          </cell>
          <cell r="ET22">
            <v>0</v>
          </cell>
          <cell r="EU22">
            <v>224.67</v>
          </cell>
          <cell r="EV22">
            <v>172.27080000000001</v>
          </cell>
          <cell r="EW22">
            <v>184.226</v>
          </cell>
          <cell r="EX22">
            <v>1006.9</v>
          </cell>
          <cell r="EY22">
            <v>1424.433</v>
          </cell>
          <cell r="EZ22">
            <v>7892.8860000000004</v>
          </cell>
          <cell r="FA22">
            <v>3032.1689999999999</v>
          </cell>
          <cell r="FB22">
            <v>17.18</v>
          </cell>
          <cell r="FC22">
            <v>0</v>
          </cell>
          <cell r="FD22">
            <v>319.64</v>
          </cell>
          <cell r="FE22">
            <v>342.33300000000003</v>
          </cell>
          <cell r="FF22">
            <v>184.226</v>
          </cell>
          <cell r="FG22">
            <v>716</v>
          </cell>
          <cell r="FH22">
            <v>1277.559</v>
          </cell>
          <cell r="FI22">
            <v>4870.9719999999998</v>
          </cell>
          <cell r="FJ22">
            <v>2653.3090000000002</v>
          </cell>
          <cell r="FK22">
            <v>33.229999999999997</v>
          </cell>
          <cell r="FL22">
            <v>0</v>
          </cell>
          <cell r="FM22">
            <v>270.52</v>
          </cell>
          <cell r="FN22">
            <v>130.3074</v>
          </cell>
          <cell r="FO22">
            <v>184.226</v>
          </cell>
          <cell r="FP22">
            <v>805.1982857142857</v>
          </cell>
          <cell r="FQ22">
            <v>1259.8119999999997</v>
          </cell>
          <cell r="FR22">
            <v>5535.9610000000002</v>
          </cell>
          <cell r="FS22">
            <v>7701.96</v>
          </cell>
          <cell r="FT22">
            <v>48.9</v>
          </cell>
          <cell r="FU22">
            <v>0</v>
          </cell>
          <cell r="FV22">
            <v>263.97000000000003</v>
          </cell>
          <cell r="FW22">
            <v>46.38</v>
          </cell>
          <cell r="FX22">
            <v>184.226</v>
          </cell>
          <cell r="FY22">
            <v>829.18971428571433</v>
          </cell>
          <cell r="FZ22">
            <v>1244.4309999999998</v>
          </cell>
          <cell r="GA22">
            <v>6032.357</v>
          </cell>
          <cell r="GB22">
            <v>6380.99</v>
          </cell>
          <cell r="GC22">
            <v>0</v>
          </cell>
          <cell r="GD22">
            <v>0</v>
          </cell>
          <cell r="GE22">
            <v>331.43</v>
          </cell>
          <cell r="GF22">
            <v>13.2516</v>
          </cell>
          <cell r="GG22">
            <v>184.226</v>
          </cell>
          <cell r="GH22">
            <v>805.38971428571426</v>
          </cell>
          <cell r="GI22">
            <v>1145.461</v>
          </cell>
          <cell r="GJ22">
            <v>5942.3770000000004</v>
          </cell>
          <cell r="GK22">
            <v>7637.759</v>
          </cell>
          <cell r="GL22">
            <v>48.47</v>
          </cell>
          <cell r="GM22">
            <v>0</v>
          </cell>
          <cell r="GN22">
            <v>323.57</v>
          </cell>
          <cell r="GO22">
            <v>13.2516</v>
          </cell>
          <cell r="GP22">
            <v>184.226</v>
          </cell>
          <cell r="GQ22">
            <v>1098.9394285714286</v>
          </cell>
          <cell r="GR22">
            <v>1219.8789999999999</v>
          </cell>
          <cell r="GS22">
            <v>5917.3720000000003</v>
          </cell>
          <cell r="GT22">
            <v>5310.4740000000002</v>
          </cell>
          <cell r="GU22">
            <v>134.94</v>
          </cell>
          <cell r="GV22">
            <v>0</v>
          </cell>
        </row>
        <row r="23">
          <cell r="A23" t="str">
            <v>SPLIT FATTY ACIDS</v>
          </cell>
        </row>
        <row r="24">
          <cell r="A24">
            <v>18</v>
          </cell>
          <cell r="B24" t="str">
            <v>SRM</v>
          </cell>
          <cell r="C24" t="str">
            <v>FM</v>
          </cell>
          <cell r="D24" t="str">
            <v>SCPKO</v>
          </cell>
          <cell r="E24" t="str">
            <v>SCPKO</v>
          </cell>
          <cell r="G24">
            <v>309.20400000000001</v>
          </cell>
          <cell r="I24">
            <v>825.8</v>
          </cell>
          <cell r="K24">
            <v>3013.6930000000002</v>
          </cell>
          <cell r="O24">
            <v>4148.6970000000001</v>
          </cell>
          <cell r="Q24">
            <v>119.34</v>
          </cell>
          <cell r="S24">
            <v>235.7</v>
          </cell>
          <cell r="U24">
            <v>4500.2179999999998</v>
          </cell>
          <cell r="W24">
            <v>669.66</v>
          </cell>
          <cell r="Y24">
            <v>36.192</v>
          </cell>
          <cell r="Z24">
            <v>226.44</v>
          </cell>
          <cell r="AB24">
            <v>770</v>
          </cell>
          <cell r="AD24">
            <v>2155.8490000000002</v>
          </cell>
          <cell r="AF24">
            <v>886.61</v>
          </cell>
          <cell r="AI24">
            <v>94.86</v>
          </cell>
          <cell r="AK24">
            <v>429.3</v>
          </cell>
          <cell r="AM24">
            <v>337.92899999999997</v>
          </cell>
          <cell r="AO24">
            <v>510.08</v>
          </cell>
          <cell r="AR24">
            <v>13.26</v>
          </cell>
          <cell r="AT24">
            <v>256.7</v>
          </cell>
          <cell r="AV24">
            <v>658.19799999999998</v>
          </cell>
          <cell r="AX24">
            <v>978.81</v>
          </cell>
          <cell r="BC24">
            <v>296</v>
          </cell>
          <cell r="BE24">
            <v>932.86900000000003</v>
          </cell>
          <cell r="BG24">
            <v>802.03</v>
          </cell>
          <cell r="BJ24">
            <v>64.260000000000005</v>
          </cell>
          <cell r="BL24">
            <v>756.4</v>
          </cell>
          <cell r="BN24">
            <v>201.88800000000001</v>
          </cell>
          <cell r="BP24">
            <v>383.36</v>
          </cell>
          <cell r="BS24">
            <v>64.260000000000005</v>
          </cell>
          <cell r="BU24">
            <v>106</v>
          </cell>
          <cell r="BW24">
            <v>327.00599999999997</v>
          </cell>
          <cell r="BY24">
            <v>486.71</v>
          </cell>
          <cell r="CD24">
            <v>497</v>
          </cell>
          <cell r="CF24">
            <v>298.15300000000002</v>
          </cell>
          <cell r="CH24">
            <v>734.35</v>
          </cell>
          <cell r="CM24">
            <v>292.3</v>
          </cell>
          <cell r="CO24">
            <v>113.94</v>
          </cell>
          <cell r="CQ24">
            <v>570.16</v>
          </cell>
          <cell r="CT24">
            <v>241.74</v>
          </cell>
          <cell r="CX24">
            <v>12.21</v>
          </cell>
          <cell r="CZ24">
            <v>235.22</v>
          </cell>
          <cell r="DC24">
            <v>9.18</v>
          </cell>
          <cell r="DG24">
            <v>43.716999999999985</v>
          </cell>
          <cell r="DI24">
            <v>225.26</v>
          </cell>
          <cell r="DL24">
            <v>24.48</v>
          </cell>
          <cell r="DN24">
            <v>195</v>
          </cell>
          <cell r="DP24">
            <v>232.577</v>
          </cell>
          <cell r="DR24">
            <v>735.71</v>
          </cell>
          <cell r="DU24">
            <v>260.10000000000002</v>
          </cell>
          <cell r="DW24">
            <v>812.8</v>
          </cell>
          <cell r="DY24">
            <v>354.11099999999993</v>
          </cell>
          <cell r="EA24">
            <v>503.22</v>
          </cell>
          <cell r="ED24">
            <v>584.46</v>
          </cell>
          <cell r="EF24">
            <v>260.3</v>
          </cell>
          <cell r="EH24">
            <v>391.70799999999997</v>
          </cell>
          <cell r="EJ24">
            <v>395.21</v>
          </cell>
          <cell r="EO24">
            <v>164.4</v>
          </cell>
          <cell r="EQ24">
            <v>403.73900000000003</v>
          </cell>
          <cell r="ES24">
            <v>843.53</v>
          </cell>
          <cell r="EV24">
            <v>370.26</v>
          </cell>
          <cell r="EX24">
            <v>82.2</v>
          </cell>
          <cell r="EZ24">
            <v>860.62200000000007</v>
          </cell>
          <cell r="FB24">
            <v>603.62</v>
          </cell>
          <cell r="FE24">
            <v>425.34</v>
          </cell>
          <cell r="FG24">
            <v>433.9</v>
          </cell>
          <cell r="FI24">
            <v>1520.4939999999999</v>
          </cell>
          <cell r="FK24">
            <v>1423.3200000000002</v>
          </cell>
          <cell r="FM24">
            <v>260.77499999999998</v>
          </cell>
          <cell r="FN24">
            <v>376.38</v>
          </cell>
          <cell r="FP24">
            <v>489.63600000000008</v>
          </cell>
          <cell r="FR24">
            <v>1165.508</v>
          </cell>
          <cell r="FT24">
            <v>1055.68</v>
          </cell>
          <cell r="FV24">
            <v>260.77499999999998</v>
          </cell>
          <cell r="FW24">
            <v>517.14</v>
          </cell>
          <cell r="FY24">
            <v>487.80899999999991</v>
          </cell>
          <cell r="GA24">
            <v>1262.5609999999999</v>
          </cell>
          <cell r="GC24">
            <v>917.55</v>
          </cell>
          <cell r="GE24">
            <v>260.77499999999998</v>
          </cell>
          <cell r="GF24">
            <v>434.52</v>
          </cell>
          <cell r="GH24">
            <v>164.43</v>
          </cell>
          <cell r="GJ24">
            <v>692.15200000000004</v>
          </cell>
          <cell r="GL24">
            <v>848.89</v>
          </cell>
          <cell r="GO24">
            <v>370.26</v>
          </cell>
          <cell r="GQ24">
            <v>173.565</v>
          </cell>
          <cell r="GS24">
            <v>446.11699999999996</v>
          </cell>
          <cell r="GU24">
            <v>841.8900000000001</v>
          </cell>
        </row>
        <row r="25">
          <cell r="A25">
            <v>19</v>
          </cell>
          <cell r="B25" t="str">
            <v>SRM</v>
          </cell>
          <cell r="C25" t="str">
            <v>FM</v>
          </cell>
          <cell r="D25" t="str">
            <v>SCNO</v>
          </cell>
          <cell r="E25" t="str">
            <v>SCNO</v>
          </cell>
          <cell r="O25">
            <v>0</v>
          </cell>
        </row>
        <row r="26">
          <cell r="A26">
            <v>20</v>
          </cell>
          <cell r="B26" t="str">
            <v>SRM</v>
          </cell>
          <cell r="C26" t="str">
            <v>FM</v>
          </cell>
          <cell r="D26" t="str">
            <v>SCPKO-HLL</v>
          </cell>
          <cell r="E26" t="str">
            <v>SCPKO-HLL</v>
          </cell>
          <cell r="K26">
            <v>797.774</v>
          </cell>
          <cell r="O26">
            <v>797.774</v>
          </cell>
          <cell r="U26">
            <v>556.35400000000004</v>
          </cell>
          <cell r="AD26">
            <v>556.35400000000004</v>
          </cell>
          <cell r="AM26">
            <v>527.05499999999995</v>
          </cell>
          <cell r="AV26">
            <v>443.375</v>
          </cell>
          <cell r="BE26">
            <v>417.42500000000001</v>
          </cell>
          <cell r="BN26">
            <v>138.745</v>
          </cell>
          <cell r="BW26">
            <v>138.745</v>
          </cell>
          <cell r="CF26">
            <v>138.745</v>
          </cell>
        </row>
        <row r="27">
          <cell r="A27">
            <v>21</v>
          </cell>
          <cell r="B27" t="str">
            <v>SRM</v>
          </cell>
          <cell r="C27" t="str">
            <v>FM</v>
          </cell>
          <cell r="D27" t="str">
            <v>SPKFAD</v>
          </cell>
          <cell r="E27" t="str">
            <v>SPKFAD</v>
          </cell>
          <cell r="F27">
            <v>86.4</v>
          </cell>
          <cell r="O27">
            <v>86.4</v>
          </cell>
          <cell r="P27">
            <v>57.6</v>
          </cell>
          <cell r="Y27">
            <v>20.136600000000005</v>
          </cell>
          <cell r="AH27">
            <v>19.773500000000002</v>
          </cell>
          <cell r="EH27">
            <v>117.163</v>
          </cell>
          <cell r="EQ27">
            <v>13.177</v>
          </cell>
          <cell r="EZ27">
            <v>13.177</v>
          </cell>
          <cell r="FI27">
            <v>13.177</v>
          </cell>
          <cell r="FR27">
            <v>209.65</v>
          </cell>
          <cell r="GA27">
            <v>209.65</v>
          </cell>
          <cell r="GJ27">
            <v>209.65</v>
          </cell>
          <cell r="GS27">
            <v>209.65</v>
          </cell>
        </row>
        <row r="28">
          <cell r="A28">
            <v>22</v>
          </cell>
          <cell r="B28" t="str">
            <v>SRM</v>
          </cell>
          <cell r="C28" t="str">
            <v>FM</v>
          </cell>
          <cell r="D28" t="str">
            <v>SCPS</v>
          </cell>
          <cell r="E28" t="str">
            <v>SCPS</v>
          </cell>
          <cell r="O28">
            <v>0</v>
          </cell>
        </row>
        <row r="29">
          <cell r="A29">
            <v>23</v>
          </cell>
          <cell r="B29" t="str">
            <v>SRM</v>
          </cell>
          <cell r="C29" t="str">
            <v>FM</v>
          </cell>
          <cell r="D29" t="str">
            <v>SRBDPS</v>
          </cell>
          <cell r="E29" t="str">
            <v>SRBDPS</v>
          </cell>
          <cell r="O29">
            <v>0</v>
          </cell>
          <cell r="Q29">
            <v>195.05340000000001</v>
          </cell>
          <cell r="Z29">
            <v>272.75760000000002</v>
          </cell>
          <cell r="BN29">
            <v>133.05699999999999</v>
          </cell>
          <cell r="BW29">
            <v>133.05699999999999</v>
          </cell>
          <cell r="CF29">
            <v>133.05699999999999</v>
          </cell>
          <cell r="CO29">
            <v>133.05699999999999</v>
          </cell>
          <cell r="CU29">
            <v>184.226</v>
          </cell>
          <cell r="CX29">
            <v>133.05699999999999</v>
          </cell>
          <cell r="DG29">
            <v>133.05699999999999</v>
          </cell>
          <cell r="DK29">
            <v>31.2</v>
          </cell>
          <cell r="DP29">
            <v>177.51</v>
          </cell>
          <cell r="DR29">
            <v>15.85</v>
          </cell>
          <cell r="DT29">
            <v>164.4</v>
          </cell>
          <cell r="DY29">
            <v>170.19299999999998</v>
          </cell>
          <cell r="ED29">
            <v>491.59800000000007</v>
          </cell>
          <cell r="EH29">
            <v>60.232999999999997</v>
          </cell>
          <cell r="EM29">
            <v>364.73399999999998</v>
          </cell>
          <cell r="EQ29">
            <v>11.805999999999999</v>
          </cell>
          <cell r="EV29">
            <v>119.72790000000001</v>
          </cell>
          <cell r="EZ29">
            <v>11.805999999999999</v>
          </cell>
          <cell r="FI29">
            <v>11.805999999999999</v>
          </cell>
          <cell r="FR29">
            <v>11.805999999999999</v>
          </cell>
          <cell r="GA29">
            <v>11.805999999999999</v>
          </cell>
          <cell r="GJ29">
            <v>11.805999999999999</v>
          </cell>
          <cell r="GO29">
            <v>98.319600000000008</v>
          </cell>
          <cell r="GS29">
            <v>49.21</v>
          </cell>
          <cell r="GU29">
            <v>353.71</v>
          </cell>
        </row>
        <row r="30">
          <cell r="A30">
            <v>24</v>
          </cell>
          <cell r="B30" t="str">
            <v>SRM</v>
          </cell>
          <cell r="C30" t="str">
            <v>FM</v>
          </cell>
          <cell r="D30" t="str">
            <v>SCPO</v>
          </cell>
          <cell r="E30" t="str">
            <v>SCPO</v>
          </cell>
          <cell r="K30">
            <v>0.48899999999999999</v>
          </cell>
          <cell r="O30">
            <v>0.48899999999999999</v>
          </cell>
          <cell r="U30">
            <v>0.48899999999999999</v>
          </cell>
          <cell r="AD30">
            <v>0.48899999999999999</v>
          </cell>
        </row>
        <row r="31">
          <cell r="A31">
            <v>25</v>
          </cell>
          <cell r="B31" t="str">
            <v>SRM</v>
          </cell>
          <cell r="C31" t="str">
            <v>FM</v>
          </cell>
          <cell r="D31" t="str">
            <v>SPFAD</v>
          </cell>
          <cell r="E31" t="str">
            <v>SPFAD</v>
          </cell>
          <cell r="F31">
            <v>159.6</v>
          </cell>
          <cell r="H31">
            <v>927.3</v>
          </cell>
          <cell r="I31">
            <v>0.9</v>
          </cell>
          <cell r="M31">
            <v>46.37</v>
          </cell>
          <cell r="O31">
            <v>1134.1699999999998</v>
          </cell>
          <cell r="P31">
            <v>310.95</v>
          </cell>
          <cell r="R31">
            <v>274.52999999999997</v>
          </cell>
          <cell r="S31">
            <v>498.5</v>
          </cell>
          <cell r="W31">
            <v>14.23</v>
          </cell>
          <cell r="Y31">
            <v>392</v>
          </cell>
          <cell r="AA31">
            <v>387.02</v>
          </cell>
          <cell r="AB31">
            <v>518.70000000000005</v>
          </cell>
          <cell r="AH31">
            <v>637.20000000000005</v>
          </cell>
          <cell r="AI31">
            <v>183.95280000000002</v>
          </cell>
          <cell r="AJ31">
            <v>301.41000000000003</v>
          </cell>
          <cell r="AK31">
            <v>257.5</v>
          </cell>
          <cell r="AM31">
            <v>615.07299999999998</v>
          </cell>
          <cell r="AO31">
            <v>45</v>
          </cell>
          <cell r="AR31">
            <v>837.05939999999998</v>
          </cell>
          <cell r="AS31">
            <v>453.19</v>
          </cell>
          <cell r="AT31">
            <v>496.6</v>
          </cell>
          <cell r="AV31">
            <v>615.07299999999998</v>
          </cell>
          <cell r="AZ31">
            <v>445.2</v>
          </cell>
          <cell r="BA31">
            <v>414.11250000000001</v>
          </cell>
          <cell r="BB31">
            <v>453.19</v>
          </cell>
          <cell r="BC31">
            <v>327.39999999999998</v>
          </cell>
          <cell r="BE31">
            <v>615.07299999999998</v>
          </cell>
          <cell r="BI31">
            <v>98.4</v>
          </cell>
          <cell r="BJ31">
            <v>1142.4100000000001</v>
          </cell>
          <cell r="BK31">
            <v>40.130000000000003</v>
          </cell>
          <cell r="BL31">
            <v>186.7</v>
          </cell>
          <cell r="BN31">
            <v>615.07299999999998</v>
          </cell>
          <cell r="BP31">
            <v>140.97999999999999</v>
          </cell>
          <cell r="BS31">
            <v>890.43</v>
          </cell>
          <cell r="BT31">
            <v>40.130000000000003</v>
          </cell>
          <cell r="BU31">
            <v>206</v>
          </cell>
          <cell r="BW31">
            <v>615.07299999999998</v>
          </cell>
          <cell r="BY31">
            <v>49.49</v>
          </cell>
          <cell r="CC31">
            <v>4.42</v>
          </cell>
          <cell r="CD31">
            <v>397.3</v>
          </cell>
          <cell r="CF31">
            <v>295.16000000000003</v>
          </cell>
          <cell r="CK31">
            <v>128.44980000000001</v>
          </cell>
          <cell r="CM31">
            <v>166.5</v>
          </cell>
          <cell r="CO31">
            <v>364.73500000000001</v>
          </cell>
          <cell r="CQ31">
            <v>107.01</v>
          </cell>
          <cell r="CT31">
            <v>12.686400000000001</v>
          </cell>
          <cell r="CU31">
            <v>4.42</v>
          </cell>
          <cell r="CV31">
            <v>172.9</v>
          </cell>
          <cell r="CX31">
            <v>632.66700000000003</v>
          </cell>
          <cell r="CZ31">
            <v>214.05</v>
          </cell>
          <cell r="DC31">
            <v>147.47940000000003</v>
          </cell>
          <cell r="DD31">
            <v>4.42</v>
          </cell>
          <cell r="DE31">
            <v>312.7</v>
          </cell>
          <cell r="DG31">
            <v>606.32000000000005</v>
          </cell>
          <cell r="DI31">
            <v>676.71999999999991</v>
          </cell>
          <cell r="DL31">
            <v>445.60980000000006</v>
          </cell>
          <cell r="DN31">
            <v>49.7</v>
          </cell>
          <cell r="DP31">
            <v>291.26900000000001</v>
          </cell>
          <cell r="DR31">
            <v>658.84999999999991</v>
          </cell>
          <cell r="DU31">
            <v>543.13649999999996</v>
          </cell>
          <cell r="DV31">
            <v>4.42</v>
          </cell>
          <cell r="DW31">
            <v>169.2</v>
          </cell>
          <cell r="DY31">
            <v>802.07</v>
          </cell>
          <cell r="ED31">
            <v>31.716000000000005</v>
          </cell>
          <cell r="EE31">
            <v>4.42</v>
          </cell>
          <cell r="EH31">
            <v>410.24</v>
          </cell>
          <cell r="EJ31">
            <v>155</v>
          </cell>
          <cell r="EN31">
            <v>4.42</v>
          </cell>
          <cell r="EQ31">
            <v>792.71899999999994</v>
          </cell>
          <cell r="EV31">
            <v>82.461600000000004</v>
          </cell>
          <cell r="EW31">
            <v>4.42</v>
          </cell>
          <cell r="EZ31">
            <v>463.959</v>
          </cell>
          <cell r="FD31">
            <v>14</v>
          </cell>
          <cell r="FE31">
            <v>114.17760000000001</v>
          </cell>
          <cell r="FF31">
            <v>4.42</v>
          </cell>
          <cell r="FI31">
            <v>431.03899999999999</v>
          </cell>
          <cell r="FK31">
            <v>32.78</v>
          </cell>
          <cell r="FN31">
            <v>14.272200000000002</v>
          </cell>
          <cell r="FO31">
            <v>4.42</v>
          </cell>
          <cell r="FR31">
            <v>721.327</v>
          </cell>
          <cell r="FT31">
            <v>619.73</v>
          </cell>
          <cell r="FW31">
            <v>85.63</v>
          </cell>
          <cell r="FX31">
            <v>4.42</v>
          </cell>
          <cell r="GA31">
            <v>654.36699999999996</v>
          </cell>
          <cell r="GC31">
            <v>675.99</v>
          </cell>
          <cell r="GF31">
            <v>42.816600000000008</v>
          </cell>
          <cell r="GG31">
            <v>4.42</v>
          </cell>
          <cell r="GH31">
            <v>76.733999999999995</v>
          </cell>
          <cell r="GJ31">
            <v>830.86199999999997</v>
          </cell>
          <cell r="GL31">
            <v>868.16</v>
          </cell>
          <cell r="GN31">
            <v>7</v>
          </cell>
          <cell r="GO31">
            <v>340.947</v>
          </cell>
          <cell r="GP31">
            <v>4.42</v>
          </cell>
          <cell r="GQ31">
            <v>64.38</v>
          </cell>
          <cell r="GR31">
            <v>36.920999999999999</v>
          </cell>
          <cell r="GS31">
            <v>434.99400000000003</v>
          </cell>
          <cell r="GU31">
            <v>417.18</v>
          </cell>
        </row>
        <row r="32">
          <cell r="A32">
            <v>26</v>
          </cell>
          <cell r="B32" t="str">
            <v>SRM</v>
          </cell>
          <cell r="C32" t="str">
            <v>FM</v>
          </cell>
          <cell r="D32" t="str">
            <v>SCPS-HLL</v>
          </cell>
          <cell r="E32" t="str">
            <v>SCPS-HLL</v>
          </cell>
          <cell r="O32">
            <v>0</v>
          </cell>
        </row>
        <row r="33">
          <cell r="A33">
            <v>27</v>
          </cell>
          <cell r="B33" t="str">
            <v>SRM</v>
          </cell>
          <cell r="C33" t="str">
            <v>FM</v>
          </cell>
          <cell r="D33" t="str">
            <v>SMUSTARD OIL</v>
          </cell>
          <cell r="E33" t="str">
            <v>SMUSTARD OIL</v>
          </cell>
          <cell r="F33">
            <v>111.15</v>
          </cell>
          <cell r="I33">
            <v>76.5</v>
          </cell>
          <cell r="K33">
            <v>209.16800000000001</v>
          </cell>
          <cell r="M33">
            <v>361.03999999999996</v>
          </cell>
          <cell r="O33">
            <v>757.85799999999995</v>
          </cell>
          <cell r="S33">
            <v>140.69999999999999</v>
          </cell>
          <cell r="W33">
            <v>40.36</v>
          </cell>
          <cell r="AB33">
            <v>213.8</v>
          </cell>
          <cell r="AK33">
            <v>104.1</v>
          </cell>
          <cell r="AT33">
            <v>372.7</v>
          </cell>
          <cell r="BC33">
            <v>459.5</v>
          </cell>
          <cell r="BU33">
            <v>56.6</v>
          </cell>
          <cell r="CD33">
            <v>167.2</v>
          </cell>
          <cell r="CM33">
            <v>82.2</v>
          </cell>
          <cell r="CV33">
            <v>89.5</v>
          </cell>
          <cell r="DE33">
            <v>173.6</v>
          </cell>
          <cell r="DN33">
            <v>297.8</v>
          </cell>
          <cell r="EF33">
            <v>1.8</v>
          </cell>
          <cell r="EJ33">
            <v>350.09</v>
          </cell>
          <cell r="EO33">
            <v>487.8</v>
          </cell>
          <cell r="EX33">
            <v>45.7</v>
          </cell>
        </row>
        <row r="34">
          <cell r="A34">
            <v>28</v>
          </cell>
          <cell r="B34" t="str">
            <v>SRM</v>
          </cell>
          <cell r="C34" t="str">
            <v>FM</v>
          </cell>
          <cell r="D34" t="str">
            <v>SMUSTARD OIL-EXPELLER</v>
          </cell>
          <cell r="E34" t="str">
            <v>SMUSTARD OIL-EXPELLER</v>
          </cell>
          <cell r="O34">
            <v>0</v>
          </cell>
          <cell r="U34">
            <v>390.68599999999998</v>
          </cell>
          <cell r="AA34">
            <v>40.11</v>
          </cell>
          <cell r="AD34">
            <v>19.283000000000001</v>
          </cell>
          <cell r="AF34">
            <v>160.1</v>
          </cell>
          <cell r="AJ34">
            <v>40.11</v>
          </cell>
          <cell r="AM34">
            <v>139.02099999999999</v>
          </cell>
          <cell r="AO34">
            <v>234.59</v>
          </cell>
          <cell r="AS34">
            <v>40.11</v>
          </cell>
          <cell r="AV34">
            <v>275.25099999999998</v>
          </cell>
          <cell r="AX34">
            <v>90.09</v>
          </cell>
          <cell r="BB34">
            <v>40.11</v>
          </cell>
          <cell r="BE34">
            <v>238.441</v>
          </cell>
          <cell r="BG34">
            <v>36.81</v>
          </cell>
          <cell r="BK34">
            <v>40.11</v>
          </cell>
          <cell r="BN34">
            <v>157.41999999999999</v>
          </cell>
          <cell r="BP34">
            <v>314.51</v>
          </cell>
          <cell r="BT34">
            <v>40.11</v>
          </cell>
          <cell r="BW34">
            <v>60.603999999999999</v>
          </cell>
          <cell r="BY34">
            <v>238.47</v>
          </cell>
          <cell r="CC34">
            <v>40.11</v>
          </cell>
          <cell r="CF34">
            <v>224.571</v>
          </cell>
          <cell r="CL34">
            <v>40.11</v>
          </cell>
          <cell r="CO34">
            <v>170.49299999999999</v>
          </cell>
          <cell r="CQ34">
            <v>256.12</v>
          </cell>
          <cell r="CU34">
            <v>40.11</v>
          </cell>
          <cell r="CX34">
            <v>154.80500000000001</v>
          </cell>
          <cell r="CZ34">
            <v>437.73</v>
          </cell>
          <cell r="DD34">
            <v>40.11</v>
          </cell>
          <cell r="DG34">
            <v>284.42900000000003</v>
          </cell>
          <cell r="DM34">
            <v>40.11</v>
          </cell>
          <cell r="DP34">
            <v>703.42600000000004</v>
          </cell>
          <cell r="DV34">
            <v>40.11</v>
          </cell>
          <cell r="DW34">
            <v>259.39999999999998</v>
          </cell>
          <cell r="DY34">
            <v>134.49600000000001</v>
          </cell>
          <cell r="EA34">
            <v>284.02</v>
          </cell>
          <cell r="EE34">
            <v>40.11</v>
          </cell>
          <cell r="EH34">
            <v>193.61</v>
          </cell>
          <cell r="EN34">
            <v>40.11</v>
          </cell>
          <cell r="EQ34">
            <v>361.625</v>
          </cell>
          <cell r="ES34">
            <v>173.28</v>
          </cell>
          <cell r="EW34">
            <v>40.11</v>
          </cell>
          <cell r="EZ34">
            <v>207.45399999999998</v>
          </cell>
          <cell r="FB34">
            <v>301.95999999999998</v>
          </cell>
          <cell r="FF34">
            <v>40.11</v>
          </cell>
          <cell r="FG34">
            <v>138.9</v>
          </cell>
          <cell r="FI34">
            <v>51.624000000000002</v>
          </cell>
          <cell r="FK34">
            <v>45.12</v>
          </cell>
          <cell r="FO34">
            <v>40.11</v>
          </cell>
          <cell r="FR34">
            <v>51.624000000000002</v>
          </cell>
          <cell r="FX34">
            <v>40.11</v>
          </cell>
          <cell r="GA34">
            <v>51.624000000000002</v>
          </cell>
          <cell r="GG34">
            <v>40.11</v>
          </cell>
          <cell r="GJ34">
            <v>348.00300000000004</v>
          </cell>
          <cell r="GP34">
            <v>40.11</v>
          </cell>
          <cell r="GQ34">
            <v>432.99899999999997</v>
          </cell>
          <cell r="GS34">
            <v>684.447</v>
          </cell>
          <cell r="GU34">
            <v>192.76</v>
          </cell>
        </row>
        <row r="35">
          <cell r="D35" t="str">
            <v>SRM TOTAL</v>
          </cell>
          <cell r="E35" t="str">
            <v>SRM TOTAL</v>
          </cell>
          <cell r="F35">
            <v>357.15</v>
          </cell>
          <cell r="G35">
            <v>309.20400000000001</v>
          </cell>
          <cell r="H35">
            <v>927.3</v>
          </cell>
          <cell r="I35">
            <v>903.19999999999993</v>
          </cell>
          <cell r="J35">
            <v>0</v>
          </cell>
          <cell r="K35">
            <v>4021.1240000000003</v>
          </cell>
          <cell r="L35">
            <v>0</v>
          </cell>
          <cell r="M35">
            <v>407.40999999999997</v>
          </cell>
          <cell r="N35">
            <v>0</v>
          </cell>
          <cell r="O35">
            <v>6925.3879999999999</v>
          </cell>
          <cell r="P35">
            <v>368.55</v>
          </cell>
          <cell r="Q35">
            <v>314.39340000000004</v>
          </cell>
          <cell r="R35">
            <v>274.52999999999997</v>
          </cell>
          <cell r="S35">
            <v>874.9</v>
          </cell>
          <cell r="T35">
            <v>0</v>
          </cell>
          <cell r="U35">
            <v>5447.7469999999994</v>
          </cell>
          <cell r="V35">
            <v>0</v>
          </cell>
          <cell r="W35">
            <v>724.25</v>
          </cell>
          <cell r="X35">
            <v>0</v>
          </cell>
          <cell r="Y35">
            <v>448.32859999999999</v>
          </cell>
          <cell r="Z35">
            <v>499.19760000000002</v>
          </cell>
          <cell r="AA35">
            <v>427.13</v>
          </cell>
          <cell r="AB35">
            <v>1502.5</v>
          </cell>
          <cell r="AC35">
            <v>0</v>
          </cell>
          <cell r="AD35">
            <v>2731.9750000000004</v>
          </cell>
          <cell r="AE35">
            <v>0</v>
          </cell>
          <cell r="AF35">
            <v>1046.71</v>
          </cell>
          <cell r="AG35">
            <v>0</v>
          </cell>
          <cell r="AH35">
            <v>656.97350000000006</v>
          </cell>
          <cell r="AI35">
            <v>278.81280000000004</v>
          </cell>
          <cell r="AJ35">
            <v>341.52000000000004</v>
          </cell>
          <cell r="AK35">
            <v>790.9</v>
          </cell>
          <cell r="AL35">
            <v>0</v>
          </cell>
          <cell r="AM35">
            <v>1619.0779999999997</v>
          </cell>
          <cell r="AN35">
            <v>0</v>
          </cell>
          <cell r="AO35">
            <v>789.67</v>
          </cell>
          <cell r="AP35">
            <v>0</v>
          </cell>
          <cell r="AQ35">
            <v>0</v>
          </cell>
          <cell r="AR35">
            <v>850.31939999999997</v>
          </cell>
          <cell r="AS35">
            <v>493.3</v>
          </cell>
          <cell r="AT35">
            <v>1126</v>
          </cell>
          <cell r="AU35">
            <v>0</v>
          </cell>
          <cell r="AV35">
            <v>1991.8969999999997</v>
          </cell>
          <cell r="AW35">
            <v>0</v>
          </cell>
          <cell r="AX35">
            <v>1068.8999999999999</v>
          </cell>
          <cell r="AY35">
            <v>0</v>
          </cell>
          <cell r="AZ35">
            <v>445.2</v>
          </cell>
          <cell r="BA35">
            <v>414.11250000000001</v>
          </cell>
          <cell r="BB35">
            <v>493.3</v>
          </cell>
          <cell r="BC35">
            <v>1082.9000000000001</v>
          </cell>
          <cell r="BD35">
            <v>0</v>
          </cell>
          <cell r="BE35">
            <v>2203.808</v>
          </cell>
          <cell r="BF35">
            <v>0</v>
          </cell>
          <cell r="BG35">
            <v>838.83999999999992</v>
          </cell>
          <cell r="BH35">
            <v>0</v>
          </cell>
          <cell r="BI35">
            <v>98.4</v>
          </cell>
          <cell r="BJ35">
            <v>1206.67</v>
          </cell>
          <cell r="BK35">
            <v>80.240000000000009</v>
          </cell>
          <cell r="BL35">
            <v>943.09999999999991</v>
          </cell>
          <cell r="BM35">
            <v>0</v>
          </cell>
          <cell r="BN35">
            <v>1246.183</v>
          </cell>
          <cell r="BO35">
            <v>0</v>
          </cell>
          <cell r="BP35">
            <v>838.85</v>
          </cell>
          <cell r="BQ35">
            <v>0</v>
          </cell>
          <cell r="BR35">
            <v>0</v>
          </cell>
          <cell r="BS35">
            <v>954.68999999999994</v>
          </cell>
          <cell r="BT35">
            <v>80.240000000000009</v>
          </cell>
          <cell r="BU35">
            <v>368.6</v>
          </cell>
          <cell r="BV35">
            <v>0</v>
          </cell>
          <cell r="BW35">
            <v>1274.4849999999999</v>
          </cell>
          <cell r="BX35">
            <v>0</v>
          </cell>
          <cell r="BY35">
            <v>774.67</v>
          </cell>
          <cell r="BZ35">
            <v>0</v>
          </cell>
          <cell r="CA35">
            <v>0</v>
          </cell>
          <cell r="CB35">
            <v>0</v>
          </cell>
          <cell r="CC35">
            <v>44.53</v>
          </cell>
          <cell r="CD35">
            <v>1061.5</v>
          </cell>
          <cell r="CE35">
            <v>0</v>
          </cell>
          <cell r="CF35">
            <v>1089.6859999999999</v>
          </cell>
          <cell r="CG35">
            <v>0</v>
          </cell>
          <cell r="CH35">
            <v>734.35</v>
          </cell>
          <cell r="CI35">
            <v>0</v>
          </cell>
          <cell r="CJ35">
            <v>0</v>
          </cell>
          <cell r="CK35">
            <v>128.44980000000001</v>
          </cell>
          <cell r="CL35">
            <v>40.11</v>
          </cell>
          <cell r="CM35">
            <v>541</v>
          </cell>
          <cell r="CN35">
            <v>0</v>
          </cell>
          <cell r="CO35">
            <v>782.22499999999991</v>
          </cell>
          <cell r="CP35">
            <v>0</v>
          </cell>
          <cell r="CQ35">
            <v>933.29</v>
          </cell>
          <cell r="CR35">
            <v>0</v>
          </cell>
          <cell r="CS35">
            <v>0</v>
          </cell>
          <cell r="CT35">
            <v>254.4264</v>
          </cell>
          <cell r="CU35">
            <v>228.75599999999997</v>
          </cell>
          <cell r="CV35">
            <v>262.39999999999998</v>
          </cell>
          <cell r="CW35">
            <v>0</v>
          </cell>
          <cell r="CX35">
            <v>932.73900000000003</v>
          </cell>
          <cell r="CY35">
            <v>0</v>
          </cell>
          <cell r="CZ35">
            <v>887</v>
          </cell>
          <cell r="DA35">
            <v>0</v>
          </cell>
          <cell r="DB35">
            <v>0</v>
          </cell>
          <cell r="DC35">
            <v>156.65940000000003</v>
          </cell>
          <cell r="DD35">
            <v>44.53</v>
          </cell>
          <cell r="DE35">
            <v>486.29999999999995</v>
          </cell>
          <cell r="DF35">
            <v>0</v>
          </cell>
          <cell r="DG35">
            <v>1067.5230000000001</v>
          </cell>
          <cell r="DH35">
            <v>0</v>
          </cell>
          <cell r="DI35">
            <v>901.9799999999999</v>
          </cell>
          <cell r="DJ35">
            <v>0</v>
          </cell>
          <cell r="DK35">
            <v>31.2</v>
          </cell>
          <cell r="DL35">
            <v>470.08980000000008</v>
          </cell>
          <cell r="DM35">
            <v>40.11</v>
          </cell>
          <cell r="DN35">
            <v>542.5</v>
          </cell>
          <cell r="DO35">
            <v>0</v>
          </cell>
          <cell r="DP35">
            <v>1404.7820000000002</v>
          </cell>
          <cell r="DQ35">
            <v>0</v>
          </cell>
          <cell r="DR35">
            <v>1410.4099999999999</v>
          </cell>
          <cell r="DS35">
            <v>0</v>
          </cell>
          <cell r="DT35">
            <v>164.4</v>
          </cell>
          <cell r="DU35">
            <v>803.23649999999998</v>
          </cell>
          <cell r="DV35">
            <v>44.53</v>
          </cell>
          <cell r="DW35">
            <v>1241.4000000000001</v>
          </cell>
          <cell r="DX35">
            <v>0</v>
          </cell>
          <cell r="DY35">
            <v>1460.87</v>
          </cell>
          <cell r="DZ35">
            <v>0</v>
          </cell>
          <cell r="EA35">
            <v>787.24</v>
          </cell>
          <cell r="EB35">
            <v>0</v>
          </cell>
          <cell r="EC35">
            <v>0</v>
          </cell>
          <cell r="ED35">
            <v>1107.7739999999999</v>
          </cell>
          <cell r="EE35">
            <v>44.53</v>
          </cell>
          <cell r="EF35">
            <v>262.10000000000002</v>
          </cell>
          <cell r="EG35">
            <v>0</v>
          </cell>
          <cell r="EH35">
            <v>1172.954</v>
          </cell>
          <cell r="EI35">
            <v>0</v>
          </cell>
          <cell r="EJ35">
            <v>900.3</v>
          </cell>
          <cell r="EK35">
            <v>0</v>
          </cell>
          <cell r="EL35">
            <v>0</v>
          </cell>
          <cell r="EM35">
            <v>364.73399999999998</v>
          </cell>
          <cell r="EN35">
            <v>44.53</v>
          </cell>
          <cell r="EO35">
            <v>652.20000000000005</v>
          </cell>
          <cell r="EP35">
            <v>0</v>
          </cell>
          <cell r="EQ35">
            <v>1583.066</v>
          </cell>
          <cell r="ER35">
            <v>0</v>
          </cell>
          <cell r="ES35">
            <v>1016.81</v>
          </cell>
          <cell r="ET35">
            <v>0</v>
          </cell>
          <cell r="EU35">
            <v>0</v>
          </cell>
          <cell r="EV35">
            <v>572.44949999999994</v>
          </cell>
          <cell r="EW35">
            <v>44.53</v>
          </cell>
          <cell r="EX35">
            <v>127.9</v>
          </cell>
          <cell r="EY35">
            <v>0</v>
          </cell>
          <cell r="EZ35">
            <v>1557.018</v>
          </cell>
          <cell r="FA35">
            <v>0</v>
          </cell>
          <cell r="FB35">
            <v>905.57999999999993</v>
          </cell>
          <cell r="FC35">
            <v>0</v>
          </cell>
          <cell r="FD35">
            <v>14</v>
          </cell>
          <cell r="FE35">
            <v>539.51760000000002</v>
          </cell>
          <cell r="FF35">
            <v>44.53</v>
          </cell>
          <cell r="FG35">
            <v>572.79999999999995</v>
          </cell>
          <cell r="FH35">
            <v>0</v>
          </cell>
          <cell r="FI35">
            <v>2028.1399999999999</v>
          </cell>
          <cell r="FJ35">
            <v>0</v>
          </cell>
          <cell r="FK35">
            <v>1501.22</v>
          </cell>
          <cell r="FL35">
            <v>0</v>
          </cell>
          <cell r="FM35">
            <v>260.77499999999998</v>
          </cell>
          <cell r="FN35">
            <v>390.65219999999999</v>
          </cell>
          <cell r="FO35">
            <v>44.53</v>
          </cell>
          <cell r="FP35">
            <v>489.63600000000008</v>
          </cell>
          <cell r="FQ35">
            <v>0</v>
          </cell>
          <cell r="FR35">
            <v>2159.915</v>
          </cell>
          <cell r="FS35">
            <v>0</v>
          </cell>
          <cell r="FT35">
            <v>1675.41</v>
          </cell>
          <cell r="FU35">
            <v>0</v>
          </cell>
          <cell r="FV35">
            <v>260.77499999999998</v>
          </cell>
          <cell r="FW35">
            <v>602.77</v>
          </cell>
          <cell r="FX35">
            <v>44.53</v>
          </cell>
          <cell r="FY35">
            <v>487.80899999999991</v>
          </cell>
          <cell r="FZ35">
            <v>0</v>
          </cell>
          <cell r="GA35">
            <v>2190.0079999999998</v>
          </cell>
          <cell r="GB35">
            <v>0</v>
          </cell>
          <cell r="GC35">
            <v>1593.54</v>
          </cell>
          <cell r="GD35">
            <v>0</v>
          </cell>
          <cell r="GE35">
            <v>260.77499999999998</v>
          </cell>
          <cell r="GF35">
            <v>477.33659999999998</v>
          </cell>
          <cell r="GG35">
            <v>44.53</v>
          </cell>
          <cell r="GH35">
            <v>241.16399999999999</v>
          </cell>
          <cell r="GI35">
            <v>0</v>
          </cell>
          <cell r="GJ35">
            <v>2092.473</v>
          </cell>
          <cell r="GK35">
            <v>0</v>
          </cell>
          <cell r="GL35">
            <v>1717.05</v>
          </cell>
          <cell r="GM35">
            <v>0</v>
          </cell>
          <cell r="GN35">
            <v>7</v>
          </cell>
          <cell r="GO35">
            <v>809.52660000000003</v>
          </cell>
          <cell r="GP35">
            <v>44.53</v>
          </cell>
          <cell r="GQ35">
            <v>670.94399999999996</v>
          </cell>
          <cell r="GR35">
            <v>36.920999999999999</v>
          </cell>
          <cell r="GS35">
            <v>1824.4180000000001</v>
          </cell>
          <cell r="GT35">
            <v>0</v>
          </cell>
          <cell r="GU35">
            <v>1805.5400000000002</v>
          </cell>
          <cell r="GV35">
            <v>0</v>
          </cell>
        </row>
        <row r="36">
          <cell r="A36" t="str">
            <v>IN-PROCESS FATTY ACIDS</v>
          </cell>
        </row>
        <row r="37">
          <cell r="A37">
            <v>29</v>
          </cell>
          <cell r="B37" t="str">
            <v>IPRM</v>
          </cell>
          <cell r="C37" t="str">
            <v>FM</v>
          </cell>
          <cell r="D37" t="str">
            <v>B/PSCPKO&gt;C14</v>
          </cell>
          <cell r="E37" t="str">
            <v xml:space="preserve">B/P PKO </v>
          </cell>
          <cell r="G37">
            <v>375.83460000000002</v>
          </cell>
          <cell r="O37">
            <v>375.83460000000002</v>
          </cell>
          <cell r="Q37">
            <v>323.50319999999999</v>
          </cell>
          <cell r="S37">
            <v>71.7</v>
          </cell>
          <cell r="Y37">
            <v>22.463999999999999</v>
          </cell>
          <cell r="Z37">
            <v>581.98860000000013</v>
          </cell>
          <cell r="AB37">
            <v>364.2</v>
          </cell>
          <cell r="AF37">
            <v>86.1</v>
          </cell>
          <cell r="AI37">
            <v>943.55</v>
          </cell>
          <cell r="AK37">
            <v>509.5</v>
          </cell>
          <cell r="AR37">
            <v>567.71640000000002</v>
          </cell>
          <cell r="AT37">
            <v>261.2</v>
          </cell>
          <cell r="BA37">
            <v>516.97080000000005</v>
          </cell>
          <cell r="BC37">
            <v>390</v>
          </cell>
          <cell r="BJ37">
            <v>599.43240000000003</v>
          </cell>
          <cell r="BL37">
            <v>460</v>
          </cell>
          <cell r="BS37">
            <v>1029.18</v>
          </cell>
          <cell r="BU37">
            <v>384.4</v>
          </cell>
          <cell r="CB37">
            <v>1678.97</v>
          </cell>
          <cell r="CD37">
            <v>440.5</v>
          </cell>
          <cell r="CH37">
            <v>14.64</v>
          </cell>
          <cell r="CK37">
            <v>1780.86</v>
          </cell>
          <cell r="CM37">
            <v>730.1</v>
          </cell>
          <cell r="CT37">
            <v>1510.63</v>
          </cell>
          <cell r="CV37">
            <v>946.2</v>
          </cell>
          <cell r="DC37">
            <v>961.31</v>
          </cell>
          <cell r="DL37">
            <v>912.58</v>
          </cell>
          <cell r="DU37">
            <v>748.67</v>
          </cell>
          <cell r="DW37">
            <v>114.7</v>
          </cell>
          <cell r="EC37">
            <v>71.28</v>
          </cell>
          <cell r="ED37">
            <v>1010.04</v>
          </cell>
          <cell r="EF37">
            <v>138</v>
          </cell>
          <cell r="EJ37">
            <v>30.69</v>
          </cell>
          <cell r="EM37">
            <v>447.43</v>
          </cell>
          <cell r="EO37">
            <v>328.8</v>
          </cell>
          <cell r="EV37">
            <v>248.08</v>
          </cell>
          <cell r="EX37">
            <v>389.2</v>
          </cell>
          <cell r="FB37">
            <v>30.33</v>
          </cell>
          <cell r="FD37">
            <v>82.367999999999995</v>
          </cell>
          <cell r="FE37">
            <v>292.38</v>
          </cell>
          <cell r="FG37">
            <v>614.6</v>
          </cell>
          <cell r="FM37">
            <v>12.48</v>
          </cell>
          <cell r="FN37">
            <v>141.76</v>
          </cell>
          <cell r="FP37">
            <v>195.9</v>
          </cell>
          <cell r="FW37">
            <v>8.86</v>
          </cell>
          <cell r="FY37">
            <v>235.44685714285714</v>
          </cell>
          <cell r="GE37">
            <v>130.185</v>
          </cell>
          <cell r="GF37">
            <v>15.505000000000001</v>
          </cell>
          <cell r="GH37">
            <v>73.57714285714286</v>
          </cell>
          <cell r="GN37">
            <v>1.98</v>
          </cell>
          <cell r="GO37">
            <v>17.72</v>
          </cell>
          <cell r="GQ37">
            <v>112.20514285714287</v>
          </cell>
          <cell r="GU37">
            <v>15.34</v>
          </cell>
        </row>
        <row r="38">
          <cell r="A38">
            <v>30</v>
          </cell>
          <cell r="B38" t="str">
            <v>IPRM</v>
          </cell>
          <cell r="C38" t="str">
            <v>FM</v>
          </cell>
          <cell r="D38" t="str">
            <v>B/P CNO&gt;C14</v>
          </cell>
          <cell r="E38" t="str">
            <v>B/P CNO&gt;C14</v>
          </cell>
          <cell r="O38">
            <v>0</v>
          </cell>
        </row>
        <row r="39">
          <cell r="A39">
            <v>31</v>
          </cell>
          <cell r="B39" t="str">
            <v>IPRM</v>
          </cell>
          <cell r="C39" t="str">
            <v>FM</v>
          </cell>
          <cell r="D39" t="str">
            <v>SB/PSCPKO&gt;C14</v>
          </cell>
          <cell r="E39" t="str">
            <v>S B/P PKO</v>
          </cell>
          <cell r="O39">
            <v>0</v>
          </cell>
          <cell r="P39">
            <v>99.18</v>
          </cell>
          <cell r="Y39">
            <v>97.47</v>
          </cell>
          <cell r="AH39">
            <v>411.255</v>
          </cell>
          <cell r="AQ39">
            <v>366.79500000000002</v>
          </cell>
          <cell r="AR39">
            <v>480.49740000000003</v>
          </cell>
          <cell r="AZ39">
            <v>446.31</v>
          </cell>
          <cell r="BA39">
            <v>634.32000000000005</v>
          </cell>
          <cell r="BI39">
            <v>448.02</v>
          </cell>
          <cell r="BJ39">
            <v>526.48560000000009</v>
          </cell>
          <cell r="BR39">
            <v>451.2</v>
          </cell>
          <cell r="CA39">
            <v>306</v>
          </cell>
          <cell r="CJ39">
            <v>274.8</v>
          </cell>
          <cell r="CS39">
            <v>121.2</v>
          </cell>
        </row>
        <row r="40">
          <cell r="A40">
            <v>32</v>
          </cell>
          <cell r="B40" t="str">
            <v>IPRM</v>
          </cell>
          <cell r="C40" t="str">
            <v>FM</v>
          </cell>
          <cell r="D40" t="str">
            <v>B/PSCNO&gt;C14</v>
          </cell>
          <cell r="E40" t="str">
            <v>S B/P CNO</v>
          </cell>
          <cell r="O40">
            <v>0</v>
          </cell>
        </row>
        <row r="41">
          <cell r="A41">
            <v>33</v>
          </cell>
          <cell r="B41" t="str">
            <v>IPRM</v>
          </cell>
          <cell r="C41" t="str">
            <v>SM</v>
          </cell>
          <cell r="D41" t="str">
            <v>B/PSCPKO&gt;C16</v>
          </cell>
          <cell r="E41" t="str">
            <v>B/P&gt;C16 - OLEIC K</v>
          </cell>
          <cell r="O41">
            <v>0</v>
          </cell>
          <cell r="AQ41">
            <v>26.207999999999998</v>
          </cell>
          <cell r="AR41">
            <v>99.905400000000014</v>
          </cell>
          <cell r="AZ41">
            <v>6.24</v>
          </cell>
          <cell r="BA41">
            <v>296.54460000000006</v>
          </cell>
          <cell r="DC41">
            <v>214.08300000000003</v>
          </cell>
          <cell r="DE41">
            <v>254</v>
          </cell>
          <cell r="DL41">
            <v>592.29630000000009</v>
          </cell>
          <cell r="DT41">
            <v>159.88499999999999</v>
          </cell>
          <cell r="DU41">
            <v>183.95280000000002</v>
          </cell>
          <cell r="EC41">
            <v>20.233880000000003</v>
          </cell>
        </row>
        <row r="42">
          <cell r="A42">
            <v>34</v>
          </cell>
          <cell r="B42" t="str">
            <v>IPRM</v>
          </cell>
          <cell r="C42" t="str">
            <v>SM</v>
          </cell>
          <cell r="D42" t="str">
            <v>HYD C16/C18 FOR DTP-7</v>
          </cell>
          <cell r="E42" t="str">
            <v>HYD C16/C18 FOR DTP-7</v>
          </cell>
          <cell r="O42">
            <v>0</v>
          </cell>
        </row>
        <row r="43">
          <cell r="A43">
            <v>35</v>
          </cell>
          <cell r="B43" t="str">
            <v>IPRM</v>
          </cell>
          <cell r="C43" t="str">
            <v>NM</v>
          </cell>
          <cell r="D43" t="str">
            <v>L/E PKO(C6-C8)-C6@65%</v>
          </cell>
          <cell r="E43" t="str">
            <v>C6&gt;50%</v>
          </cell>
          <cell r="O43">
            <v>0</v>
          </cell>
        </row>
        <row r="44">
          <cell r="A44">
            <v>36</v>
          </cell>
          <cell r="B44" t="str">
            <v>IPRM</v>
          </cell>
          <cell r="C44" t="str">
            <v>FM</v>
          </cell>
          <cell r="D44" t="str">
            <v>L/E PKO(C6-C12)</v>
          </cell>
          <cell r="E44" t="str">
            <v>TALOJA</v>
          </cell>
          <cell r="O44">
            <v>0</v>
          </cell>
          <cell r="P44">
            <v>17.737969999999997</v>
          </cell>
          <cell r="S44">
            <v>85.6</v>
          </cell>
          <cell r="Y44">
            <v>17.737969999999997</v>
          </cell>
          <cell r="Z44">
            <v>217.6</v>
          </cell>
          <cell r="AB44">
            <v>53.3</v>
          </cell>
          <cell r="AH44">
            <v>19.388670000000001</v>
          </cell>
          <cell r="AI44">
            <v>58.65</v>
          </cell>
          <cell r="AK44">
            <v>76.7</v>
          </cell>
          <cell r="AQ44">
            <v>17.388669999999998</v>
          </cell>
          <cell r="AT44">
            <v>240.7</v>
          </cell>
          <cell r="AZ44">
            <v>40.71</v>
          </cell>
          <cell r="BC44">
            <v>139.80000000000001</v>
          </cell>
          <cell r="BI44">
            <v>17.388669999999998</v>
          </cell>
          <cell r="BJ44">
            <v>546.3930600000001</v>
          </cell>
          <cell r="BL44">
            <v>25.9</v>
          </cell>
          <cell r="BR44">
            <v>17.388669999999998</v>
          </cell>
          <cell r="BS44">
            <v>543.84696000000008</v>
          </cell>
          <cell r="BU44">
            <v>137.30000000000001</v>
          </cell>
          <cell r="CA44">
            <v>17.388669999999998</v>
          </cell>
          <cell r="CB44">
            <v>672.84935999999993</v>
          </cell>
          <cell r="CD44">
            <v>199.5</v>
          </cell>
          <cell r="CJ44">
            <v>17.388669999999998</v>
          </cell>
          <cell r="CK44">
            <v>664.36235999999997</v>
          </cell>
          <cell r="CM44">
            <v>105.8</v>
          </cell>
          <cell r="CT44">
            <v>662.66496000000006</v>
          </cell>
          <cell r="CU44">
            <v>339.24</v>
          </cell>
          <cell r="DC44">
            <v>671.15196000000003</v>
          </cell>
          <cell r="DD44">
            <v>414.62</v>
          </cell>
          <cell r="DL44">
            <v>671.15196000000003</v>
          </cell>
          <cell r="DM44">
            <v>485.3</v>
          </cell>
          <cell r="DU44">
            <v>660.96756000000005</v>
          </cell>
          <cell r="DV44">
            <v>531.08000000000004</v>
          </cell>
          <cell r="DW44">
            <v>32.299999999999997</v>
          </cell>
          <cell r="EV44">
            <v>484.43796000000003</v>
          </cell>
          <cell r="FE44">
            <v>413.99586000000005</v>
          </cell>
          <cell r="FF44">
            <v>831.39</v>
          </cell>
          <cell r="FG44">
            <v>151</v>
          </cell>
          <cell r="FM44">
            <v>25.2075</v>
          </cell>
          <cell r="FN44">
            <v>414.84456</v>
          </cell>
          <cell r="FO44">
            <v>831.39</v>
          </cell>
          <cell r="FP44">
            <v>102.80789999999999</v>
          </cell>
          <cell r="FV44">
            <v>22.98</v>
          </cell>
          <cell r="FW44">
            <v>248.49936000000002</v>
          </cell>
          <cell r="FX44">
            <v>831.39</v>
          </cell>
          <cell r="FY44">
            <v>141.375</v>
          </cell>
          <cell r="GE44">
            <v>3.2174999999999998</v>
          </cell>
          <cell r="GF44">
            <v>68.574960000000004</v>
          </cell>
          <cell r="GG44">
            <v>831.39</v>
          </cell>
          <cell r="GH44">
            <v>121.5825</v>
          </cell>
          <cell r="GN44">
            <v>2.97</v>
          </cell>
          <cell r="GO44">
            <v>211.15655999999998</v>
          </cell>
          <cell r="GP44">
            <v>724.32</v>
          </cell>
          <cell r="GQ44">
            <v>174.90915000000001</v>
          </cell>
          <cell r="GU44">
            <v>65.05</v>
          </cell>
        </row>
        <row r="45">
          <cell r="A45">
            <v>37</v>
          </cell>
          <cell r="B45" t="str">
            <v>IPRM</v>
          </cell>
          <cell r="C45" t="str">
            <v>FM</v>
          </cell>
          <cell r="D45" t="str">
            <v>HYD.L/EPKO(C6-C12)</v>
          </cell>
          <cell r="E45" t="str">
            <v>H L/E PKO</v>
          </cell>
          <cell r="F45">
            <v>101.4</v>
          </cell>
          <cell r="G45">
            <v>100.3</v>
          </cell>
          <cell r="H45">
            <v>381.61</v>
          </cell>
          <cell r="O45">
            <v>583.30999999999995</v>
          </cell>
          <cell r="R45">
            <v>230</v>
          </cell>
          <cell r="AH45">
            <v>63.384999999999998</v>
          </cell>
          <cell r="AI45">
            <v>218.65140000000002</v>
          </cell>
          <cell r="FM45">
            <v>63.005000000000003</v>
          </cell>
          <cell r="FV45">
            <v>182.29999999999998</v>
          </cell>
        </row>
        <row r="46">
          <cell r="A46">
            <v>38</v>
          </cell>
          <cell r="B46" t="str">
            <v>IPRM</v>
          </cell>
          <cell r="C46" t="str">
            <v>FM</v>
          </cell>
          <cell r="D46" t="str">
            <v>L/E PKO(C8-C12)</v>
          </cell>
          <cell r="E46" t="str">
            <v>L/E PKO</v>
          </cell>
          <cell r="O46">
            <v>0</v>
          </cell>
          <cell r="P46">
            <v>7.4249999999999998</v>
          </cell>
          <cell r="Y46">
            <v>8.4149999999999991</v>
          </cell>
          <cell r="AQ46">
            <v>1.2375</v>
          </cell>
          <cell r="BI46">
            <v>8.1675000000000004</v>
          </cell>
          <cell r="BR46">
            <v>10.89</v>
          </cell>
          <cell r="CA46">
            <v>16.829999999999998</v>
          </cell>
          <cell r="CL46">
            <v>227.7</v>
          </cell>
          <cell r="DK46">
            <v>13.365</v>
          </cell>
          <cell r="ED46">
            <v>664.36235999999997</v>
          </cell>
          <cell r="EE46">
            <v>546.02</v>
          </cell>
          <cell r="EF46">
            <v>175.3</v>
          </cell>
          <cell r="EM46">
            <v>663.51366000000007</v>
          </cell>
          <cell r="EN46">
            <v>721.09</v>
          </cell>
          <cell r="EO46">
            <v>66.900000000000006</v>
          </cell>
          <cell r="ES46">
            <v>29.59</v>
          </cell>
          <cell r="EU46">
            <v>59.622499999999995</v>
          </cell>
          <cell r="EW46">
            <v>831.39</v>
          </cell>
          <cell r="EX46">
            <v>150</v>
          </cell>
          <cell r="FD46">
            <v>11.137499999999999</v>
          </cell>
        </row>
        <row r="47">
          <cell r="A47">
            <v>39</v>
          </cell>
          <cell r="B47" t="str">
            <v>IPRM</v>
          </cell>
          <cell r="C47" t="str">
            <v>FM</v>
          </cell>
          <cell r="D47" t="str">
            <v>L/E PKO(C10-C12)</v>
          </cell>
          <cell r="E47" t="str">
            <v>B/P OF C8 H</v>
          </cell>
          <cell r="G47">
            <v>1217.6179999999999</v>
          </cell>
          <cell r="O47">
            <v>1217.6179999999999</v>
          </cell>
          <cell r="P47">
            <v>50.54</v>
          </cell>
          <cell r="Q47">
            <v>1401.57</v>
          </cell>
          <cell r="Z47">
            <v>1612.48</v>
          </cell>
          <cell r="AH47">
            <v>58.968000000000004</v>
          </cell>
          <cell r="AI47">
            <v>1612.48</v>
          </cell>
          <cell r="AQ47">
            <v>18.408000000000001</v>
          </cell>
          <cell r="AR47">
            <v>1896.66</v>
          </cell>
          <cell r="AZ47">
            <v>27.14</v>
          </cell>
          <cell r="BA47">
            <v>2097.5700000000002</v>
          </cell>
          <cell r="BI47">
            <v>174.31</v>
          </cell>
          <cell r="BJ47">
            <v>1808.09</v>
          </cell>
          <cell r="BS47">
            <v>1808.57</v>
          </cell>
          <cell r="CA47">
            <v>94.66</v>
          </cell>
          <cell r="CB47">
            <v>1807.78</v>
          </cell>
          <cell r="CK47">
            <v>1598.14</v>
          </cell>
          <cell r="CT47">
            <v>1534.27</v>
          </cell>
          <cell r="DC47">
            <v>1587.41</v>
          </cell>
          <cell r="DK47">
            <v>51.167999999999999</v>
          </cell>
          <cell r="DL47">
            <v>1337.71</v>
          </cell>
          <cell r="DU47">
            <v>1240.8399999999999</v>
          </cell>
          <cell r="ED47">
            <v>1249.8399999999999</v>
          </cell>
          <cell r="EL47">
            <v>97.656000000000006</v>
          </cell>
          <cell r="EM47">
            <v>1142</v>
          </cell>
          <cell r="EV47">
            <v>705.43</v>
          </cell>
          <cell r="FE47">
            <v>703.14</v>
          </cell>
          <cell r="FN47">
            <v>704.73</v>
          </cell>
          <cell r="FV47">
            <v>34.631999999999998</v>
          </cell>
          <cell r="FW47">
            <v>740.18</v>
          </cell>
          <cell r="GF47">
            <v>1081.08</v>
          </cell>
          <cell r="GO47">
            <v>1101.69</v>
          </cell>
        </row>
        <row r="48">
          <cell r="A48">
            <v>40</v>
          </cell>
          <cell r="B48" t="str">
            <v>IPRM</v>
          </cell>
          <cell r="C48" t="str">
            <v>FM</v>
          </cell>
          <cell r="D48" t="str">
            <v>C12+C14+C16-PKO/CNO</v>
          </cell>
          <cell r="E48" t="str">
            <v>C12+C14+C16-PKO/CNO</v>
          </cell>
          <cell r="O48">
            <v>0</v>
          </cell>
        </row>
        <row r="49">
          <cell r="A49">
            <v>41</v>
          </cell>
          <cell r="B49" t="str">
            <v>IPRM</v>
          </cell>
          <cell r="C49" t="str">
            <v>FM</v>
          </cell>
          <cell r="D49" t="str">
            <v>C14+C16(C14~60)</v>
          </cell>
          <cell r="E49" t="str">
            <v>C14+C16(C14~60)</v>
          </cell>
          <cell r="O49">
            <v>0</v>
          </cell>
        </row>
        <row r="50">
          <cell r="A50">
            <v>42</v>
          </cell>
          <cell r="B50" t="str">
            <v>IPRM</v>
          </cell>
          <cell r="C50" t="str">
            <v>FM</v>
          </cell>
          <cell r="D50" t="str">
            <v>C14+C16+C18(C16@65%)</v>
          </cell>
          <cell r="E50" t="str">
            <v>C14+C16+C18(C16@65%)</v>
          </cell>
          <cell r="O50">
            <v>0</v>
          </cell>
        </row>
        <row r="51">
          <cell r="A51">
            <v>43</v>
          </cell>
          <cell r="B51" t="str">
            <v>IPRM</v>
          </cell>
          <cell r="C51" t="str">
            <v>FM</v>
          </cell>
          <cell r="D51" t="str">
            <v>C16+C18-PFAD/PKO(C16@80%)</v>
          </cell>
          <cell r="E51" t="str">
            <v>C16+C18-PFAD/PKO(C16@80%)</v>
          </cell>
          <cell r="O51">
            <v>0</v>
          </cell>
        </row>
        <row r="52">
          <cell r="A52">
            <v>44</v>
          </cell>
          <cell r="B52" t="str">
            <v>IPRM</v>
          </cell>
          <cell r="C52" t="str">
            <v>NM</v>
          </cell>
          <cell r="D52" t="str">
            <v>L/E'S OF  S.B</v>
          </cell>
          <cell r="E52" t="str">
            <v>L/E'S OF  S.B</v>
          </cell>
          <cell r="F52">
            <v>10.548500000000001</v>
          </cell>
          <cell r="H52">
            <v>14.59</v>
          </cell>
          <cell r="I52">
            <v>58</v>
          </cell>
          <cell r="O52">
            <v>83.138499999999993</v>
          </cell>
          <cell r="P52">
            <v>10.548500000000001</v>
          </cell>
          <cell r="R52">
            <v>14.59</v>
          </cell>
          <cell r="S52">
            <v>73.5</v>
          </cell>
          <cell r="Y52">
            <v>10.548500000000001</v>
          </cell>
          <cell r="AA52">
            <v>14.59</v>
          </cell>
          <cell r="AB52">
            <v>77</v>
          </cell>
          <cell r="AH52">
            <v>10.548500000000001</v>
          </cell>
          <cell r="AJ52">
            <v>14.59</v>
          </cell>
          <cell r="AK52">
            <v>75</v>
          </cell>
          <cell r="AQ52">
            <v>10.548500000000001</v>
          </cell>
          <cell r="AS52">
            <v>14.59</v>
          </cell>
          <cell r="AT52">
            <v>77</v>
          </cell>
          <cell r="AZ52">
            <v>10.548500000000001</v>
          </cell>
          <cell r="BB52">
            <v>14.59</v>
          </cell>
          <cell r="BC52">
            <v>92.5</v>
          </cell>
          <cell r="BI52">
            <v>10.548500000000001</v>
          </cell>
          <cell r="BK52">
            <v>14.59</v>
          </cell>
          <cell r="BL52">
            <v>92.5</v>
          </cell>
          <cell r="BT52">
            <v>14.59</v>
          </cell>
          <cell r="BU52">
            <v>67</v>
          </cell>
          <cell r="CA52">
            <v>10.548500000000001</v>
          </cell>
          <cell r="CC52">
            <v>14.59</v>
          </cell>
          <cell r="CD52">
            <v>83</v>
          </cell>
          <cell r="CJ52">
            <v>10.548500000000001</v>
          </cell>
          <cell r="CL52">
            <v>14.59</v>
          </cell>
          <cell r="CM52">
            <v>95</v>
          </cell>
          <cell r="CS52">
            <v>10.548500000000001</v>
          </cell>
          <cell r="CU52">
            <v>14.59</v>
          </cell>
          <cell r="CV52">
            <v>76.5</v>
          </cell>
          <cell r="DB52">
            <v>10.548500000000001</v>
          </cell>
          <cell r="DD52">
            <v>14.59</v>
          </cell>
          <cell r="DE52">
            <v>85.5</v>
          </cell>
          <cell r="DK52">
            <v>10.548500000000001</v>
          </cell>
          <cell r="DM52">
            <v>14.59</v>
          </cell>
          <cell r="DN52">
            <v>73.5</v>
          </cell>
          <cell r="DT52">
            <v>10.548500000000001</v>
          </cell>
          <cell r="DV52">
            <v>14.59</v>
          </cell>
          <cell r="DW52">
            <v>83.5</v>
          </cell>
          <cell r="EC52">
            <v>10.548500000000001</v>
          </cell>
          <cell r="EE52">
            <v>14.59</v>
          </cell>
          <cell r="EF52">
            <v>102</v>
          </cell>
          <cell r="EL52">
            <v>10.548500000000001</v>
          </cell>
          <cell r="EN52">
            <v>14.59</v>
          </cell>
          <cell r="EO52">
            <v>80.5</v>
          </cell>
          <cell r="EU52">
            <v>10.548500000000001</v>
          </cell>
          <cell r="EW52">
            <v>14.59</v>
          </cell>
          <cell r="EX52">
            <v>103.5</v>
          </cell>
          <cell r="FD52">
            <v>10.548500000000001</v>
          </cell>
          <cell r="FF52">
            <v>14.59</v>
          </cell>
          <cell r="FM52">
            <v>8.3975000000000009</v>
          </cell>
          <cell r="FO52">
            <v>14.59</v>
          </cell>
          <cell r="FV52">
            <v>8.3975000000000009</v>
          </cell>
          <cell r="FX52">
            <v>14.59</v>
          </cell>
          <cell r="GE52">
            <v>8.3975000000000009</v>
          </cell>
          <cell r="GG52">
            <v>14.59</v>
          </cell>
          <cell r="GN52">
            <v>8.3975000000000009</v>
          </cell>
          <cell r="GP52">
            <v>14.59</v>
          </cell>
        </row>
        <row r="53">
          <cell r="A53">
            <v>45</v>
          </cell>
          <cell r="B53" t="str">
            <v>IPRM</v>
          </cell>
          <cell r="C53" t="str">
            <v>NM</v>
          </cell>
          <cell r="D53" t="str">
            <v>BAD C8/C10</v>
          </cell>
          <cell r="E53" t="str">
            <v>BAD C8/C10</v>
          </cell>
          <cell r="G53">
            <v>1124.01</v>
          </cell>
          <cell r="O53">
            <v>1124.01</v>
          </cell>
          <cell r="Q53">
            <v>1152.72</v>
          </cell>
          <cell r="Z53">
            <v>1136.28</v>
          </cell>
          <cell r="AI53">
            <v>1138.24</v>
          </cell>
          <cell r="AR53">
            <v>1140.78</v>
          </cell>
          <cell r="AZ53">
            <v>10</v>
          </cell>
          <cell r="BA53">
            <v>985.13</v>
          </cell>
          <cell r="BB53">
            <v>37.07</v>
          </cell>
          <cell r="BJ53">
            <v>905.73900000000003</v>
          </cell>
          <cell r="BR53">
            <v>10.548500000000001</v>
          </cell>
          <cell r="BS53">
            <v>902.87</v>
          </cell>
          <cell r="CB53">
            <v>903.97199999999998</v>
          </cell>
          <cell r="CJ53">
            <v>3.96</v>
          </cell>
          <cell r="CK53">
            <v>903.97</v>
          </cell>
          <cell r="CS53">
            <v>19.940000000000001</v>
          </cell>
          <cell r="CT53">
            <v>852.07</v>
          </cell>
          <cell r="DB53">
            <v>64.347499999999997</v>
          </cell>
          <cell r="DC53">
            <v>732.81</v>
          </cell>
          <cell r="DK53">
            <v>498.36699999999996</v>
          </cell>
          <cell r="DL53">
            <v>556.12</v>
          </cell>
          <cell r="DT53">
            <v>97.515000000000001</v>
          </cell>
          <cell r="DU53">
            <v>383.85</v>
          </cell>
          <cell r="EC53">
            <v>99.99</v>
          </cell>
          <cell r="ED53">
            <v>211.58</v>
          </cell>
          <cell r="EL53">
            <v>31.945</v>
          </cell>
          <cell r="EM53">
            <v>32.680199999999999</v>
          </cell>
          <cell r="EU53">
            <v>28</v>
          </cell>
          <cell r="EV53">
            <v>17.2192525</v>
          </cell>
          <cell r="FD53">
            <v>34.671999999999997</v>
          </cell>
          <cell r="FE53">
            <v>17.22</v>
          </cell>
          <cell r="FM53">
            <v>32.76</v>
          </cell>
          <cell r="FN53">
            <v>17.2192525</v>
          </cell>
          <cell r="FV53">
            <v>18.43657</v>
          </cell>
          <cell r="FW53">
            <v>17.890202499999997</v>
          </cell>
          <cell r="GF53">
            <v>17.890202499999997</v>
          </cell>
          <cell r="GN53">
            <v>14.943569999999999</v>
          </cell>
          <cell r="GO53">
            <v>17.890202499999997</v>
          </cell>
        </row>
        <row r="54">
          <cell r="A54">
            <v>46</v>
          </cell>
          <cell r="B54" t="str">
            <v>IPRM</v>
          </cell>
          <cell r="C54" t="str">
            <v>FM</v>
          </cell>
          <cell r="D54" t="str">
            <v>L/E PKO(C12@80%)</v>
          </cell>
          <cell r="E54" t="str">
            <v>B/P OF C10</v>
          </cell>
          <cell r="G54">
            <v>45.988200000000006</v>
          </cell>
          <cell r="O54">
            <v>45.988200000000006</v>
          </cell>
          <cell r="AZ54">
            <v>98.01</v>
          </cell>
          <cell r="BR54">
            <v>100.57</v>
          </cell>
          <cell r="CA54">
            <v>103.584</v>
          </cell>
          <cell r="DK54">
            <v>80.685000000000002</v>
          </cell>
          <cell r="EU54">
            <v>173.43</v>
          </cell>
        </row>
        <row r="55">
          <cell r="A55">
            <v>47</v>
          </cell>
          <cell r="B55" t="str">
            <v>IPRM</v>
          </cell>
          <cell r="C55" t="str">
            <v>NM</v>
          </cell>
          <cell r="D55" t="str">
            <v>DAG-MCT</v>
          </cell>
          <cell r="E55" t="str">
            <v>HYD DEAC MCT</v>
          </cell>
          <cell r="G55">
            <v>568.79</v>
          </cell>
          <cell r="H55">
            <v>26.38</v>
          </cell>
          <cell r="O55">
            <v>595.16999999999996</v>
          </cell>
          <cell r="Q55">
            <v>568.79</v>
          </cell>
          <cell r="R55">
            <v>26.38</v>
          </cell>
          <cell r="Z55">
            <v>568.79</v>
          </cell>
          <cell r="AA55">
            <v>26.38</v>
          </cell>
          <cell r="AI55">
            <v>568.79</v>
          </cell>
          <cell r="AJ55">
            <v>26.38</v>
          </cell>
          <cell r="AR55">
            <v>574.96400000000006</v>
          </cell>
          <cell r="AS55">
            <v>26.38</v>
          </cell>
          <cell r="AZ55">
            <v>21</v>
          </cell>
          <cell r="BA55">
            <v>652.83799999999997</v>
          </cell>
          <cell r="BB55">
            <v>26.38</v>
          </cell>
          <cell r="BI55">
            <v>24.335999999999999</v>
          </cell>
          <cell r="BJ55">
            <v>515.06784000000005</v>
          </cell>
          <cell r="BK55">
            <v>26.38</v>
          </cell>
          <cell r="BS55">
            <v>448.78140000000002</v>
          </cell>
          <cell r="BT55">
            <v>26.38</v>
          </cell>
          <cell r="CC55">
            <v>26.38</v>
          </cell>
          <cell r="CL55">
            <v>26.38</v>
          </cell>
          <cell r="CU55">
            <v>26.38</v>
          </cell>
          <cell r="DB55">
            <v>21</v>
          </cell>
          <cell r="DC55">
            <v>166.51</v>
          </cell>
          <cell r="DD55">
            <v>26.38</v>
          </cell>
          <cell r="DM55">
            <v>26.38</v>
          </cell>
          <cell r="DT55">
            <v>98.56</v>
          </cell>
          <cell r="DU55">
            <v>255.31380000000001</v>
          </cell>
          <cell r="DV55">
            <v>26.38</v>
          </cell>
          <cell r="EC55">
            <v>95.85</v>
          </cell>
          <cell r="ED55">
            <v>255.31380000000001</v>
          </cell>
          <cell r="EE55">
            <v>26.38</v>
          </cell>
          <cell r="EL55">
            <v>176.41</v>
          </cell>
          <cell r="EM55">
            <v>256.10669999999999</v>
          </cell>
          <cell r="EN55">
            <v>26.38</v>
          </cell>
          <cell r="EV55">
            <v>467.81100000000004</v>
          </cell>
          <cell r="EW55">
            <v>26.38</v>
          </cell>
          <cell r="FE55">
            <v>464.63940000000002</v>
          </cell>
          <cell r="FF55">
            <v>26.38</v>
          </cell>
          <cell r="FN55">
            <v>464.63940000000002</v>
          </cell>
          <cell r="FO55">
            <v>26.38</v>
          </cell>
          <cell r="FW55">
            <v>463.05360000000002</v>
          </cell>
          <cell r="FX55">
            <v>26.38</v>
          </cell>
          <cell r="GF55">
            <v>463.05360000000002</v>
          </cell>
          <cell r="GG55">
            <v>26.38</v>
          </cell>
          <cell r="GO55">
            <v>463.05360000000002</v>
          </cell>
          <cell r="GP55">
            <v>26.38</v>
          </cell>
        </row>
        <row r="56">
          <cell r="A56">
            <v>247</v>
          </cell>
          <cell r="B56" t="str">
            <v>IPRM</v>
          </cell>
          <cell r="C56" t="str">
            <v>NM</v>
          </cell>
          <cell r="D56" t="str">
            <v>D ACIDIFIED MCT</v>
          </cell>
          <cell r="E56" t="str">
            <v>D ACIDIFIED MCT</v>
          </cell>
          <cell r="O56">
            <v>0</v>
          </cell>
          <cell r="DT56">
            <v>100.8</v>
          </cell>
          <cell r="EC56">
            <v>98.1</v>
          </cell>
          <cell r="EL56">
            <v>10.8</v>
          </cell>
        </row>
        <row r="57">
          <cell r="A57">
            <v>48</v>
          </cell>
          <cell r="B57" t="str">
            <v>IPRM</v>
          </cell>
          <cell r="C57" t="str">
            <v>SM</v>
          </cell>
          <cell r="D57" t="str">
            <v>PKORESIDUE</v>
          </cell>
          <cell r="E57" t="str">
            <v>PKORESIDUE</v>
          </cell>
          <cell r="H57">
            <v>339.47</v>
          </cell>
          <cell r="I57">
            <v>10.8</v>
          </cell>
          <cell r="O57">
            <v>350.27000000000004</v>
          </cell>
          <cell r="R57">
            <v>365.49</v>
          </cell>
          <cell r="Y57">
            <v>11.456</v>
          </cell>
          <cell r="Z57">
            <v>177.20856000000001</v>
          </cell>
          <cell r="AS57">
            <v>28.22</v>
          </cell>
          <cell r="BB57">
            <v>43.93</v>
          </cell>
          <cell r="BK57">
            <v>165.14</v>
          </cell>
          <cell r="BR57">
            <v>48.844999999999999</v>
          </cell>
          <cell r="BT57">
            <v>277.43</v>
          </cell>
          <cell r="CC57">
            <v>425.03000000000003</v>
          </cell>
          <cell r="CL57">
            <v>636.01</v>
          </cell>
          <cell r="CS57">
            <v>15.683467999999998</v>
          </cell>
          <cell r="CU57">
            <v>671.1</v>
          </cell>
          <cell r="DB57">
            <v>6.9510679999999976</v>
          </cell>
          <cell r="DD57">
            <v>685.02</v>
          </cell>
          <cell r="DK57">
            <v>6.9020000000000001</v>
          </cell>
          <cell r="DM57">
            <v>653.22</v>
          </cell>
          <cell r="DV57">
            <v>756.56000000000006</v>
          </cell>
          <cell r="EC57">
            <v>46.54</v>
          </cell>
          <cell r="EE57">
            <v>936.92000000000007</v>
          </cell>
          <cell r="EL57">
            <v>12.92</v>
          </cell>
          <cell r="EM57">
            <v>514.60380000000009</v>
          </cell>
          <cell r="EN57">
            <v>503.81</v>
          </cell>
          <cell r="EU57">
            <v>10.919</v>
          </cell>
          <cell r="EV57">
            <v>474.84900000000005</v>
          </cell>
          <cell r="EW57">
            <v>211.54</v>
          </cell>
          <cell r="FD57">
            <v>3.4289999999999998</v>
          </cell>
          <cell r="FE57">
            <v>459.38880000000006</v>
          </cell>
          <cell r="FM57">
            <v>11.92</v>
          </cell>
          <cell r="FN57">
            <v>532.27260000000001</v>
          </cell>
          <cell r="FW57">
            <v>454.97160000000002</v>
          </cell>
          <cell r="GE57">
            <v>15.683467999999998</v>
          </cell>
          <cell r="GF57">
            <v>459.38880000000006</v>
          </cell>
          <cell r="GN57">
            <v>11.681118</v>
          </cell>
          <cell r="GO57">
            <v>633.86820000000012</v>
          </cell>
        </row>
        <row r="58">
          <cell r="A58">
            <v>49</v>
          </cell>
          <cell r="B58" t="str">
            <v>IPRM</v>
          </cell>
          <cell r="C58" t="str">
            <v>SM</v>
          </cell>
          <cell r="D58" t="str">
            <v>SPKORESIDUE</v>
          </cell>
          <cell r="E58" t="str">
            <v>SPKORESIDUE</v>
          </cell>
          <cell r="G58">
            <v>100.0818</v>
          </cell>
          <cell r="O58">
            <v>100.0818</v>
          </cell>
          <cell r="Q58">
            <v>153.3168</v>
          </cell>
          <cell r="Z58">
            <v>198.0342</v>
          </cell>
          <cell r="BS58">
            <v>385.42140000000001</v>
          </cell>
          <cell r="DU58">
            <v>464.20920000000001</v>
          </cell>
          <cell r="EM58">
            <v>199.124</v>
          </cell>
          <cell r="EO58">
            <v>36.799999999999997</v>
          </cell>
          <cell r="ES58">
            <v>30.7</v>
          </cell>
          <cell r="EV58">
            <v>449.73</v>
          </cell>
          <cell r="FE58">
            <v>619.6</v>
          </cell>
          <cell r="FN58">
            <v>464.45</v>
          </cell>
          <cell r="FP58">
            <v>90.131999999999977</v>
          </cell>
          <cell r="FW58">
            <v>387.75</v>
          </cell>
          <cell r="FY58">
            <v>203.25685714285714</v>
          </cell>
          <cell r="GF58">
            <v>523.98</v>
          </cell>
          <cell r="GH58">
            <v>203.25685714285714</v>
          </cell>
          <cell r="GO58">
            <v>619.79999999999995</v>
          </cell>
        </row>
        <row r="59">
          <cell r="A59">
            <v>50</v>
          </cell>
          <cell r="B59" t="str">
            <v>IPRM</v>
          </cell>
          <cell r="C59" t="str">
            <v>SM</v>
          </cell>
          <cell r="D59" t="str">
            <v>DPKORESIDUE</v>
          </cell>
          <cell r="E59" t="str">
            <v>DPKORESIDUE</v>
          </cell>
          <cell r="O59">
            <v>0</v>
          </cell>
          <cell r="CJ59">
            <v>41.183999999999997</v>
          </cell>
          <cell r="CS59">
            <v>40.56</v>
          </cell>
          <cell r="DB59">
            <v>40.869999999999997</v>
          </cell>
          <cell r="DK59">
            <v>40.872</v>
          </cell>
          <cell r="DT59">
            <v>5.2495000000000003</v>
          </cell>
          <cell r="EC59">
            <v>13.365</v>
          </cell>
          <cell r="GQ59">
            <v>223.8075</v>
          </cell>
        </row>
        <row r="60">
          <cell r="A60">
            <v>51</v>
          </cell>
          <cell r="B60" t="str">
            <v>IPRM</v>
          </cell>
          <cell r="C60" t="str">
            <v>FM</v>
          </cell>
          <cell r="D60" t="str">
            <v>SPFAD+DPKORESIDUE-DSB FEED</v>
          </cell>
          <cell r="E60" t="str">
            <v>SPFAD+DPKORESIDUE-DSB FEED</v>
          </cell>
          <cell r="G60">
            <v>618.40800000000002</v>
          </cell>
          <cell r="H60">
            <v>190.7</v>
          </cell>
          <cell r="I60">
            <v>465.4</v>
          </cell>
          <cell r="O60">
            <v>1274.5079999999998</v>
          </cell>
          <cell r="R60">
            <v>122.16</v>
          </cell>
          <cell r="S60">
            <v>386.3</v>
          </cell>
          <cell r="W60">
            <v>140</v>
          </cell>
          <cell r="Z60">
            <v>516.81240000000003</v>
          </cell>
          <cell r="AA60">
            <v>5.74</v>
          </cell>
          <cell r="AB60">
            <v>142.69999999999999</v>
          </cell>
          <cell r="AI60">
            <v>600.5</v>
          </cell>
          <cell r="AJ60">
            <v>5.74</v>
          </cell>
          <cell r="AO60">
            <v>178.04999999999998</v>
          </cell>
          <cell r="AR60">
            <v>291.7278</v>
          </cell>
          <cell r="AS60">
            <v>67.73</v>
          </cell>
          <cell r="AT60">
            <v>248</v>
          </cell>
          <cell r="AX60">
            <v>118.54</v>
          </cell>
          <cell r="BA60">
            <v>307.69829999999996</v>
          </cell>
          <cell r="BB60">
            <v>67.73</v>
          </cell>
          <cell r="BJ60">
            <v>649.83699999999999</v>
          </cell>
          <cell r="BK60">
            <v>284.14999999999998</v>
          </cell>
          <cell r="BS60">
            <v>117.0558</v>
          </cell>
          <cell r="BT60">
            <v>229.09</v>
          </cell>
          <cell r="BU60">
            <v>180.3</v>
          </cell>
          <cell r="BY60">
            <v>101.64</v>
          </cell>
          <cell r="CB60">
            <v>794.82100000000003</v>
          </cell>
          <cell r="CC60">
            <v>105.99</v>
          </cell>
          <cell r="CK60">
            <v>420.33920000000001</v>
          </cell>
          <cell r="CM60">
            <v>82.8</v>
          </cell>
          <cell r="CT60">
            <v>231.2278</v>
          </cell>
          <cell r="CV60">
            <v>71.7</v>
          </cell>
          <cell r="CZ60">
            <v>95.83</v>
          </cell>
          <cell r="DC60">
            <v>134.15220000000002</v>
          </cell>
          <cell r="DL60">
            <v>194.84010000000001</v>
          </cell>
          <cell r="EC60">
            <v>399.28500000000003</v>
          </cell>
          <cell r="ED60">
            <v>196.96950000000001</v>
          </cell>
          <cell r="EF60">
            <v>183.9</v>
          </cell>
          <cell r="EJ60">
            <v>30.21</v>
          </cell>
          <cell r="EM60">
            <v>26.958600000000001</v>
          </cell>
          <cell r="EV60">
            <v>150.65100000000001</v>
          </cell>
          <cell r="FE60">
            <v>3.1716000000000002</v>
          </cell>
          <cell r="FN60">
            <v>386.94</v>
          </cell>
          <cell r="FW60">
            <v>409.93</v>
          </cell>
        </row>
        <row r="61">
          <cell r="A61">
            <v>52</v>
          </cell>
          <cell r="B61" t="str">
            <v>IPRM</v>
          </cell>
          <cell r="C61" t="str">
            <v>FM</v>
          </cell>
          <cell r="D61" t="str">
            <v>SRBDPS/CPS+SCPO-JBS FEED</v>
          </cell>
          <cell r="E61" t="str">
            <v>SRBDPS/CPS+SCPO-JBS FEED</v>
          </cell>
          <cell r="O61">
            <v>0</v>
          </cell>
          <cell r="BC61">
            <v>3.7</v>
          </cell>
          <cell r="CT61">
            <v>0.27</v>
          </cell>
          <cell r="DW61">
            <v>165.5</v>
          </cell>
          <cell r="EA61">
            <v>63.12</v>
          </cell>
        </row>
        <row r="62">
          <cell r="A62">
            <v>53</v>
          </cell>
          <cell r="B62" t="str">
            <v>IPRM</v>
          </cell>
          <cell r="C62" t="str">
            <v>FM</v>
          </cell>
          <cell r="D62" t="str">
            <v>SRBDPS/CPS+B/PPKO-JBS FEED</v>
          </cell>
          <cell r="E62" t="str">
            <v>SRBDPS/CPS+B/PPKO-JBS FEED</v>
          </cell>
          <cell r="O62">
            <v>0</v>
          </cell>
          <cell r="Q62">
            <v>294.04599999999999</v>
          </cell>
          <cell r="Z62">
            <v>17.196000000000002</v>
          </cell>
          <cell r="AI62">
            <v>344.91149999999999</v>
          </cell>
          <cell r="AR62">
            <v>470.18970000000002</v>
          </cell>
          <cell r="CC62">
            <v>0.37</v>
          </cell>
          <cell r="CD62">
            <v>40.5</v>
          </cell>
          <cell r="CH62">
            <v>13.78</v>
          </cell>
          <cell r="CT62">
            <v>374.24880000000007</v>
          </cell>
          <cell r="DB62">
            <v>244.8</v>
          </cell>
          <cell r="DT62">
            <v>43.604999999999997</v>
          </cell>
          <cell r="EL62">
            <v>507.6</v>
          </cell>
          <cell r="EU62">
            <v>406.8</v>
          </cell>
          <cell r="FD62">
            <v>67.2</v>
          </cell>
          <cell r="FE62">
            <v>212.49720000000002</v>
          </cell>
        </row>
        <row r="63">
          <cell r="A63">
            <v>54</v>
          </cell>
          <cell r="B63" t="str">
            <v>IPRM</v>
          </cell>
          <cell r="C63" t="str">
            <v>FM</v>
          </cell>
          <cell r="D63" t="str">
            <v>SPFAD&gt;C16(C16@15-25%)</v>
          </cell>
          <cell r="E63" t="str">
            <v>D B/P&gt;C16 FOR ALC</v>
          </cell>
          <cell r="O63">
            <v>0</v>
          </cell>
        </row>
        <row r="64">
          <cell r="A64">
            <v>55</v>
          </cell>
          <cell r="B64" t="str">
            <v>IPRM</v>
          </cell>
          <cell r="C64" t="str">
            <v>FM</v>
          </cell>
          <cell r="D64" t="str">
            <v>SPFAD&gt;C16(C16@15-25%)</v>
          </cell>
          <cell r="E64" t="str">
            <v>B/P&gt;C16 FOR ALC</v>
          </cell>
          <cell r="O64">
            <v>0</v>
          </cell>
        </row>
        <row r="65">
          <cell r="A65">
            <v>56</v>
          </cell>
          <cell r="B65" t="str">
            <v>IPRM</v>
          </cell>
          <cell r="C65" t="str">
            <v>SM</v>
          </cell>
          <cell r="D65" t="str">
            <v>MIX RESIDUE</v>
          </cell>
          <cell r="E65" t="str">
            <v>MIX RESIDUE</v>
          </cell>
          <cell r="H65">
            <v>493.72</v>
          </cell>
          <cell r="I65">
            <v>33.299999999999997</v>
          </cell>
          <cell r="O65">
            <v>527.02</v>
          </cell>
          <cell r="P65">
            <v>1.6109999999999998</v>
          </cell>
          <cell r="R65">
            <v>493.72</v>
          </cell>
          <cell r="S65">
            <v>34.1</v>
          </cell>
          <cell r="AA65">
            <v>1042.74</v>
          </cell>
          <cell r="AB65">
            <v>105</v>
          </cell>
          <cell r="AF65">
            <v>14.79</v>
          </cell>
          <cell r="AH65">
            <v>10.74</v>
          </cell>
          <cell r="AJ65">
            <v>1139.08</v>
          </cell>
          <cell r="AK65">
            <v>123.2</v>
          </cell>
          <cell r="AS65">
            <v>1308.3400000000001</v>
          </cell>
          <cell r="AT65">
            <v>82.8</v>
          </cell>
          <cell r="BB65">
            <v>1336.21</v>
          </cell>
          <cell r="BC65">
            <v>147.4</v>
          </cell>
          <cell r="BI65">
            <v>5.7279999999999998</v>
          </cell>
          <cell r="BK65">
            <v>1443.74</v>
          </cell>
          <cell r="BL65">
            <v>97</v>
          </cell>
          <cell r="BT65">
            <v>1000.51</v>
          </cell>
          <cell r="BU65">
            <v>41.6</v>
          </cell>
          <cell r="CB65">
            <v>779.63580000000002</v>
          </cell>
          <cell r="CC65">
            <v>983.31</v>
          </cell>
          <cell r="CD65">
            <v>20.8</v>
          </cell>
          <cell r="CJ65">
            <v>41.545999999999999</v>
          </cell>
          <cell r="CK65">
            <v>828.22500000000002</v>
          </cell>
          <cell r="CL65">
            <v>983.31</v>
          </cell>
          <cell r="CM65">
            <v>59.1</v>
          </cell>
          <cell r="CS65">
            <v>31.225999999999999</v>
          </cell>
          <cell r="CT65">
            <v>866.87549999999999</v>
          </cell>
          <cell r="CU65">
            <v>983.31</v>
          </cell>
          <cell r="CV65">
            <v>81.599999999999994</v>
          </cell>
          <cell r="DB65">
            <v>18.437000000000001</v>
          </cell>
          <cell r="DC65">
            <v>885.6486000000001</v>
          </cell>
          <cell r="DD65">
            <v>1062.8399999999999</v>
          </cell>
          <cell r="DE65">
            <v>176.5</v>
          </cell>
          <cell r="DL65">
            <v>803.93040000000008</v>
          </cell>
          <cell r="DM65">
            <v>1394</v>
          </cell>
          <cell r="DN65">
            <v>14.2</v>
          </cell>
          <cell r="DU65">
            <v>337.91580000000005</v>
          </cell>
          <cell r="DV65">
            <v>1394</v>
          </cell>
          <cell r="DW65">
            <v>21.7</v>
          </cell>
          <cell r="DX65">
            <v>14.218</v>
          </cell>
          <cell r="EA65">
            <v>28.11</v>
          </cell>
          <cell r="ED65">
            <v>348.95880000000005</v>
          </cell>
          <cell r="EE65">
            <v>1095.17</v>
          </cell>
          <cell r="EF65">
            <v>48.3</v>
          </cell>
          <cell r="EG65">
            <v>14.218</v>
          </cell>
          <cell r="EM65">
            <v>154.602</v>
          </cell>
          <cell r="EN65">
            <v>991.36</v>
          </cell>
          <cell r="EP65">
            <v>16.395</v>
          </cell>
          <cell r="ES65">
            <v>9.02</v>
          </cell>
          <cell r="EV65">
            <v>377.67060000000004</v>
          </cell>
          <cell r="EW65">
            <v>991.36</v>
          </cell>
          <cell r="EX65">
            <v>12.1</v>
          </cell>
          <cell r="EY65">
            <v>38.115000000000002</v>
          </cell>
          <cell r="FD65">
            <v>10.202999999999999</v>
          </cell>
          <cell r="FE65">
            <v>538.89840000000004</v>
          </cell>
          <cell r="FF65">
            <v>991.36</v>
          </cell>
          <cell r="FG65">
            <v>47.5</v>
          </cell>
          <cell r="FM65">
            <v>5.5490000000000004</v>
          </cell>
          <cell r="FN65">
            <v>702.33480000000009</v>
          </cell>
          <cell r="FO65">
            <v>976.88</v>
          </cell>
          <cell r="FP65">
            <v>41.635714285714286</v>
          </cell>
          <cell r="FQ65">
            <v>16.940000000000001</v>
          </cell>
          <cell r="FV65">
            <v>20.047999999999998</v>
          </cell>
          <cell r="FW65">
            <v>753.13260000000014</v>
          </cell>
          <cell r="FX65">
            <v>976.88</v>
          </cell>
          <cell r="FY65">
            <v>16.654285714285713</v>
          </cell>
          <cell r="GE65">
            <v>5.5490000000000004</v>
          </cell>
          <cell r="GF65">
            <v>568.71450000000004</v>
          </cell>
          <cell r="GG65">
            <v>976.88</v>
          </cell>
          <cell r="GH65">
            <v>105.75471428571429</v>
          </cell>
          <cell r="GO65">
            <v>150.18480000000002</v>
          </cell>
          <cell r="GP65">
            <v>976.88</v>
          </cell>
          <cell r="GQ65">
            <v>59.95542857142857</v>
          </cell>
          <cell r="GU65">
            <v>19.760000000000002</v>
          </cell>
        </row>
        <row r="66">
          <cell r="A66">
            <v>57</v>
          </cell>
          <cell r="B66" t="str">
            <v>IPRM</v>
          </cell>
          <cell r="C66" t="str">
            <v>SM</v>
          </cell>
          <cell r="D66" t="str">
            <v>SMIX RESIDUE</v>
          </cell>
          <cell r="E66" t="str">
            <v>SMIX RESIDUE</v>
          </cell>
          <cell r="O66">
            <v>0</v>
          </cell>
          <cell r="BS66">
            <v>600.7392000000001</v>
          </cell>
          <cell r="DL66">
            <v>81.71820000000001</v>
          </cell>
          <cell r="DT66">
            <v>39.624000000000002</v>
          </cell>
          <cell r="DU66">
            <v>355.58460000000002</v>
          </cell>
          <cell r="EC66">
            <v>66.456000000000003</v>
          </cell>
          <cell r="ED66">
            <v>290.43090000000001</v>
          </cell>
          <cell r="EM66">
            <v>69.775200000000012</v>
          </cell>
          <cell r="GF66">
            <v>107.8344</v>
          </cell>
          <cell r="GO66">
            <v>325.089</v>
          </cell>
        </row>
        <row r="67">
          <cell r="A67">
            <v>58</v>
          </cell>
          <cell r="B67" t="str">
            <v>IPRM</v>
          </cell>
          <cell r="C67" t="str">
            <v>FM</v>
          </cell>
          <cell r="D67" t="str">
            <v>DMIX RESIDUE</v>
          </cell>
          <cell r="E67" t="str">
            <v>DMIX RESIDUE</v>
          </cell>
          <cell r="F67">
            <v>5.2495000000000003</v>
          </cell>
          <cell r="G67">
            <v>370</v>
          </cell>
          <cell r="I67">
            <v>260.7</v>
          </cell>
          <cell r="O67">
            <v>635.94949999999994</v>
          </cell>
          <cell r="P67">
            <v>24.47</v>
          </cell>
          <cell r="S67">
            <v>260.7</v>
          </cell>
          <cell r="Y67">
            <v>3.33</v>
          </cell>
          <cell r="Z67">
            <v>245</v>
          </cell>
          <cell r="AB67">
            <v>260.7</v>
          </cell>
          <cell r="AH67">
            <v>5.7350000000000003</v>
          </cell>
          <cell r="AI67">
            <v>267.5</v>
          </cell>
          <cell r="AK67">
            <v>260.7</v>
          </cell>
          <cell r="AQ67">
            <v>19</v>
          </cell>
          <cell r="AR67">
            <v>121.25</v>
          </cell>
          <cell r="AT67">
            <v>194</v>
          </cell>
          <cell r="BA67">
            <v>16.25</v>
          </cell>
          <cell r="BI67">
            <v>9.25</v>
          </cell>
          <cell r="BR67">
            <v>2.4049999999999998</v>
          </cell>
          <cell r="CJ67">
            <v>4.07</v>
          </cell>
          <cell r="CS67">
            <v>4.8099999999999996</v>
          </cell>
          <cell r="DB67">
            <v>1.48</v>
          </cell>
          <cell r="DK67">
            <v>3.5150000000000001</v>
          </cell>
          <cell r="DT67">
            <v>6.66</v>
          </cell>
          <cell r="DU67">
            <v>155</v>
          </cell>
          <cell r="EC67">
            <v>8.3249999999999993</v>
          </cell>
          <cell r="ED67">
            <v>297.5</v>
          </cell>
          <cell r="EF67">
            <v>119.5</v>
          </cell>
          <cell r="EL67">
            <v>7.4249999999999998</v>
          </cell>
          <cell r="EM67">
            <v>375</v>
          </cell>
          <cell r="EO67">
            <v>37.1</v>
          </cell>
          <cell r="ES67">
            <v>29.18</v>
          </cell>
          <cell r="EU67">
            <v>10.175000000000001</v>
          </cell>
          <cell r="EV67">
            <v>148.75</v>
          </cell>
          <cell r="EX67">
            <v>201.5</v>
          </cell>
          <cell r="FD67">
            <v>2.0350000000000001</v>
          </cell>
          <cell r="FE67">
            <v>148.75</v>
          </cell>
          <cell r="FG67">
            <v>200.1</v>
          </cell>
          <cell r="FM67">
            <v>3.7</v>
          </cell>
          <cell r="FN67">
            <v>147.5</v>
          </cell>
          <cell r="FP67">
            <v>200.1</v>
          </cell>
          <cell r="FV67">
            <v>11.1</v>
          </cell>
          <cell r="FW67">
            <v>150</v>
          </cell>
          <cell r="FY67">
            <v>200.1</v>
          </cell>
          <cell r="GE67">
            <v>26.92</v>
          </cell>
          <cell r="GF67">
            <v>187.5</v>
          </cell>
          <cell r="GH67">
            <v>193.14</v>
          </cell>
          <cell r="GN67">
            <v>8.14</v>
          </cell>
          <cell r="GO67">
            <v>225</v>
          </cell>
        </row>
        <row r="68">
          <cell r="A68">
            <v>59</v>
          </cell>
          <cell r="B68" t="str">
            <v>IPRM</v>
          </cell>
          <cell r="C68" t="str">
            <v>FM</v>
          </cell>
          <cell r="D68" t="str">
            <v>HYD D RFA</v>
          </cell>
          <cell r="E68" t="str">
            <v>HYD D RFA</v>
          </cell>
          <cell r="O68">
            <v>0</v>
          </cell>
          <cell r="AQ68">
            <v>2.5</v>
          </cell>
          <cell r="AT68">
            <v>17.899999999999999</v>
          </cell>
          <cell r="EO68">
            <v>53.9</v>
          </cell>
          <cell r="EX68">
            <v>8.5</v>
          </cell>
        </row>
        <row r="69">
          <cell r="A69">
            <v>60</v>
          </cell>
          <cell r="B69" t="str">
            <v>IPRM</v>
          </cell>
          <cell r="C69" t="str">
            <v>FM</v>
          </cell>
          <cell r="D69" t="str">
            <v>B/P SMUSTARD&gt;C18</v>
          </cell>
          <cell r="E69" t="str">
            <v>B/P SMUSTARD&gt;C18</v>
          </cell>
          <cell r="O69">
            <v>0</v>
          </cell>
        </row>
        <row r="70">
          <cell r="A70">
            <v>61</v>
          </cell>
          <cell r="B70" t="str">
            <v>IPRM</v>
          </cell>
          <cell r="C70" t="str">
            <v>FM</v>
          </cell>
          <cell r="D70" t="str">
            <v>B/P SMUSTARD&gt;C20</v>
          </cell>
          <cell r="E70" t="str">
            <v>B/P SMUSTARD&gt;C20</v>
          </cell>
          <cell r="G70">
            <v>120</v>
          </cell>
          <cell r="O70">
            <v>120</v>
          </cell>
          <cell r="Q70">
            <v>120</v>
          </cell>
          <cell r="Z70">
            <v>120</v>
          </cell>
          <cell r="AI70">
            <v>120</v>
          </cell>
          <cell r="AK70">
            <v>544.4</v>
          </cell>
          <cell r="AR70">
            <v>120</v>
          </cell>
          <cell r="BA70">
            <v>120</v>
          </cell>
          <cell r="BJ70">
            <v>120</v>
          </cell>
          <cell r="BL70">
            <v>147.4</v>
          </cell>
          <cell r="BS70">
            <v>120</v>
          </cell>
          <cell r="BU70">
            <v>147.4</v>
          </cell>
          <cell r="CB70">
            <v>120</v>
          </cell>
          <cell r="CD70">
            <v>147.4</v>
          </cell>
          <cell r="CK70">
            <v>120</v>
          </cell>
          <cell r="CM70">
            <v>118.8</v>
          </cell>
          <cell r="CT70">
            <v>120</v>
          </cell>
          <cell r="CV70">
            <v>197.3</v>
          </cell>
          <cell r="DC70">
            <v>120</v>
          </cell>
          <cell r="DE70">
            <v>206.5</v>
          </cell>
          <cell r="DL70">
            <v>120</v>
          </cell>
          <cell r="DN70">
            <v>84</v>
          </cell>
          <cell r="DU70">
            <v>120</v>
          </cell>
          <cell r="ED70">
            <v>120</v>
          </cell>
          <cell r="EF70">
            <v>257.60000000000002</v>
          </cell>
          <cell r="EM70">
            <v>120</v>
          </cell>
          <cell r="EO70">
            <v>237.5</v>
          </cell>
          <cell r="EV70">
            <v>120</v>
          </cell>
          <cell r="EX70">
            <v>400.5</v>
          </cell>
          <cell r="FE70">
            <v>120</v>
          </cell>
          <cell r="FG70">
            <v>204.6</v>
          </cell>
          <cell r="FN70">
            <v>120</v>
          </cell>
          <cell r="FW70">
            <v>120</v>
          </cell>
          <cell r="FY70">
            <v>65.77200000000002</v>
          </cell>
          <cell r="GF70">
            <v>120</v>
          </cell>
          <cell r="GO70">
            <v>120</v>
          </cell>
          <cell r="GQ70">
            <v>65.77200000000002</v>
          </cell>
        </row>
        <row r="71">
          <cell r="A71">
            <v>62</v>
          </cell>
          <cell r="B71" t="str">
            <v>IPRM</v>
          </cell>
          <cell r="C71" t="str">
            <v>SM</v>
          </cell>
          <cell r="D71" t="str">
            <v>DFA C18+22(20@50%)</v>
          </cell>
          <cell r="E71" t="str">
            <v>DFA C18+22(20@50%)</v>
          </cell>
          <cell r="O71">
            <v>0</v>
          </cell>
        </row>
        <row r="72">
          <cell r="A72">
            <v>63</v>
          </cell>
          <cell r="B72" t="str">
            <v>IPRM</v>
          </cell>
          <cell r="C72" t="str">
            <v>NM</v>
          </cell>
          <cell r="D72" t="str">
            <v>MUSTARD RESIDUE</v>
          </cell>
          <cell r="E72" t="str">
            <v>MUSTARD RESIDUE</v>
          </cell>
          <cell r="F72">
            <v>48.61</v>
          </cell>
          <cell r="H72">
            <v>589.66</v>
          </cell>
          <cell r="L72">
            <v>4.5</v>
          </cell>
          <cell r="O72">
            <v>642.77</v>
          </cell>
          <cell r="P72">
            <v>42.52</v>
          </cell>
          <cell r="R72">
            <v>693.52</v>
          </cell>
          <cell r="S72">
            <v>281.39999999999998</v>
          </cell>
          <cell r="V72">
            <v>4.5</v>
          </cell>
          <cell r="Y72">
            <v>42.52</v>
          </cell>
          <cell r="AA72">
            <v>693.52</v>
          </cell>
          <cell r="AB72">
            <v>142.30000000000001</v>
          </cell>
          <cell r="AE72">
            <v>4.5</v>
          </cell>
          <cell r="AH72">
            <v>42.52</v>
          </cell>
          <cell r="AJ72">
            <v>693.52</v>
          </cell>
          <cell r="AK72">
            <v>106.6</v>
          </cell>
          <cell r="AN72">
            <v>4.5</v>
          </cell>
          <cell r="AQ72">
            <v>42.52</v>
          </cell>
          <cell r="AS72">
            <v>775.72</v>
          </cell>
          <cell r="AT72">
            <v>142</v>
          </cell>
          <cell r="AW72">
            <v>4.5</v>
          </cell>
          <cell r="AZ72">
            <v>42.52</v>
          </cell>
          <cell r="BB72">
            <v>791.07</v>
          </cell>
          <cell r="BC72">
            <v>142</v>
          </cell>
          <cell r="BF72">
            <v>4.5</v>
          </cell>
          <cell r="BI72">
            <v>42.52</v>
          </cell>
          <cell r="BK72">
            <v>876.78</v>
          </cell>
          <cell r="BL72">
            <v>114.9</v>
          </cell>
          <cell r="BO72">
            <v>4.5</v>
          </cell>
          <cell r="BR72">
            <v>42.52</v>
          </cell>
          <cell r="BT72">
            <v>876.78</v>
          </cell>
          <cell r="BU72">
            <v>153.19999999999999</v>
          </cell>
          <cell r="BX72">
            <v>4.5</v>
          </cell>
          <cell r="CA72">
            <v>42.52</v>
          </cell>
          <cell r="CC72">
            <v>1057.8200000000002</v>
          </cell>
          <cell r="CD72">
            <v>122.4</v>
          </cell>
          <cell r="CF72">
            <v>4.5</v>
          </cell>
          <cell r="CJ72">
            <v>42.52</v>
          </cell>
          <cell r="CL72">
            <v>1057.8200000000002</v>
          </cell>
          <cell r="CM72">
            <v>143.19999999999999</v>
          </cell>
          <cell r="CP72">
            <v>4.5</v>
          </cell>
          <cell r="CS72">
            <v>42.52</v>
          </cell>
          <cell r="CU72">
            <v>1157.75</v>
          </cell>
          <cell r="CV72">
            <v>43.2</v>
          </cell>
          <cell r="CY72">
            <v>4.5</v>
          </cell>
          <cell r="DB72">
            <v>42.52</v>
          </cell>
          <cell r="DD72">
            <v>1173.21</v>
          </cell>
          <cell r="DE72">
            <v>102</v>
          </cell>
          <cell r="DH72">
            <v>4.5</v>
          </cell>
          <cell r="DK72">
            <v>42.52</v>
          </cell>
          <cell r="DM72">
            <v>1173.21</v>
          </cell>
          <cell r="DN72">
            <v>185.7</v>
          </cell>
          <cell r="DQ72">
            <v>4.5</v>
          </cell>
          <cell r="DT72">
            <v>42.52</v>
          </cell>
          <cell r="DU72">
            <v>106.24860000000001</v>
          </cell>
          <cell r="DV72">
            <v>1761.33</v>
          </cell>
          <cell r="DW72">
            <v>101.6</v>
          </cell>
          <cell r="DZ72">
            <v>4.5</v>
          </cell>
          <cell r="EC72">
            <v>42.52</v>
          </cell>
          <cell r="EE72">
            <v>1362.7</v>
          </cell>
          <cell r="EF72">
            <v>123.2</v>
          </cell>
          <cell r="EI72">
            <v>4.5</v>
          </cell>
          <cell r="EL72">
            <v>61.93</v>
          </cell>
          <cell r="EN72">
            <v>1662.41</v>
          </cell>
          <cell r="EO72">
            <v>53.7</v>
          </cell>
          <cell r="ER72">
            <v>4.5</v>
          </cell>
          <cell r="EU72">
            <v>41.99</v>
          </cell>
          <cell r="EW72">
            <v>1568.83</v>
          </cell>
          <cell r="EX72">
            <v>65</v>
          </cell>
          <cell r="FA72">
            <v>4.5</v>
          </cell>
          <cell r="FD72">
            <v>41.99</v>
          </cell>
          <cell r="FF72">
            <v>1568.83</v>
          </cell>
          <cell r="FG72">
            <v>161.5</v>
          </cell>
          <cell r="FJ72">
            <v>4.5</v>
          </cell>
          <cell r="FM72">
            <v>41.99</v>
          </cell>
          <cell r="FO72">
            <v>1568.83</v>
          </cell>
          <cell r="FP72">
            <v>179.86628571428574</v>
          </cell>
          <cell r="FV72">
            <v>41.99</v>
          </cell>
          <cell r="FX72">
            <v>1664.95</v>
          </cell>
          <cell r="FY72">
            <v>114.91457142857143</v>
          </cell>
          <cell r="GA72">
            <v>4.5</v>
          </cell>
          <cell r="GE72">
            <v>41.99</v>
          </cell>
          <cell r="GG72">
            <v>1832.63</v>
          </cell>
          <cell r="GH72">
            <v>33.724928571428578</v>
          </cell>
          <cell r="GK72">
            <v>4.5</v>
          </cell>
          <cell r="GN72">
            <v>40.9</v>
          </cell>
          <cell r="GP72">
            <v>1832.63</v>
          </cell>
          <cell r="GQ72">
            <v>37.472142857142856</v>
          </cell>
          <cell r="GT72">
            <v>4.5</v>
          </cell>
        </row>
        <row r="73">
          <cell r="A73">
            <v>64</v>
          </cell>
          <cell r="B73" t="str">
            <v>IPRM</v>
          </cell>
          <cell r="C73" t="str">
            <v>NM</v>
          </cell>
          <cell r="D73" t="str">
            <v>SMUSTARD RESIDUE</v>
          </cell>
          <cell r="E73" t="str">
            <v>SMUSTARD RESIDUE</v>
          </cell>
          <cell r="G73">
            <v>662.24340000000007</v>
          </cell>
          <cell r="H73">
            <v>1216.57</v>
          </cell>
          <cell r="O73">
            <v>1878.8134</v>
          </cell>
          <cell r="Q73">
            <v>763.38990000000001</v>
          </cell>
          <cell r="R73">
            <v>1216.57</v>
          </cell>
          <cell r="Z73">
            <v>764.45460000000003</v>
          </cell>
          <cell r="AA73">
            <v>1216.57</v>
          </cell>
          <cell r="AI73">
            <v>777.23099999999999</v>
          </cell>
          <cell r="AJ73">
            <v>1216.57</v>
          </cell>
          <cell r="AR73">
            <v>349.22159999999997</v>
          </cell>
          <cell r="AS73">
            <v>925.4</v>
          </cell>
          <cell r="BA73">
            <v>494.02080000000001</v>
          </cell>
          <cell r="BB73">
            <v>648.51</v>
          </cell>
          <cell r="BJ73">
            <v>487.63259999999997</v>
          </cell>
          <cell r="BK73">
            <v>648.51</v>
          </cell>
          <cell r="BS73">
            <v>485.50319999999999</v>
          </cell>
          <cell r="BT73">
            <v>648.51</v>
          </cell>
          <cell r="CB73">
            <v>506.79720000000003</v>
          </cell>
          <cell r="CC73">
            <v>648.51</v>
          </cell>
          <cell r="CK73">
            <v>523.83240000000001</v>
          </cell>
          <cell r="CL73">
            <v>648.51</v>
          </cell>
          <cell r="CT73">
            <v>523.83240000000001</v>
          </cell>
          <cell r="CU73">
            <v>648.51</v>
          </cell>
          <cell r="DC73">
            <v>532.35</v>
          </cell>
          <cell r="DD73">
            <v>648.51</v>
          </cell>
          <cell r="DL73">
            <v>530.22059999999999</v>
          </cell>
          <cell r="DM73">
            <v>648.51</v>
          </cell>
          <cell r="DU73">
            <v>530.22059999999999</v>
          </cell>
          <cell r="DV73">
            <v>141.79</v>
          </cell>
          <cell r="ED73">
            <v>538.73820000000001</v>
          </cell>
          <cell r="EE73">
            <v>648.51</v>
          </cell>
          <cell r="EM73">
            <v>555.77340000000004</v>
          </cell>
          <cell r="EN73">
            <v>506.72</v>
          </cell>
          <cell r="EV73">
            <v>692.05499999999995</v>
          </cell>
          <cell r="EW73">
            <v>498.73</v>
          </cell>
          <cell r="FE73">
            <v>685.66680000000008</v>
          </cell>
          <cell r="FF73">
            <v>498.73</v>
          </cell>
          <cell r="FN73">
            <v>685.66680000000008</v>
          </cell>
          <cell r="FO73">
            <v>498.73</v>
          </cell>
          <cell r="FW73">
            <v>685.66680000000008</v>
          </cell>
          <cell r="FX73">
            <v>498.73</v>
          </cell>
          <cell r="GF73">
            <v>708.02549999999997</v>
          </cell>
          <cell r="GG73">
            <v>498.73</v>
          </cell>
          <cell r="GO73">
            <v>704.83140000000003</v>
          </cell>
          <cell r="GP73">
            <v>498.73</v>
          </cell>
        </row>
        <row r="74">
          <cell r="A74">
            <v>65</v>
          </cell>
          <cell r="B74" t="str">
            <v>IPRM</v>
          </cell>
          <cell r="C74" t="str">
            <v>NM</v>
          </cell>
          <cell r="D74" t="str">
            <v>DMUSTARD RESIDUE</v>
          </cell>
          <cell r="E74" t="str">
            <v>DMUSTARD RESIDUE</v>
          </cell>
          <cell r="F74">
            <v>225.29999999999998</v>
          </cell>
          <cell r="I74">
            <v>29.2</v>
          </cell>
          <cell r="O74">
            <v>254.49999999999997</v>
          </cell>
          <cell r="P74">
            <v>196.82000000000002</v>
          </cell>
          <cell r="Q74">
            <v>254.38</v>
          </cell>
          <cell r="Y74">
            <v>24.11</v>
          </cell>
          <cell r="Z74">
            <v>32.116002400000006</v>
          </cell>
          <cell r="AH74">
            <v>15.683467999999998</v>
          </cell>
          <cell r="AI74">
            <v>32.116002400000006</v>
          </cell>
          <cell r="AQ74">
            <v>15.683467999999998</v>
          </cell>
          <cell r="AR74">
            <v>31.414982400000007</v>
          </cell>
          <cell r="AZ74">
            <v>15.683467999999998</v>
          </cell>
          <cell r="BA74">
            <v>31.414982400000007</v>
          </cell>
          <cell r="BI74">
            <v>22.68</v>
          </cell>
          <cell r="BJ74">
            <v>31.414982400000007</v>
          </cell>
          <cell r="BR74">
            <v>29.68</v>
          </cell>
          <cell r="BS74">
            <v>31.414982400000007</v>
          </cell>
          <cell r="CA74">
            <v>35.8645</v>
          </cell>
          <cell r="CB74">
            <v>31.414982400000007</v>
          </cell>
          <cell r="CK74">
            <v>31.765492400000007</v>
          </cell>
          <cell r="CT74">
            <v>31.765492400000007</v>
          </cell>
          <cell r="DC74">
            <v>31.765492400000007</v>
          </cell>
          <cell r="DL74">
            <v>31.765492400000007</v>
          </cell>
          <cell r="DU74">
            <v>31.765492400000007</v>
          </cell>
          <cell r="ED74">
            <v>31.765492400000007</v>
          </cell>
          <cell r="EM74">
            <v>31.765492400000007</v>
          </cell>
          <cell r="EV74">
            <v>31.765492400000007</v>
          </cell>
          <cell r="FE74">
            <v>31.765492400000007</v>
          </cell>
          <cell r="FN74">
            <v>31.765492400000007</v>
          </cell>
          <cell r="FW74">
            <v>33.518042400000006</v>
          </cell>
          <cell r="GF74">
            <v>33.518042400000006</v>
          </cell>
          <cell r="GO74">
            <v>33.518042400000006</v>
          </cell>
        </row>
        <row r="75">
          <cell r="A75">
            <v>66</v>
          </cell>
          <cell r="B75" t="str">
            <v>IPRM</v>
          </cell>
          <cell r="C75" t="str">
            <v>NM</v>
          </cell>
          <cell r="D75" t="str">
            <v>CONTAMINATED MUST</v>
          </cell>
          <cell r="E75" t="str">
            <v>CONTAMINATED MUST</v>
          </cell>
          <cell r="O75">
            <v>0</v>
          </cell>
        </row>
        <row r="76">
          <cell r="A76">
            <v>67</v>
          </cell>
          <cell r="B76" t="str">
            <v>IPRM</v>
          </cell>
          <cell r="C76" t="str">
            <v>NM</v>
          </cell>
          <cell r="D76" t="str">
            <v>HYD SPFAD</v>
          </cell>
          <cell r="E76" t="str">
            <v>HYD SPFAD</v>
          </cell>
          <cell r="I76">
            <v>207.3</v>
          </cell>
          <cell r="O76">
            <v>207.3</v>
          </cell>
          <cell r="S76">
            <v>47.5</v>
          </cell>
          <cell r="Y76">
            <v>7</v>
          </cell>
          <cell r="AB76">
            <v>36.200000000000003</v>
          </cell>
          <cell r="AH76">
            <v>30.195</v>
          </cell>
          <cell r="AK76">
            <v>228.8</v>
          </cell>
          <cell r="AT76">
            <v>117.7</v>
          </cell>
          <cell r="BC76">
            <v>256.2</v>
          </cell>
          <cell r="BL76">
            <v>406.5</v>
          </cell>
          <cell r="BU76">
            <v>185.5</v>
          </cell>
          <cell r="CD76">
            <v>419.6</v>
          </cell>
          <cell r="CM76">
            <v>525.20000000000005</v>
          </cell>
          <cell r="CS76">
            <v>33.97</v>
          </cell>
          <cell r="CV76">
            <v>701.7</v>
          </cell>
          <cell r="DE76">
            <v>255</v>
          </cell>
          <cell r="DN76">
            <v>419.3</v>
          </cell>
          <cell r="DW76">
            <v>35.1</v>
          </cell>
          <cell r="EF76">
            <v>4.8</v>
          </cell>
          <cell r="EJ76">
            <v>12.88</v>
          </cell>
          <cell r="EU76">
            <v>37.996000000000002</v>
          </cell>
          <cell r="FD76">
            <v>64.209000000000003</v>
          </cell>
          <cell r="FG76">
            <v>29.8</v>
          </cell>
          <cell r="FM76">
            <v>16.283999999999999</v>
          </cell>
          <cell r="FP76">
            <v>54.635999999999996</v>
          </cell>
          <cell r="FT76">
            <v>30.46</v>
          </cell>
          <cell r="FV76">
            <v>4.0709999999999997</v>
          </cell>
          <cell r="GN76">
            <v>48.155000000000001</v>
          </cell>
        </row>
        <row r="77">
          <cell r="A77">
            <v>68</v>
          </cell>
          <cell r="B77" t="str">
            <v>IPRM</v>
          </cell>
          <cell r="C77" t="str">
            <v>NM</v>
          </cell>
          <cell r="D77" t="str">
            <v>C16 RICH (FOR SB)</v>
          </cell>
          <cell r="E77" t="str">
            <v>C16 RICH (FOR SB)</v>
          </cell>
          <cell r="G77">
            <v>364.73399999999998</v>
          </cell>
          <cell r="O77">
            <v>364.73399999999998</v>
          </cell>
          <cell r="Q77">
            <v>198.22499999999999</v>
          </cell>
          <cell r="CA77">
            <v>326.61</v>
          </cell>
          <cell r="CJ77">
            <v>242.82</v>
          </cell>
          <cell r="CS77">
            <v>90.63</v>
          </cell>
          <cell r="DB77">
            <v>162.44999999999999</v>
          </cell>
          <cell r="EC77">
            <v>66</v>
          </cell>
          <cell r="FD77">
            <v>3.4649999999999999</v>
          </cell>
          <cell r="FM77">
            <v>280.8</v>
          </cell>
          <cell r="FV77">
            <v>320.39999999999998</v>
          </cell>
          <cell r="GE77">
            <v>342</v>
          </cell>
          <cell r="GN77">
            <v>126</v>
          </cell>
        </row>
        <row r="78">
          <cell r="A78">
            <v>69</v>
          </cell>
          <cell r="B78" t="str">
            <v>IPRM</v>
          </cell>
          <cell r="C78" t="str">
            <v>NM</v>
          </cell>
          <cell r="D78" t="str">
            <v>B/P PFAD (FOR C16/C18)</v>
          </cell>
          <cell r="E78" t="str">
            <v>B/P PFAD (FOR C16/C18)</v>
          </cell>
          <cell r="O78">
            <v>0</v>
          </cell>
        </row>
        <row r="79">
          <cell r="A79">
            <v>70</v>
          </cell>
          <cell r="B79" t="str">
            <v>IPRM</v>
          </cell>
          <cell r="C79" t="str">
            <v>NM</v>
          </cell>
          <cell r="D79" t="str">
            <v>DFA C8&gt;90%</v>
          </cell>
          <cell r="E79" t="str">
            <v>DFA C8&gt;90%</v>
          </cell>
          <cell r="O79">
            <v>0</v>
          </cell>
        </row>
        <row r="80">
          <cell r="A80">
            <v>71</v>
          </cell>
          <cell r="B80" t="str">
            <v>IPRM</v>
          </cell>
          <cell r="C80" t="str">
            <v>NM</v>
          </cell>
          <cell r="D80" t="str">
            <v>FEED FOR DTP-CT</v>
          </cell>
          <cell r="E80" t="str">
            <v>FEED FOR DTP-CT</v>
          </cell>
          <cell r="F80">
            <v>49.57</v>
          </cell>
          <cell r="O80">
            <v>49.57</v>
          </cell>
        </row>
        <row r="81">
          <cell r="A81">
            <v>72</v>
          </cell>
          <cell r="B81" t="str">
            <v>IPRM</v>
          </cell>
          <cell r="C81" t="str">
            <v>NM</v>
          </cell>
          <cell r="D81" t="str">
            <v>C16 RICH FROM PFAD</v>
          </cell>
          <cell r="E81" t="str">
            <v>C16 RICH FROM PFAD</v>
          </cell>
          <cell r="O81">
            <v>0</v>
          </cell>
          <cell r="BI81">
            <v>405.9</v>
          </cell>
          <cell r="BR81">
            <v>311.39999999999998</v>
          </cell>
        </row>
        <row r="82">
          <cell r="A82">
            <v>73</v>
          </cell>
          <cell r="B82" t="str">
            <v>IPRM</v>
          </cell>
          <cell r="C82" t="str">
            <v>NM</v>
          </cell>
          <cell r="D82" t="str">
            <v>FEED FOR P-12</v>
          </cell>
          <cell r="E82" t="str">
            <v>FEED FOR P-12</v>
          </cell>
          <cell r="O82">
            <v>0</v>
          </cell>
          <cell r="P82">
            <v>18</v>
          </cell>
          <cell r="BR82">
            <v>266.18018000000001</v>
          </cell>
          <cell r="CA82">
            <v>221</v>
          </cell>
          <cell r="CJ82">
            <v>189</v>
          </cell>
        </row>
        <row r="83">
          <cell r="A83">
            <v>74</v>
          </cell>
          <cell r="B83" t="str">
            <v>IPRM</v>
          </cell>
          <cell r="C83" t="str">
            <v>NM</v>
          </cell>
          <cell r="D83" t="str">
            <v>HYD P-12</v>
          </cell>
          <cell r="E83" t="str">
            <v>HYD P-12</v>
          </cell>
          <cell r="O83">
            <v>0</v>
          </cell>
          <cell r="P83">
            <v>7</v>
          </cell>
          <cell r="CA83">
            <v>14</v>
          </cell>
          <cell r="CS83">
            <v>30.6</v>
          </cell>
        </row>
        <row r="84">
          <cell r="A84">
            <v>75</v>
          </cell>
          <cell r="B84" t="str">
            <v>IPRM</v>
          </cell>
          <cell r="C84" t="str">
            <v>NM</v>
          </cell>
          <cell r="D84" t="str">
            <v>D HYD P-12</v>
          </cell>
          <cell r="E84" t="str">
            <v>D HYD P-12</v>
          </cell>
          <cell r="O84">
            <v>0</v>
          </cell>
        </row>
        <row r="85">
          <cell r="A85">
            <v>76</v>
          </cell>
          <cell r="B85" t="str">
            <v>IPRM</v>
          </cell>
          <cell r="C85" t="str">
            <v>NM</v>
          </cell>
          <cell r="D85" t="str">
            <v>DFA C16/18  FOR TRANSLUCENT</v>
          </cell>
          <cell r="E85" t="str">
            <v>DFA C16/18  FOR TRANSLUCENT</v>
          </cell>
          <cell r="G85">
            <v>285.44400000000002</v>
          </cell>
          <cell r="O85">
            <v>285.44400000000002</v>
          </cell>
          <cell r="Q85">
            <v>294.95880000000005</v>
          </cell>
          <cell r="Y85">
            <v>1.98</v>
          </cell>
          <cell r="Z85">
            <v>56.466000000000001</v>
          </cell>
          <cell r="BI85">
            <v>60.352779999999996</v>
          </cell>
          <cell r="BR85">
            <v>204.345</v>
          </cell>
          <cell r="DC85">
            <v>245.15460000000002</v>
          </cell>
          <cell r="DK85">
            <v>117.04253</v>
          </cell>
          <cell r="DT85">
            <v>20.233880000000003</v>
          </cell>
        </row>
        <row r="86">
          <cell r="A86">
            <v>77</v>
          </cell>
          <cell r="B86" t="str">
            <v>IPRM</v>
          </cell>
          <cell r="C86" t="str">
            <v>NM</v>
          </cell>
          <cell r="D86" t="str">
            <v>GLY RES</v>
          </cell>
          <cell r="E86" t="str">
            <v>GLY RES</v>
          </cell>
          <cell r="F86">
            <v>31.5</v>
          </cell>
          <cell r="O86">
            <v>31.5</v>
          </cell>
          <cell r="P86">
            <v>35</v>
          </cell>
          <cell r="Y86">
            <v>33.25</v>
          </cell>
          <cell r="AH86">
            <v>14.875</v>
          </cell>
          <cell r="AQ86">
            <v>8.75</v>
          </cell>
          <cell r="AZ86">
            <v>24.5</v>
          </cell>
          <cell r="BI86">
            <v>29.75</v>
          </cell>
          <cell r="BR86">
            <v>28.524999999999999</v>
          </cell>
          <cell r="CJ86">
            <v>5.25</v>
          </cell>
          <cell r="CS86">
            <v>7.52</v>
          </cell>
          <cell r="DB86">
            <v>14.57</v>
          </cell>
          <cell r="EL86">
            <v>38.5</v>
          </cell>
          <cell r="EU86">
            <v>38.5</v>
          </cell>
          <cell r="FD86">
            <v>38.5</v>
          </cell>
          <cell r="FM86">
            <v>38.5</v>
          </cell>
          <cell r="FV86">
            <v>38.5</v>
          </cell>
          <cell r="GE86">
            <v>38.5</v>
          </cell>
          <cell r="GN86">
            <v>38.5</v>
          </cell>
        </row>
        <row r="87">
          <cell r="A87">
            <v>78</v>
          </cell>
          <cell r="B87" t="str">
            <v>IPRM</v>
          </cell>
          <cell r="C87" t="str">
            <v>NM</v>
          </cell>
          <cell r="D87" t="str">
            <v>D B/P PKO</v>
          </cell>
          <cell r="E87" t="str">
            <v>D B/P PKO</v>
          </cell>
          <cell r="F87">
            <v>20</v>
          </cell>
          <cell r="G87">
            <v>125.63</v>
          </cell>
          <cell r="O87">
            <v>145.63</v>
          </cell>
          <cell r="Q87">
            <v>304.13</v>
          </cell>
          <cell r="EU87">
            <v>280.8</v>
          </cell>
          <cell r="FD87">
            <v>313.2</v>
          </cell>
          <cell r="FM87">
            <v>218.7</v>
          </cell>
          <cell r="FP87">
            <v>529.83000000000004</v>
          </cell>
          <cell r="FV87">
            <v>187.2</v>
          </cell>
          <cell r="FY87">
            <v>582.89700000000005</v>
          </cell>
          <cell r="GC87">
            <v>52.58</v>
          </cell>
          <cell r="GH87">
            <v>259.40999999999997</v>
          </cell>
        </row>
        <row r="88">
          <cell r="A88">
            <v>79</v>
          </cell>
          <cell r="B88" t="str">
            <v>IPRM</v>
          </cell>
          <cell r="C88" t="str">
            <v>NM</v>
          </cell>
          <cell r="D88" t="str">
            <v>FOR NEEM SOAP</v>
          </cell>
          <cell r="E88" t="str">
            <v>FOR NEEM SOAP</v>
          </cell>
          <cell r="J88">
            <v>31.86</v>
          </cell>
          <cell r="O88">
            <v>31.86</v>
          </cell>
          <cell r="T88">
            <v>122.91</v>
          </cell>
          <cell r="W88">
            <v>19.489999999999998</v>
          </cell>
          <cell r="AC88">
            <v>148.4</v>
          </cell>
          <cell r="AL88">
            <v>191.95800000000003</v>
          </cell>
          <cell r="AU88">
            <v>174.29400000000001</v>
          </cell>
          <cell r="BD88">
            <v>174.29400000000001</v>
          </cell>
          <cell r="BM88">
            <v>174.29400000000001</v>
          </cell>
          <cell r="BV88">
            <v>174.29400000000001</v>
          </cell>
          <cell r="CE88">
            <v>44.16</v>
          </cell>
          <cell r="CN88">
            <v>1.242</v>
          </cell>
          <cell r="CW88">
            <v>3.8319999999999999</v>
          </cell>
          <cell r="DT88">
            <v>67.08</v>
          </cell>
          <cell r="DX88">
            <v>58.591999999999999</v>
          </cell>
          <cell r="EG88">
            <v>1.9319999999999999</v>
          </cell>
          <cell r="EH88">
            <v>400.09</v>
          </cell>
          <cell r="EJ88">
            <v>37.450000000000003</v>
          </cell>
          <cell r="EP88">
            <v>42.78</v>
          </cell>
          <cell r="EY88">
            <v>59.201999999999998</v>
          </cell>
          <cell r="FG88">
            <v>59.201999999999998</v>
          </cell>
          <cell r="FQ88">
            <v>59.201999999999998</v>
          </cell>
          <cell r="FZ88">
            <v>59.201999999999998</v>
          </cell>
          <cell r="GI88">
            <v>59.201999999999998</v>
          </cell>
          <cell r="GR88">
            <v>114.092</v>
          </cell>
        </row>
        <row r="89">
          <cell r="A89">
            <v>239</v>
          </cell>
          <cell r="B89" t="str">
            <v>IPRM</v>
          </cell>
          <cell r="C89" t="str">
            <v>NM</v>
          </cell>
          <cell r="D89" t="str">
            <v>FEED FOR ITC</v>
          </cell>
          <cell r="E89" t="str">
            <v>FEED FOR ITC</v>
          </cell>
          <cell r="O89">
            <v>0</v>
          </cell>
          <cell r="Z89">
            <v>509.83</v>
          </cell>
          <cell r="AI89">
            <v>133.976</v>
          </cell>
          <cell r="CK89">
            <v>247.38480000000001</v>
          </cell>
        </row>
        <row r="90">
          <cell r="A90">
            <v>240</v>
          </cell>
          <cell r="B90" t="str">
            <v>IPRM</v>
          </cell>
          <cell r="C90" t="str">
            <v>NM</v>
          </cell>
          <cell r="D90" t="str">
            <v>MUSTARD-MCT</v>
          </cell>
          <cell r="E90" t="str">
            <v>MUSTARD-MCT</v>
          </cell>
          <cell r="O90">
            <v>0</v>
          </cell>
          <cell r="Y90">
            <v>172.34</v>
          </cell>
          <cell r="AH90">
            <v>182.13</v>
          </cell>
          <cell r="AQ90">
            <v>236.41</v>
          </cell>
          <cell r="AZ90">
            <v>201.9</v>
          </cell>
          <cell r="BI90">
            <v>201.9</v>
          </cell>
          <cell r="BJ90">
            <v>65.810700000000011</v>
          </cell>
          <cell r="BR90">
            <v>220.85</v>
          </cell>
          <cell r="BS90">
            <v>293.37299999999999</v>
          </cell>
          <cell r="CA90">
            <v>309.113</v>
          </cell>
          <cell r="CB90">
            <v>228.36</v>
          </cell>
          <cell r="CJ90">
            <v>199.01</v>
          </cell>
          <cell r="CK90">
            <v>352.84399999999999</v>
          </cell>
          <cell r="CS90">
            <v>351.5</v>
          </cell>
          <cell r="CT90">
            <v>235.28</v>
          </cell>
          <cell r="DB90">
            <v>137.1</v>
          </cell>
          <cell r="DC90">
            <v>523.31020000000001</v>
          </cell>
          <cell r="DK90">
            <v>29.8935</v>
          </cell>
          <cell r="DL90">
            <v>161.75200000000001</v>
          </cell>
          <cell r="DR90">
            <v>16.100000000000001</v>
          </cell>
          <cell r="DT90">
            <v>29.8935</v>
          </cell>
          <cell r="DU90">
            <v>102.315</v>
          </cell>
          <cell r="EC90">
            <v>29.8935</v>
          </cell>
          <cell r="ED90">
            <v>108.8202</v>
          </cell>
          <cell r="EL90">
            <v>29.8935</v>
          </cell>
          <cell r="EM90">
            <v>108.8202</v>
          </cell>
          <cell r="EU90">
            <v>29.8935</v>
          </cell>
          <cell r="EV90">
            <v>125.08319999999999</v>
          </cell>
          <cell r="FD90">
            <v>29.8935</v>
          </cell>
          <cell r="FE90">
            <v>120.2043</v>
          </cell>
          <cell r="FM90">
            <v>29.8935</v>
          </cell>
          <cell r="FN90">
            <v>120.2043</v>
          </cell>
          <cell r="FV90">
            <v>29.8935</v>
          </cell>
          <cell r="FW90">
            <v>126.70950000000001</v>
          </cell>
          <cell r="GE90">
            <v>29.8935</v>
          </cell>
          <cell r="GF90">
            <v>118.578</v>
          </cell>
          <cell r="GN90">
            <v>29.3825</v>
          </cell>
          <cell r="GO90">
            <v>118.578</v>
          </cell>
        </row>
        <row r="91">
          <cell r="A91">
            <v>242</v>
          </cell>
          <cell r="B91" t="str">
            <v>IPRM</v>
          </cell>
          <cell r="C91" t="str">
            <v>NM</v>
          </cell>
          <cell r="D91" t="str">
            <v>HYD STEARIC-90</v>
          </cell>
          <cell r="E91" t="str">
            <v>HYD STEARIC-90</v>
          </cell>
          <cell r="CJ91">
            <v>86.563000000000002</v>
          </cell>
          <cell r="CS91">
            <v>28.955380000000002</v>
          </cell>
        </row>
        <row r="92">
          <cell r="D92" t="str">
            <v>IPRM TOTAL</v>
          </cell>
          <cell r="F92">
            <v>492.17799999999994</v>
          </cell>
          <cell r="G92">
            <v>6079.0820000000012</v>
          </cell>
          <cell r="H92">
            <v>3252.7</v>
          </cell>
          <cell r="I92">
            <v>1064.6999999999998</v>
          </cell>
          <cell r="J92">
            <v>31.86</v>
          </cell>
          <cell r="K92">
            <v>0</v>
          </cell>
          <cell r="L92">
            <v>4.5</v>
          </cell>
          <cell r="M92">
            <v>0</v>
          </cell>
          <cell r="N92">
            <v>0</v>
          </cell>
          <cell r="O92">
            <v>10925.019999999999</v>
          </cell>
          <cell r="P92">
            <v>510.85247000000004</v>
          </cell>
          <cell r="Q92">
            <v>5829.029700000001</v>
          </cell>
          <cell r="R92">
            <v>3162.4300000000003</v>
          </cell>
          <cell r="S92">
            <v>1240.8000000000002</v>
          </cell>
          <cell r="T92">
            <v>122.91</v>
          </cell>
          <cell r="U92">
            <v>0</v>
          </cell>
          <cell r="V92">
            <v>4.5</v>
          </cell>
          <cell r="W92">
            <v>159.49</v>
          </cell>
          <cell r="X92">
            <v>0</v>
          </cell>
          <cell r="Y92">
            <v>452.62147000000004</v>
          </cell>
          <cell r="Z92">
            <v>6754.2563624000004</v>
          </cell>
          <cell r="AA92">
            <v>2999.54</v>
          </cell>
          <cell r="AB92">
            <v>1181.4000000000001</v>
          </cell>
          <cell r="AC92">
            <v>148.4</v>
          </cell>
          <cell r="AD92">
            <v>0</v>
          </cell>
          <cell r="AE92">
            <v>4.5</v>
          </cell>
          <cell r="AF92">
            <v>100.88999999999999</v>
          </cell>
          <cell r="AG92">
            <v>0</v>
          </cell>
          <cell r="AH92">
            <v>865.42363799999998</v>
          </cell>
          <cell r="AI92">
            <v>6816.5959023999994</v>
          </cell>
          <cell r="AJ92">
            <v>3095.88</v>
          </cell>
          <cell r="AK92">
            <v>1924.8999999999999</v>
          </cell>
          <cell r="AL92">
            <v>191.95800000000003</v>
          </cell>
          <cell r="AM92">
            <v>0</v>
          </cell>
          <cell r="AN92">
            <v>4.5</v>
          </cell>
          <cell r="AO92">
            <v>178.04999999999998</v>
          </cell>
          <cell r="AP92">
            <v>0</v>
          </cell>
          <cell r="AQ92">
            <v>765.44913799999995</v>
          </cell>
          <cell r="AR92">
            <v>6144.3272823999987</v>
          </cell>
          <cell r="AS92">
            <v>3146.3800000000006</v>
          </cell>
          <cell r="AT92">
            <v>1381.3</v>
          </cell>
          <cell r="AU92">
            <v>174.29400000000001</v>
          </cell>
          <cell r="AV92">
            <v>0</v>
          </cell>
          <cell r="AW92">
            <v>4.5</v>
          </cell>
          <cell r="AX92">
            <v>118.54</v>
          </cell>
          <cell r="AY92">
            <v>0</v>
          </cell>
          <cell r="AZ92">
            <v>944.56196799999987</v>
          </cell>
          <cell r="BA92">
            <v>6152.7574824000003</v>
          </cell>
          <cell r="BB92">
            <v>2965.49</v>
          </cell>
          <cell r="BC92">
            <v>1171.5999999999999</v>
          </cell>
          <cell r="BD92">
            <v>174.29400000000001</v>
          </cell>
          <cell r="BE92">
            <v>0</v>
          </cell>
          <cell r="BF92">
            <v>4.5</v>
          </cell>
          <cell r="BG92">
            <v>0</v>
          </cell>
          <cell r="BH92">
            <v>0</v>
          </cell>
          <cell r="BI92">
            <v>1460.8514499999999</v>
          </cell>
          <cell r="BJ92">
            <v>6255.9031823999985</v>
          </cell>
          <cell r="BK92">
            <v>3459.29</v>
          </cell>
          <cell r="BL92">
            <v>1344.1999999999998</v>
          </cell>
          <cell r="BM92">
            <v>174.29400000000001</v>
          </cell>
          <cell r="BN92">
            <v>0</v>
          </cell>
          <cell r="BO92">
            <v>4.5</v>
          </cell>
          <cell r="BP92">
            <v>0</v>
          </cell>
          <cell r="BQ92">
            <v>0</v>
          </cell>
          <cell r="BR92">
            <v>1745.34735</v>
          </cell>
          <cell r="BS92">
            <v>6766.7559423999992</v>
          </cell>
          <cell r="BT92">
            <v>3073.29</v>
          </cell>
          <cell r="BU92">
            <v>1296.7</v>
          </cell>
          <cell r="BV92">
            <v>174.29400000000001</v>
          </cell>
          <cell r="BW92">
            <v>0</v>
          </cell>
          <cell r="BX92">
            <v>4.5</v>
          </cell>
          <cell r="BY92">
            <v>101.64</v>
          </cell>
          <cell r="BZ92">
            <v>0</v>
          </cell>
          <cell r="CA92">
            <v>1498.1186700000001</v>
          </cell>
          <cell r="CB92">
            <v>7524.6003423999991</v>
          </cell>
          <cell r="CC92">
            <v>3262</v>
          </cell>
          <cell r="CD92">
            <v>1473.6999999999998</v>
          </cell>
          <cell r="CE92">
            <v>44.16</v>
          </cell>
          <cell r="CF92">
            <v>4.5</v>
          </cell>
          <cell r="CG92">
            <v>0</v>
          </cell>
          <cell r="CH92">
            <v>28.42</v>
          </cell>
          <cell r="CI92">
            <v>0</v>
          </cell>
          <cell r="CJ92">
            <v>1158.6601700000001</v>
          </cell>
          <cell r="CK92">
            <v>7471.723252400001</v>
          </cell>
          <cell r="CL92">
            <v>3594.3200000000006</v>
          </cell>
          <cell r="CM92">
            <v>1860</v>
          </cell>
          <cell r="CN92">
            <v>1.242</v>
          </cell>
          <cell r="CO92">
            <v>0</v>
          </cell>
          <cell r="CP92">
            <v>4.5</v>
          </cell>
          <cell r="CQ92">
            <v>0</v>
          </cell>
          <cell r="CR92">
            <v>0</v>
          </cell>
          <cell r="CS92">
            <v>829.66334800000004</v>
          </cell>
          <cell r="CT92">
            <v>6943.1349524000007</v>
          </cell>
          <cell r="CU92">
            <v>3840.88</v>
          </cell>
          <cell r="CV92">
            <v>2118.1999999999998</v>
          </cell>
          <cell r="CW92">
            <v>3.8319999999999999</v>
          </cell>
          <cell r="CX92">
            <v>0</v>
          </cell>
          <cell r="CY92">
            <v>4.5</v>
          </cell>
          <cell r="CZ92">
            <v>95.83</v>
          </cell>
          <cell r="DA92">
            <v>0</v>
          </cell>
          <cell r="DB92">
            <v>765.07406800000012</v>
          </cell>
          <cell r="DC92">
            <v>6805.6560524000015</v>
          </cell>
          <cell r="DD92">
            <v>4025.17</v>
          </cell>
          <cell r="DE92">
            <v>1079.5</v>
          </cell>
          <cell r="DF92">
            <v>0</v>
          </cell>
          <cell r="DG92">
            <v>0</v>
          </cell>
          <cell r="DH92">
            <v>4.5</v>
          </cell>
          <cell r="DI92">
            <v>0</v>
          </cell>
          <cell r="DJ92">
            <v>0</v>
          </cell>
          <cell r="DK92">
            <v>894.87852999999984</v>
          </cell>
          <cell r="DL92">
            <v>5994.0850524000007</v>
          </cell>
          <cell r="DM92">
            <v>4395.21</v>
          </cell>
          <cell r="DN92">
            <v>776.7</v>
          </cell>
          <cell r="DO92">
            <v>0</v>
          </cell>
          <cell r="DP92">
            <v>0</v>
          </cell>
          <cell r="DQ92">
            <v>4.5</v>
          </cell>
          <cell r="DR92">
            <v>16.100000000000001</v>
          </cell>
          <cell r="DS92">
            <v>0</v>
          </cell>
          <cell r="DT92">
            <v>722.17438000000004</v>
          </cell>
          <cell r="DU92">
            <v>5676.8534523999988</v>
          </cell>
          <cell r="DV92">
            <v>4625.7300000000005</v>
          </cell>
          <cell r="DW92">
            <v>554.4</v>
          </cell>
          <cell r="DX92">
            <v>72.81</v>
          </cell>
          <cell r="DY92">
            <v>0</v>
          </cell>
          <cell r="DZ92">
            <v>4.5</v>
          </cell>
          <cell r="EA92">
            <v>91.22999999999999</v>
          </cell>
          <cell r="EB92">
            <v>0</v>
          </cell>
          <cell r="EC92">
            <v>1068.38688</v>
          </cell>
          <cell r="ED92">
            <v>5324.3192523999996</v>
          </cell>
          <cell r="EE92">
            <v>4630.29</v>
          </cell>
          <cell r="EF92">
            <v>1152.5999999999999</v>
          </cell>
          <cell r="EG92">
            <v>16.149999999999999</v>
          </cell>
          <cell r="EH92">
            <v>400.09</v>
          </cell>
          <cell r="EI92">
            <v>4.5</v>
          </cell>
          <cell r="EJ92">
            <v>111.23</v>
          </cell>
          <cell r="EK92">
            <v>0</v>
          </cell>
          <cell r="EL92">
            <v>985.62799999999993</v>
          </cell>
          <cell r="EM92">
            <v>4698.1532523999995</v>
          </cell>
          <cell r="EN92">
            <v>4426.3600000000006</v>
          </cell>
          <cell r="EO92">
            <v>895.2</v>
          </cell>
          <cell r="EP92">
            <v>59.174999999999997</v>
          </cell>
          <cell r="EQ92">
            <v>0</v>
          </cell>
          <cell r="ER92">
            <v>4.5</v>
          </cell>
          <cell r="ES92">
            <v>98.490000000000009</v>
          </cell>
          <cell r="ET92">
            <v>0</v>
          </cell>
          <cell r="EU92">
            <v>1128.6744999999999</v>
          </cell>
          <cell r="EV92">
            <v>4493.5325049000003</v>
          </cell>
          <cell r="EW92">
            <v>4142.82</v>
          </cell>
          <cell r="EX92">
            <v>1330.3000000000002</v>
          </cell>
          <cell r="EY92">
            <v>97.317000000000007</v>
          </cell>
          <cell r="EZ92">
            <v>0</v>
          </cell>
          <cell r="FA92">
            <v>4.5</v>
          </cell>
          <cell r="FB92">
            <v>30.33</v>
          </cell>
          <cell r="FC92">
            <v>0</v>
          </cell>
          <cell r="FD92">
            <v>712.85050000000001</v>
          </cell>
          <cell r="FE92">
            <v>4831.3178524000004</v>
          </cell>
          <cell r="FF92">
            <v>3931.28</v>
          </cell>
          <cell r="FG92">
            <v>1468.3019999999999</v>
          </cell>
          <cell r="FH92">
            <v>0</v>
          </cell>
          <cell r="FI92">
            <v>0</v>
          </cell>
          <cell r="FJ92">
            <v>4.5</v>
          </cell>
          <cell r="FK92">
            <v>0</v>
          </cell>
          <cell r="FL92">
            <v>0</v>
          </cell>
          <cell r="FM92">
            <v>789.18649999999991</v>
          </cell>
          <cell r="FN92">
            <v>4934.3272049000007</v>
          </cell>
          <cell r="FO92">
            <v>3916.7999999999997</v>
          </cell>
          <cell r="FP92">
            <v>1394.9078999999999</v>
          </cell>
          <cell r="FQ92">
            <v>76.141999999999996</v>
          </cell>
          <cell r="FR92">
            <v>0</v>
          </cell>
          <cell r="FS92">
            <v>0</v>
          </cell>
          <cell r="FT92">
            <v>30.46</v>
          </cell>
          <cell r="FU92">
            <v>0</v>
          </cell>
          <cell r="FV92">
            <v>919.94857000000013</v>
          </cell>
          <cell r="FW92">
            <v>4600.1617048999997</v>
          </cell>
          <cell r="FX92">
            <v>4012.92</v>
          </cell>
          <cell r="FY92">
            <v>1560.4165714285716</v>
          </cell>
          <cell r="FZ92">
            <v>59.201999999999998</v>
          </cell>
          <cell r="GA92">
            <v>4.5</v>
          </cell>
          <cell r="GB92">
            <v>0</v>
          </cell>
          <cell r="GC92">
            <v>52.58</v>
          </cell>
          <cell r="GD92">
            <v>0</v>
          </cell>
          <cell r="GE92">
            <v>642.33596799999998</v>
          </cell>
          <cell r="GF92">
            <v>4473.643004900001</v>
          </cell>
          <cell r="GG92">
            <v>4180.6000000000004</v>
          </cell>
          <cell r="GH92">
            <v>990.44614285714272</v>
          </cell>
          <cell r="GI92">
            <v>59.201999999999998</v>
          </cell>
          <cell r="GJ92">
            <v>0</v>
          </cell>
          <cell r="GK92">
            <v>4.5</v>
          </cell>
          <cell r="GL92">
            <v>0</v>
          </cell>
          <cell r="GM92">
            <v>0</v>
          </cell>
          <cell r="GN92">
            <v>331.049688</v>
          </cell>
          <cell r="GO92">
            <v>4742.3798049000006</v>
          </cell>
          <cell r="GP92">
            <v>4073.53</v>
          </cell>
          <cell r="GQ92">
            <v>674.12136428571444</v>
          </cell>
          <cell r="GR92">
            <v>114.092</v>
          </cell>
          <cell r="GS92">
            <v>0</v>
          </cell>
          <cell r="GT92">
            <v>4.5</v>
          </cell>
          <cell r="GU92">
            <v>100.15</v>
          </cell>
          <cell r="GV92">
            <v>0</v>
          </cell>
        </row>
        <row r="93">
          <cell r="A93" t="str">
            <v>FATTY ACID FINISHED PRODUCTS</v>
          </cell>
        </row>
        <row r="94">
          <cell r="A94">
            <v>80</v>
          </cell>
          <cell r="B94" t="str">
            <v>FG</v>
          </cell>
          <cell r="C94" t="str">
            <v>FM</v>
          </cell>
          <cell r="D94" t="str">
            <v>CPKO/MUSTO/MIX II RESIDUE</v>
          </cell>
          <cell r="E94" t="str">
            <v>PITCH</v>
          </cell>
          <cell r="F94">
            <v>151.6275</v>
          </cell>
          <cell r="H94">
            <v>1381.27</v>
          </cell>
          <cell r="O94">
            <v>1532.8975</v>
          </cell>
          <cell r="P94">
            <v>152.946</v>
          </cell>
          <cell r="R94">
            <v>1365.27</v>
          </cell>
          <cell r="Y94">
            <v>152.946</v>
          </cell>
          <cell r="AA94">
            <v>1365.27</v>
          </cell>
          <cell r="AH94">
            <v>150.309</v>
          </cell>
          <cell r="AJ94">
            <v>1365.27</v>
          </cell>
          <cell r="AQ94">
            <v>208.32</v>
          </cell>
          <cell r="AS94">
            <v>1545.69</v>
          </cell>
          <cell r="AZ94">
            <v>222.82650000000001</v>
          </cell>
          <cell r="BB94">
            <v>1582.56</v>
          </cell>
          <cell r="BI94">
            <v>222.82650000000001</v>
          </cell>
          <cell r="BK94">
            <v>1404.9499999999998</v>
          </cell>
          <cell r="BR94">
            <v>210.96</v>
          </cell>
          <cell r="BT94">
            <v>1379.07</v>
          </cell>
          <cell r="CA94">
            <v>131.85</v>
          </cell>
          <cell r="CC94">
            <v>1140.2199999999998</v>
          </cell>
          <cell r="CJ94">
            <v>102.843</v>
          </cell>
          <cell r="CL94">
            <v>972.09999999999991</v>
          </cell>
          <cell r="CS94">
            <v>179.316</v>
          </cell>
          <cell r="CU94">
            <v>696.49</v>
          </cell>
          <cell r="DB94">
            <v>102.843</v>
          </cell>
          <cell r="DD94">
            <v>193.81200000000001</v>
          </cell>
          <cell r="DK94">
            <v>11.8665</v>
          </cell>
          <cell r="DT94">
            <v>163.494</v>
          </cell>
          <cell r="EC94">
            <v>255.149</v>
          </cell>
          <cell r="EL94">
            <v>280.92</v>
          </cell>
          <cell r="EU94">
            <v>224.14500000000001</v>
          </cell>
          <cell r="FD94">
            <v>192.501</v>
          </cell>
          <cell r="FM94">
            <v>179.316</v>
          </cell>
          <cell r="FV94">
            <v>177.9975</v>
          </cell>
          <cell r="GE94">
            <v>220.66</v>
          </cell>
          <cell r="GN94">
            <v>322.45999999999998</v>
          </cell>
        </row>
        <row r="95">
          <cell r="A95">
            <v>81</v>
          </cell>
          <cell r="B95" t="str">
            <v>FG</v>
          </cell>
          <cell r="C95" t="str">
            <v>FM</v>
          </cell>
          <cell r="D95" t="str">
            <v>JBS(80:20)</v>
          </cell>
          <cell r="E95" t="str">
            <v>JBS(80:20)</v>
          </cell>
          <cell r="O95">
            <v>0</v>
          </cell>
          <cell r="S95">
            <v>0</v>
          </cell>
          <cell r="AB95">
            <v>262.2</v>
          </cell>
          <cell r="AK95">
            <v>217.4</v>
          </cell>
          <cell r="BC95">
            <v>377.3</v>
          </cell>
          <cell r="BL95">
            <v>179</v>
          </cell>
          <cell r="BU95">
            <v>44.8</v>
          </cell>
          <cell r="CD95">
            <v>153.5</v>
          </cell>
          <cell r="CM95">
            <v>121.5</v>
          </cell>
          <cell r="CW95">
            <v>40</v>
          </cell>
          <cell r="DE95">
            <v>16</v>
          </cell>
          <cell r="DN95">
            <v>48.6</v>
          </cell>
          <cell r="DW95">
            <v>88.9</v>
          </cell>
          <cell r="EF95">
            <v>112.5</v>
          </cell>
          <cell r="EO95">
            <v>272.10000000000002</v>
          </cell>
          <cell r="EX95">
            <v>236</v>
          </cell>
          <cell r="FD95">
            <v>133.613</v>
          </cell>
          <cell r="FG95">
            <v>54.4</v>
          </cell>
          <cell r="FK95">
            <v>15</v>
          </cell>
          <cell r="FM95">
            <v>81.284379999999999</v>
          </cell>
          <cell r="FP95">
            <v>97.835849999999994</v>
          </cell>
          <cell r="FV95">
            <v>81.284379999999999</v>
          </cell>
          <cell r="FY95">
            <v>97.196399999999997</v>
          </cell>
          <cell r="GH95">
            <v>179.68545000000003</v>
          </cell>
        </row>
        <row r="96">
          <cell r="A96">
            <v>82</v>
          </cell>
          <cell r="B96" t="str">
            <v>FG</v>
          </cell>
          <cell r="C96" t="str">
            <v>FM</v>
          </cell>
          <cell r="D96" t="str">
            <v>TRANSLUCENT</v>
          </cell>
          <cell r="E96" t="str">
            <v>TRANSLUCENT</v>
          </cell>
          <cell r="J96">
            <v>51.58</v>
          </cell>
          <cell r="O96">
            <v>51.58</v>
          </cell>
          <cell r="T96">
            <v>2.198</v>
          </cell>
          <cell r="AC96">
            <v>1.02</v>
          </cell>
          <cell r="AI96">
            <v>98.965999999999994</v>
          </cell>
          <cell r="AL96">
            <v>96.29</v>
          </cell>
          <cell r="AR96">
            <v>206.661</v>
          </cell>
          <cell r="AU96">
            <v>96.29</v>
          </cell>
          <cell r="BA96">
            <v>117.241</v>
          </cell>
          <cell r="BD96">
            <v>75.959999999999994</v>
          </cell>
          <cell r="BJ96">
            <v>44.140999999999998</v>
          </cell>
          <cell r="BM96">
            <v>60.06</v>
          </cell>
          <cell r="BV96">
            <v>46.86</v>
          </cell>
          <cell r="CA96">
            <v>76.23</v>
          </cell>
          <cell r="CE96">
            <v>96.91</v>
          </cell>
          <cell r="CJ96">
            <v>28.71</v>
          </cell>
          <cell r="CN96">
            <v>96.91</v>
          </cell>
          <cell r="DX96">
            <v>5.22</v>
          </cell>
          <cell r="EG96">
            <v>5.22</v>
          </cell>
          <cell r="EP96">
            <v>5.22</v>
          </cell>
          <cell r="FG96">
            <v>12.72</v>
          </cell>
          <cell r="FQ96">
            <v>82.27</v>
          </cell>
          <cell r="FZ96">
            <v>82.27</v>
          </cell>
          <cell r="GI96">
            <v>82.27</v>
          </cell>
          <cell r="GN96">
            <v>45</v>
          </cell>
          <cell r="GR96">
            <v>6.96</v>
          </cell>
        </row>
        <row r="97">
          <cell r="A97">
            <v>83</v>
          </cell>
          <cell r="B97" t="str">
            <v>FG</v>
          </cell>
          <cell r="C97" t="str">
            <v>FM</v>
          </cell>
          <cell r="D97" t="str">
            <v>D.S.B</v>
          </cell>
          <cell r="E97" t="str">
            <v>DPFAD 70% + SDD PKO RES 30%</v>
          </cell>
          <cell r="I97">
            <v>21.8</v>
          </cell>
          <cell r="O97">
            <v>21.8</v>
          </cell>
          <cell r="S97">
            <v>35.200000000000003</v>
          </cell>
          <cell r="AB97">
            <v>44.8</v>
          </cell>
          <cell r="AI97">
            <v>97.266000000000005</v>
          </cell>
          <cell r="AT97">
            <v>168.8</v>
          </cell>
          <cell r="BC97">
            <v>7.7</v>
          </cell>
          <cell r="CD97">
            <v>63.9</v>
          </cell>
          <cell r="CM97">
            <v>153.5</v>
          </cell>
          <cell r="CV97">
            <v>166.3</v>
          </cell>
          <cell r="EF97">
            <v>262.2</v>
          </cell>
          <cell r="EO97">
            <v>281.39999999999998</v>
          </cell>
          <cell r="FG97">
            <v>44.8</v>
          </cell>
          <cell r="FK97">
            <v>60</v>
          </cell>
          <cell r="FM97">
            <v>94.545000000000002</v>
          </cell>
          <cell r="FP97">
            <v>338.9</v>
          </cell>
          <cell r="FT97">
            <v>30.99</v>
          </cell>
          <cell r="FV97">
            <v>76.23</v>
          </cell>
          <cell r="FY97">
            <v>402.9</v>
          </cell>
          <cell r="GC97">
            <v>64.88</v>
          </cell>
          <cell r="GE97">
            <v>36.134999999999998</v>
          </cell>
          <cell r="GH97">
            <v>274.96350000000001</v>
          </cell>
          <cell r="GL97">
            <v>34</v>
          </cell>
          <cell r="GQ97">
            <v>161.78085000000002</v>
          </cell>
        </row>
        <row r="98">
          <cell r="A98">
            <v>84</v>
          </cell>
          <cell r="B98" t="str">
            <v>FG</v>
          </cell>
          <cell r="C98" t="str">
            <v>FM</v>
          </cell>
          <cell r="D98" t="str">
            <v>JO BLEND</v>
          </cell>
          <cell r="E98" t="str">
            <v>JO BLEND</v>
          </cell>
          <cell r="J98">
            <v>143.51</v>
          </cell>
          <cell r="O98">
            <v>143.51</v>
          </cell>
          <cell r="T98">
            <v>3.992</v>
          </cell>
          <cell r="AC98">
            <v>118.97199999999999</v>
          </cell>
          <cell r="AF98">
            <v>115.07000000000001</v>
          </cell>
          <cell r="AL98">
            <v>2.198</v>
          </cell>
          <cell r="AU98">
            <v>92.304000000000002</v>
          </cell>
          <cell r="BD98">
            <v>37.119999999999997</v>
          </cell>
          <cell r="BG98">
            <v>14.54</v>
          </cell>
          <cell r="BI98">
            <v>71.28</v>
          </cell>
          <cell r="DK98">
            <v>34.155000000000001</v>
          </cell>
          <cell r="DN98">
            <v>172.7</v>
          </cell>
          <cell r="DR98">
            <v>49.78</v>
          </cell>
          <cell r="EX98">
            <v>249.4</v>
          </cell>
          <cell r="FG98">
            <v>409.2</v>
          </cell>
        </row>
        <row r="99">
          <cell r="A99">
            <v>85</v>
          </cell>
          <cell r="B99" t="str">
            <v>FG</v>
          </cell>
          <cell r="C99" t="str">
            <v>FM</v>
          </cell>
          <cell r="D99" t="str">
            <v>ITC</v>
          </cell>
          <cell r="E99" t="str">
            <v>DPFAD 70% + DCPS 30%</v>
          </cell>
          <cell r="O99">
            <v>0</v>
          </cell>
          <cell r="AK99">
            <v>40.299999999999997</v>
          </cell>
          <cell r="CV99">
            <v>1.3</v>
          </cell>
        </row>
        <row r="100">
          <cell r="A100">
            <v>86</v>
          </cell>
          <cell r="B100" t="str">
            <v>FG</v>
          </cell>
          <cell r="C100" t="str">
            <v>FM</v>
          </cell>
          <cell r="D100" t="str">
            <v>DDPKORESIDUEFA</v>
          </cell>
          <cell r="E100" t="str">
            <v>S DD PKO RES</v>
          </cell>
          <cell r="O100">
            <v>0</v>
          </cell>
        </row>
        <row r="101">
          <cell r="A101">
            <v>87</v>
          </cell>
          <cell r="B101" t="str">
            <v>FG</v>
          </cell>
          <cell r="C101" t="str">
            <v>FM</v>
          </cell>
          <cell r="D101" t="str">
            <v>DRBDPS FOR P-12</v>
          </cell>
          <cell r="E101" t="str">
            <v>DRBDPS/CPS 65%+B/P PKO 35%</v>
          </cell>
          <cell r="O101">
            <v>0</v>
          </cell>
        </row>
        <row r="102">
          <cell r="A102">
            <v>88</v>
          </cell>
          <cell r="B102" t="str">
            <v>FG</v>
          </cell>
          <cell r="C102" t="str">
            <v>FM</v>
          </cell>
          <cell r="D102" t="str">
            <v>DPKO</v>
          </cell>
          <cell r="E102" t="str">
            <v>D C12-C18</v>
          </cell>
          <cell r="I102">
            <v>100.4</v>
          </cell>
          <cell r="O102">
            <v>100.4</v>
          </cell>
          <cell r="Q102">
            <v>82.816000000000003</v>
          </cell>
          <cell r="S102">
            <v>99.8</v>
          </cell>
          <cell r="Z102">
            <v>61.566000000000003</v>
          </cell>
          <cell r="AB102">
            <v>99.8</v>
          </cell>
          <cell r="AI102">
            <v>93.866</v>
          </cell>
          <cell r="AK102">
            <v>166.3</v>
          </cell>
          <cell r="AR102">
            <v>24.591000000000001</v>
          </cell>
          <cell r="AT102">
            <v>9.6</v>
          </cell>
          <cell r="BA102">
            <v>119.366</v>
          </cell>
          <cell r="BC102">
            <v>150.9</v>
          </cell>
          <cell r="BJ102">
            <v>8.016</v>
          </cell>
          <cell r="BL102">
            <v>63.3</v>
          </cell>
          <cell r="BU102">
            <v>88.9</v>
          </cell>
          <cell r="CA102">
            <v>12.375</v>
          </cell>
          <cell r="CD102">
            <v>130.4</v>
          </cell>
          <cell r="CM102">
            <v>74.8</v>
          </cell>
          <cell r="CV102">
            <v>2.6</v>
          </cell>
          <cell r="DB102">
            <v>37.619999999999997</v>
          </cell>
          <cell r="DE102">
            <v>35.799999999999997</v>
          </cell>
          <cell r="DK102">
            <v>16.335000000000001</v>
          </cell>
          <cell r="DN102">
            <v>279.39999999999998</v>
          </cell>
          <cell r="DT102">
            <v>12.375</v>
          </cell>
          <cell r="DW102">
            <v>108.7</v>
          </cell>
          <cell r="EF102">
            <v>82.5</v>
          </cell>
          <cell r="EL102">
            <v>94.545000000000002</v>
          </cell>
          <cell r="EO102">
            <v>154.1</v>
          </cell>
          <cell r="EU102">
            <v>77.715000000000003</v>
          </cell>
          <cell r="EX102">
            <v>70.3</v>
          </cell>
          <cell r="FD102">
            <v>30.195</v>
          </cell>
          <cell r="FG102">
            <v>87</v>
          </cell>
          <cell r="FM102">
            <v>126.72</v>
          </cell>
          <cell r="FP102">
            <v>163.69919999999999</v>
          </cell>
          <cell r="FV102">
            <v>126.22499999999999</v>
          </cell>
          <cell r="FY102">
            <v>163.05975000000001</v>
          </cell>
          <cell r="GE102">
            <v>55.44</v>
          </cell>
          <cell r="GH102">
            <v>221.88915</v>
          </cell>
          <cell r="GN102">
            <v>10.89</v>
          </cell>
          <cell r="GQ102">
            <v>102.31200000000001</v>
          </cell>
        </row>
        <row r="103">
          <cell r="A103">
            <v>89</v>
          </cell>
          <cell r="B103" t="str">
            <v>FG</v>
          </cell>
          <cell r="C103" t="str">
            <v>FM</v>
          </cell>
          <cell r="D103" t="str">
            <v>DPFAD</v>
          </cell>
          <cell r="E103" t="str">
            <v>DPFAD</v>
          </cell>
          <cell r="O103">
            <v>0</v>
          </cell>
          <cell r="Z103">
            <v>23.741</v>
          </cell>
          <cell r="AK103">
            <v>230.2</v>
          </cell>
          <cell r="BA103">
            <v>50.405000000000001</v>
          </cell>
          <cell r="BC103">
            <v>38.4</v>
          </cell>
          <cell r="BG103">
            <v>14.53</v>
          </cell>
          <cell r="BL103">
            <v>377.3</v>
          </cell>
          <cell r="BU103">
            <v>227</v>
          </cell>
          <cell r="CD103">
            <v>7.7</v>
          </cell>
          <cell r="DB103">
            <v>119.295</v>
          </cell>
          <cell r="DE103">
            <v>12.8</v>
          </cell>
          <cell r="DI103">
            <v>146.30000000000001</v>
          </cell>
          <cell r="DN103">
            <v>441.2</v>
          </cell>
          <cell r="DW103">
            <v>63.9</v>
          </cell>
          <cell r="EP103">
            <v>37.206000000000003</v>
          </cell>
          <cell r="EY103">
            <v>113.328</v>
          </cell>
          <cell r="FG103">
            <v>145.005</v>
          </cell>
          <cell r="FQ103">
            <v>73.325999999999993</v>
          </cell>
          <cell r="FZ103">
            <v>91.906999999999996</v>
          </cell>
          <cell r="GI103">
            <v>108.52500000000001</v>
          </cell>
          <cell r="GR103">
            <v>140.52600000000001</v>
          </cell>
        </row>
        <row r="104">
          <cell r="A104">
            <v>90</v>
          </cell>
          <cell r="B104" t="str">
            <v>FG</v>
          </cell>
          <cell r="C104" t="str">
            <v>NM</v>
          </cell>
          <cell r="D104" t="str">
            <v>C6&gt;98%</v>
          </cell>
          <cell r="E104" t="str">
            <v>C6&gt;98%</v>
          </cell>
          <cell r="F104">
            <v>50.282000000000004</v>
          </cell>
          <cell r="O104">
            <v>50.282000000000004</v>
          </cell>
          <cell r="P104">
            <v>54.152000000000001</v>
          </cell>
          <cell r="Y104">
            <v>43.832000000000001</v>
          </cell>
          <cell r="AH104">
            <v>49.637</v>
          </cell>
          <cell r="AQ104">
            <v>67.697000000000003</v>
          </cell>
          <cell r="AZ104">
            <v>7.7119999999999997</v>
          </cell>
          <cell r="BI104">
            <v>9.0020000000000007</v>
          </cell>
          <cell r="BR104">
            <v>7.7119999999999997</v>
          </cell>
          <cell r="CA104">
            <v>16.742000000000001</v>
          </cell>
          <cell r="CJ104">
            <v>16.742000000000001</v>
          </cell>
          <cell r="CS104">
            <v>16.742000000000001</v>
          </cell>
          <cell r="DB104">
            <v>16.742000000000001</v>
          </cell>
          <cell r="DK104">
            <v>16.742000000000001</v>
          </cell>
          <cell r="DT104">
            <v>16.742000000000001</v>
          </cell>
          <cell r="EC104">
            <v>16.742000000000001</v>
          </cell>
          <cell r="EL104">
            <v>16.742000000000001</v>
          </cell>
          <cell r="EU104">
            <v>16.742000000000001</v>
          </cell>
          <cell r="FD104">
            <v>16.742000000000001</v>
          </cell>
          <cell r="FM104">
            <v>16.742000000000001</v>
          </cell>
          <cell r="FV104">
            <v>21.256999999999998</v>
          </cell>
          <cell r="GE104">
            <v>61.892000000000003</v>
          </cell>
          <cell r="GN104">
            <v>2.81</v>
          </cell>
        </row>
        <row r="105">
          <cell r="A105">
            <v>91</v>
          </cell>
          <cell r="B105" t="str">
            <v>FG</v>
          </cell>
          <cell r="C105" t="str">
            <v>FM</v>
          </cell>
          <cell r="D105" t="str">
            <v>C8&gt;98%</v>
          </cell>
          <cell r="E105" t="str">
            <v>C8&gt;98%</v>
          </cell>
          <cell r="F105">
            <v>145.53</v>
          </cell>
          <cell r="G105">
            <v>33.83</v>
          </cell>
          <cell r="O105">
            <v>179.36</v>
          </cell>
          <cell r="P105">
            <v>90.584999999999994</v>
          </cell>
          <cell r="Q105">
            <v>33.83</v>
          </cell>
          <cell r="Y105">
            <v>152.46</v>
          </cell>
          <cell r="Z105">
            <v>33.83</v>
          </cell>
          <cell r="AH105">
            <v>174.24</v>
          </cell>
          <cell r="AI105">
            <v>33.83</v>
          </cell>
          <cell r="AQ105">
            <v>141.57</v>
          </cell>
          <cell r="AR105">
            <v>34.68</v>
          </cell>
          <cell r="AZ105">
            <v>141.57</v>
          </cell>
          <cell r="BA105">
            <v>35.104999999999997</v>
          </cell>
          <cell r="BI105">
            <v>133.16</v>
          </cell>
          <cell r="BJ105">
            <v>85.68</v>
          </cell>
          <cell r="BR105">
            <v>109.395</v>
          </cell>
          <cell r="CA105">
            <v>106.425</v>
          </cell>
          <cell r="CJ105">
            <v>107.41500000000001</v>
          </cell>
          <cell r="CS105">
            <v>107.41500000000001</v>
          </cell>
          <cell r="DB105">
            <v>71.28</v>
          </cell>
          <cell r="DK105">
            <v>67.814999999999998</v>
          </cell>
          <cell r="DT105">
            <v>49.5</v>
          </cell>
          <cell r="EC105">
            <v>49.5</v>
          </cell>
          <cell r="EL105">
            <v>26.234999999999999</v>
          </cell>
          <cell r="EU105">
            <v>26.234999999999999</v>
          </cell>
          <cell r="FD105">
            <v>25.74</v>
          </cell>
          <cell r="FM105">
            <v>2.4750000000000001</v>
          </cell>
          <cell r="FV105">
            <v>13.365</v>
          </cell>
          <cell r="GE105">
            <v>104.44499999999999</v>
          </cell>
          <cell r="GN105">
            <v>92.564999999999998</v>
          </cell>
        </row>
        <row r="106">
          <cell r="A106">
            <v>92</v>
          </cell>
          <cell r="B106" t="str">
            <v>FG</v>
          </cell>
          <cell r="C106" t="str">
            <v>FM</v>
          </cell>
          <cell r="D106" t="str">
            <v>C10&gt;98%</v>
          </cell>
          <cell r="E106" t="str">
            <v>C10&gt;98%</v>
          </cell>
          <cell r="F106">
            <v>167.80500000000001</v>
          </cell>
          <cell r="O106">
            <v>167.80500000000001</v>
          </cell>
          <cell r="P106">
            <v>141.07499999999999</v>
          </cell>
          <cell r="Y106">
            <v>140.08500000000001</v>
          </cell>
          <cell r="AH106">
            <v>46.53</v>
          </cell>
          <cell r="AQ106">
            <v>38.61</v>
          </cell>
          <cell r="AZ106">
            <v>143.55000000000001</v>
          </cell>
          <cell r="BI106">
            <v>168.3</v>
          </cell>
          <cell r="BR106">
            <v>153.44999999999999</v>
          </cell>
          <cell r="BS106">
            <v>9.18</v>
          </cell>
          <cell r="CA106">
            <v>133.155</v>
          </cell>
          <cell r="CJ106">
            <v>114.345</v>
          </cell>
          <cell r="CS106">
            <v>114.345</v>
          </cell>
          <cell r="DB106">
            <v>71.775000000000006</v>
          </cell>
          <cell r="DK106">
            <v>116.325</v>
          </cell>
          <cell r="DT106">
            <v>52.47</v>
          </cell>
          <cell r="EC106">
            <v>52.47</v>
          </cell>
          <cell r="EL106">
            <v>31.68</v>
          </cell>
          <cell r="EU106">
            <v>74.745000000000005</v>
          </cell>
          <cell r="FD106">
            <v>73.754999999999995</v>
          </cell>
          <cell r="FM106">
            <v>58.905000000000001</v>
          </cell>
          <cell r="FV106">
            <v>58.905000000000001</v>
          </cell>
          <cell r="GE106">
            <v>11.385</v>
          </cell>
          <cell r="GN106">
            <v>5.4450000000000003</v>
          </cell>
        </row>
        <row r="107">
          <cell r="A107">
            <v>93</v>
          </cell>
          <cell r="B107" t="str">
            <v>FG</v>
          </cell>
          <cell r="C107" t="str">
            <v>FM</v>
          </cell>
          <cell r="D107" t="str">
            <v>C8+C10&gt;98%</v>
          </cell>
          <cell r="E107" t="str">
            <v>C8+C10&gt;98%</v>
          </cell>
          <cell r="F107">
            <v>129.34299999999999</v>
          </cell>
          <cell r="O107">
            <v>129.34299999999999</v>
          </cell>
          <cell r="P107">
            <v>112.76050000000001</v>
          </cell>
          <cell r="Y107">
            <v>99.494500000000002</v>
          </cell>
          <cell r="AH107">
            <v>78.932000000000002</v>
          </cell>
          <cell r="AQ107">
            <v>65.334549999999993</v>
          </cell>
          <cell r="AZ107">
            <v>126.0265</v>
          </cell>
          <cell r="BI107">
            <v>141.61404999999999</v>
          </cell>
          <cell r="BR107">
            <v>127.3531</v>
          </cell>
          <cell r="BS107">
            <v>190.23</v>
          </cell>
          <cell r="CA107">
            <v>127.3531</v>
          </cell>
          <cell r="CB107">
            <v>237.66000000000003</v>
          </cell>
          <cell r="CJ107">
            <v>122.0467</v>
          </cell>
          <cell r="CK107">
            <v>108.63</v>
          </cell>
          <cell r="CS107">
            <v>104.8009</v>
          </cell>
          <cell r="CT107">
            <v>108.63</v>
          </cell>
          <cell r="DB107">
            <v>103.80595</v>
          </cell>
          <cell r="DC107">
            <v>108.63</v>
          </cell>
          <cell r="DK107">
            <v>46.762150000000005</v>
          </cell>
          <cell r="DL107">
            <v>108.63</v>
          </cell>
          <cell r="DT107">
            <v>123.3733</v>
          </cell>
          <cell r="DU107">
            <v>108.63</v>
          </cell>
          <cell r="EC107">
            <v>123.04164999999999</v>
          </cell>
          <cell r="ED107">
            <v>111.00999999999999</v>
          </cell>
          <cell r="EL107">
            <v>122.37835</v>
          </cell>
          <cell r="EM107">
            <v>108.63</v>
          </cell>
          <cell r="EU107">
            <v>172.78915000000001</v>
          </cell>
          <cell r="EV107">
            <v>285.26</v>
          </cell>
          <cell r="FD107">
            <v>140.95075</v>
          </cell>
          <cell r="FE107">
            <v>325.20999999999998</v>
          </cell>
          <cell r="FF107">
            <v>48.16</v>
          </cell>
          <cell r="FM107">
            <v>122.37835</v>
          </cell>
          <cell r="FN107">
            <v>60.01</v>
          </cell>
          <cell r="FO107">
            <v>505.82</v>
          </cell>
          <cell r="FV107">
            <v>122.0467</v>
          </cell>
          <cell r="FW107">
            <v>60.86</v>
          </cell>
          <cell r="GE107">
            <v>123.1953</v>
          </cell>
          <cell r="GF107">
            <v>60.86</v>
          </cell>
          <cell r="GN107">
            <v>107.952</v>
          </cell>
          <cell r="GO107">
            <v>60.86</v>
          </cell>
        </row>
        <row r="108">
          <cell r="A108">
            <v>94</v>
          </cell>
          <cell r="B108" t="str">
            <v>FG</v>
          </cell>
          <cell r="C108" t="str">
            <v>FM</v>
          </cell>
          <cell r="D108" t="str">
            <v>C12&gt;99%</v>
          </cell>
          <cell r="E108" t="str">
            <v>C12&gt;99%</v>
          </cell>
          <cell r="I108">
            <v>465.4</v>
          </cell>
          <cell r="O108">
            <v>465.4</v>
          </cell>
          <cell r="S108">
            <v>465.4</v>
          </cell>
          <cell r="AB108">
            <v>465.4</v>
          </cell>
          <cell r="AK108">
            <v>465.4</v>
          </cell>
          <cell r="AT108">
            <v>465.4</v>
          </cell>
          <cell r="BC108">
            <v>465.4</v>
          </cell>
          <cell r="BL108">
            <v>465.4</v>
          </cell>
          <cell r="BU108">
            <v>465.4</v>
          </cell>
          <cell r="CD108">
            <v>465.4</v>
          </cell>
          <cell r="CM108">
            <v>465.4</v>
          </cell>
          <cell r="CV108">
            <v>465.4</v>
          </cell>
          <cell r="DE108">
            <v>445.1</v>
          </cell>
          <cell r="DN108">
            <v>430.4</v>
          </cell>
          <cell r="DW108">
            <v>430.4</v>
          </cell>
          <cell r="EF108">
            <v>425</v>
          </cell>
          <cell r="EG108">
            <v>13.12</v>
          </cell>
          <cell r="EN108">
            <v>997.39</v>
          </cell>
          <cell r="EO108">
            <v>425</v>
          </cell>
          <cell r="EP108">
            <v>13.12</v>
          </cell>
          <cell r="EW108">
            <v>997.39</v>
          </cell>
          <cell r="EX108">
            <v>414</v>
          </cell>
          <cell r="FF108">
            <v>858.09</v>
          </cell>
          <cell r="FG108">
            <v>413.9</v>
          </cell>
          <cell r="FO108">
            <v>1.28</v>
          </cell>
          <cell r="FP108">
            <v>399.15599999999995</v>
          </cell>
          <cell r="FX108">
            <v>1.28</v>
          </cell>
          <cell r="FY108">
            <v>384.44057142857139</v>
          </cell>
          <cell r="GG108">
            <v>1.2799999999999159</v>
          </cell>
          <cell r="GH108">
            <v>367.88571428571424</v>
          </cell>
          <cell r="GL108">
            <v>15.87</v>
          </cell>
          <cell r="GP108">
            <v>1500.49</v>
          </cell>
          <cell r="GQ108">
            <v>367.88571428571424</v>
          </cell>
        </row>
        <row r="109">
          <cell r="A109">
            <v>95</v>
          </cell>
          <cell r="B109" t="str">
            <v>FG</v>
          </cell>
          <cell r="C109" t="str">
            <v>FM</v>
          </cell>
          <cell r="D109" t="str">
            <v>C14&gt;99%</v>
          </cell>
          <cell r="E109" t="str">
            <v>C14&gt;99%</v>
          </cell>
          <cell r="O109">
            <v>0</v>
          </cell>
        </row>
        <row r="110">
          <cell r="A110">
            <v>96</v>
          </cell>
          <cell r="B110" t="str">
            <v>FG</v>
          </cell>
          <cell r="C110" t="str">
            <v>FM</v>
          </cell>
          <cell r="D110" t="str">
            <v>C12+14&gt;99</v>
          </cell>
          <cell r="E110" t="str">
            <v>C12-C14</v>
          </cell>
          <cell r="I110">
            <v>208.3</v>
          </cell>
          <cell r="O110">
            <v>208.3</v>
          </cell>
          <cell r="S110">
            <v>509.7</v>
          </cell>
          <cell r="Y110">
            <v>28.8</v>
          </cell>
          <cell r="AB110">
            <v>254</v>
          </cell>
          <cell r="AF110">
            <v>19.72</v>
          </cell>
          <cell r="AH110">
            <v>36.9</v>
          </cell>
          <cell r="AK110">
            <v>268.60000000000002</v>
          </cell>
          <cell r="AO110">
            <v>52.89</v>
          </cell>
          <cell r="AT110">
            <v>36.5</v>
          </cell>
          <cell r="BC110">
            <v>174.3</v>
          </cell>
          <cell r="BL110">
            <v>18.3</v>
          </cell>
          <cell r="BU110">
            <v>54.8</v>
          </cell>
          <cell r="CD110">
            <v>79</v>
          </cell>
          <cell r="CM110">
            <v>190</v>
          </cell>
          <cell r="CV110">
            <v>11.3</v>
          </cell>
          <cell r="DE110">
            <v>97</v>
          </cell>
          <cell r="DN110">
            <v>75.900000000000006</v>
          </cell>
          <cell r="DW110">
            <v>228.4</v>
          </cell>
          <cell r="EF110">
            <v>923.2</v>
          </cell>
          <cell r="EO110">
            <v>1096.8</v>
          </cell>
          <cell r="EX110">
            <v>951.9</v>
          </cell>
          <cell r="FG110">
            <v>297.8</v>
          </cell>
          <cell r="FP110">
            <v>129.71700000000001</v>
          </cell>
          <cell r="FY110">
            <v>129.71700000000001</v>
          </cell>
          <cell r="GH110">
            <v>529.79999999999995</v>
          </cell>
          <cell r="GQ110">
            <v>627.53300000000002</v>
          </cell>
        </row>
        <row r="111">
          <cell r="A111">
            <v>248</v>
          </cell>
          <cell r="B111" t="str">
            <v>FG</v>
          </cell>
          <cell r="C111" t="str">
            <v>FM</v>
          </cell>
          <cell r="D111" t="str">
            <v>C12+14&gt;99 (IMP)</v>
          </cell>
          <cell r="E111" t="str">
            <v>C12-C14 (IMP)</v>
          </cell>
          <cell r="EE111">
            <v>997.39</v>
          </cell>
        </row>
        <row r="112">
          <cell r="A112">
            <v>97</v>
          </cell>
          <cell r="B112" t="str">
            <v>FG</v>
          </cell>
          <cell r="C112" t="str">
            <v>FM</v>
          </cell>
          <cell r="D112" t="str">
            <v>C12+C14+C16&gt;99</v>
          </cell>
          <cell r="E112" t="str">
            <v>C12-C16</v>
          </cell>
          <cell r="O112">
            <v>0</v>
          </cell>
          <cell r="AQ112">
            <v>259.2</v>
          </cell>
          <cell r="AZ112">
            <v>386.1</v>
          </cell>
          <cell r="BC112">
            <v>38.4</v>
          </cell>
          <cell r="FP112">
            <v>204.624</v>
          </cell>
          <cell r="FY112">
            <v>23.750999999999948</v>
          </cell>
          <cell r="GH112">
            <v>582.79999999999995</v>
          </cell>
          <cell r="GQ112">
            <v>1178.4000000000001</v>
          </cell>
        </row>
        <row r="113">
          <cell r="A113">
            <v>98</v>
          </cell>
          <cell r="B113" t="str">
            <v>FG</v>
          </cell>
          <cell r="C113" t="str">
            <v>FM</v>
          </cell>
          <cell r="D113" t="str">
            <v>C16&gt;90%</v>
          </cell>
          <cell r="E113" t="str">
            <v>C16&gt;90%</v>
          </cell>
          <cell r="O113">
            <v>0</v>
          </cell>
        </row>
        <row r="114">
          <cell r="A114">
            <v>99</v>
          </cell>
          <cell r="B114" t="str">
            <v>FG</v>
          </cell>
          <cell r="C114" t="str">
            <v>FM</v>
          </cell>
          <cell r="D114" t="str">
            <v>C16&gt;99%</v>
          </cell>
          <cell r="E114" t="str">
            <v>C16&gt;99%</v>
          </cell>
          <cell r="O114">
            <v>0</v>
          </cell>
          <cell r="CD114">
            <v>246.5</v>
          </cell>
          <cell r="CM114">
            <v>413.9</v>
          </cell>
          <cell r="CQ114">
            <v>120.66</v>
          </cell>
          <cell r="CV114">
            <v>516.9</v>
          </cell>
          <cell r="GL114">
            <v>19.79</v>
          </cell>
          <cell r="GQ114">
            <v>178.669725</v>
          </cell>
          <cell r="GU114">
            <v>158.6</v>
          </cell>
        </row>
        <row r="115">
          <cell r="A115">
            <v>100</v>
          </cell>
          <cell r="B115" t="str">
            <v>FG</v>
          </cell>
          <cell r="C115" t="str">
            <v>FM</v>
          </cell>
          <cell r="D115" t="str">
            <v>DFA C16/C18</v>
          </cell>
          <cell r="E115" t="str">
            <v>DFA C16/C18</v>
          </cell>
          <cell r="O115">
            <v>0</v>
          </cell>
          <cell r="CH115">
            <v>526.30999999999995</v>
          </cell>
          <cell r="CQ115">
            <v>264.77999999999997</v>
          </cell>
          <cell r="CZ115">
            <v>264.77999999999997</v>
          </cell>
          <cell r="DE115">
            <v>524.29999999999995</v>
          </cell>
          <cell r="DN115">
            <v>20.100000000000001</v>
          </cell>
        </row>
        <row r="116">
          <cell r="A116">
            <v>101</v>
          </cell>
          <cell r="B116" t="str">
            <v>FG</v>
          </cell>
          <cell r="C116" t="str">
            <v>FM</v>
          </cell>
          <cell r="D116" t="str">
            <v>C18&gt;95%</v>
          </cell>
          <cell r="E116" t="str">
            <v>C18&gt;95%</v>
          </cell>
          <cell r="I116">
            <v>242</v>
          </cell>
          <cell r="O116">
            <v>242</v>
          </cell>
          <cell r="S116">
            <v>241</v>
          </cell>
          <cell r="AB116">
            <v>241</v>
          </cell>
          <cell r="AK116">
            <v>241</v>
          </cell>
          <cell r="AT116">
            <v>241</v>
          </cell>
          <cell r="BC116">
            <v>241</v>
          </cell>
          <cell r="BL116">
            <v>241</v>
          </cell>
          <cell r="BT116">
            <v>771.77</v>
          </cell>
          <cell r="BU116">
            <v>241</v>
          </cell>
          <cell r="BY116">
            <v>46.68</v>
          </cell>
          <cell r="CC116">
            <v>905.61</v>
          </cell>
          <cell r="CD116">
            <v>223.2</v>
          </cell>
          <cell r="CL116">
            <v>905.61</v>
          </cell>
          <cell r="CM116">
            <v>126.4</v>
          </cell>
          <cell r="CU116">
            <v>905.61</v>
          </cell>
          <cell r="CV116">
            <v>153.5</v>
          </cell>
          <cell r="DD116">
            <v>1028.9000000000001</v>
          </cell>
          <cell r="DM116">
            <v>1028.9000000000001</v>
          </cell>
          <cell r="DV116">
            <v>1028.9000000000001</v>
          </cell>
          <cell r="EE116">
            <v>1028.9000000000001</v>
          </cell>
          <cell r="EN116">
            <v>1028.9000000000001</v>
          </cell>
          <cell r="GP116">
            <v>771.26</v>
          </cell>
        </row>
        <row r="117">
          <cell r="A117">
            <v>102</v>
          </cell>
          <cell r="B117" t="str">
            <v>FG</v>
          </cell>
          <cell r="C117" t="str">
            <v>FM</v>
          </cell>
          <cell r="D117" t="str">
            <v>OLEIC-K</v>
          </cell>
          <cell r="E117" t="str">
            <v>OLEIC-K</v>
          </cell>
          <cell r="F117">
            <v>188.32</v>
          </cell>
          <cell r="O117">
            <v>188.32</v>
          </cell>
          <cell r="P117">
            <v>119.84</v>
          </cell>
          <cell r="Y117">
            <v>74.900000000000006</v>
          </cell>
          <cell r="AH117">
            <v>34.24</v>
          </cell>
          <cell r="AQ117">
            <v>99.51</v>
          </cell>
          <cell r="AZ117">
            <v>11.77</v>
          </cell>
          <cell r="BC117">
            <v>546.1</v>
          </cell>
          <cell r="BI117">
            <v>179.76</v>
          </cell>
          <cell r="BR117">
            <v>119.84</v>
          </cell>
          <cell r="BY117">
            <v>15</v>
          </cell>
          <cell r="CA117">
            <v>67.41</v>
          </cell>
          <cell r="CJ117">
            <v>65.36</v>
          </cell>
          <cell r="CS117">
            <v>70.62</v>
          </cell>
          <cell r="DB117">
            <v>215.07</v>
          </cell>
          <cell r="DK117">
            <v>68.48</v>
          </cell>
          <cell r="DT117">
            <v>180.83</v>
          </cell>
          <cell r="EC117">
            <v>272.85000000000002</v>
          </cell>
          <cell r="EL117">
            <v>413.02</v>
          </cell>
          <cell r="EU117">
            <v>291.04000000000002</v>
          </cell>
          <cell r="FD117">
            <v>240.75</v>
          </cell>
          <cell r="FM117">
            <v>383.06</v>
          </cell>
          <cell r="FV117">
            <v>418.37</v>
          </cell>
          <cell r="GE117">
            <v>222.56</v>
          </cell>
          <cell r="GN117">
            <v>70.62</v>
          </cell>
          <cell r="GQ117">
            <v>468.99</v>
          </cell>
        </row>
        <row r="118">
          <cell r="A118">
            <v>103</v>
          </cell>
          <cell r="B118" t="str">
            <v>FG</v>
          </cell>
          <cell r="C118" t="str">
            <v>FM</v>
          </cell>
          <cell r="D118" t="str">
            <v>C16+C18(30:70)TA</v>
          </cell>
          <cell r="E118" t="str">
            <v>C16-C18</v>
          </cell>
          <cell r="O118">
            <v>0</v>
          </cell>
          <cell r="BJ118">
            <v>290</v>
          </cell>
          <cell r="BS118">
            <v>752.5</v>
          </cell>
          <cell r="CB118">
            <v>750</v>
          </cell>
          <cell r="CK118">
            <v>747.5</v>
          </cell>
          <cell r="CT118">
            <v>747.5</v>
          </cell>
          <cell r="DC118">
            <v>165</v>
          </cell>
          <cell r="DE118">
            <v>326.10000000000002</v>
          </cell>
        </row>
        <row r="119">
          <cell r="A119">
            <v>104</v>
          </cell>
          <cell r="B119" t="str">
            <v>FG</v>
          </cell>
          <cell r="C119" t="str">
            <v>FM</v>
          </cell>
          <cell r="D119" t="str">
            <v>HYD.RBDPS-G3</v>
          </cell>
          <cell r="E119" t="str">
            <v>HYD.RBDPS</v>
          </cell>
          <cell r="I119">
            <v>63.9</v>
          </cell>
          <cell r="O119">
            <v>63.9</v>
          </cell>
          <cell r="S119">
            <v>33</v>
          </cell>
          <cell r="AB119">
            <v>402.1</v>
          </cell>
          <cell r="AK119">
            <v>393.90000000000003</v>
          </cell>
          <cell r="AT119">
            <v>306.39999999999998</v>
          </cell>
          <cell r="BC119">
            <v>283.7</v>
          </cell>
          <cell r="BL119">
            <v>283.3</v>
          </cell>
          <cell r="BU119">
            <v>283.3</v>
          </cell>
          <cell r="CD119">
            <v>283.3</v>
          </cell>
          <cell r="CM119">
            <v>283.3</v>
          </cell>
          <cell r="CV119">
            <v>283.3</v>
          </cell>
          <cell r="DE119">
            <v>283.3</v>
          </cell>
          <cell r="DN119">
            <v>283.3</v>
          </cell>
          <cell r="DW119">
            <v>283.3</v>
          </cell>
          <cell r="EF119">
            <v>285.3</v>
          </cell>
          <cell r="EO119">
            <v>156</v>
          </cell>
          <cell r="EX119">
            <v>78.199999999999989</v>
          </cell>
          <cell r="FG119">
            <v>71.7</v>
          </cell>
          <cell r="FP119">
            <v>37.323</v>
          </cell>
          <cell r="FY119">
            <v>37.323</v>
          </cell>
          <cell r="GH119">
            <v>37.323</v>
          </cell>
          <cell r="GQ119">
            <v>38.799999999999997</v>
          </cell>
        </row>
        <row r="120">
          <cell r="A120">
            <v>105</v>
          </cell>
          <cell r="B120" t="str">
            <v>FG</v>
          </cell>
          <cell r="C120" t="str">
            <v>SM</v>
          </cell>
          <cell r="D120" t="str">
            <v>L/E MUSTARD C1820</v>
          </cell>
          <cell r="E120" t="str">
            <v>DFA C18C20 MFA</v>
          </cell>
          <cell r="G120">
            <v>116.816</v>
          </cell>
          <cell r="O120">
            <v>116.816</v>
          </cell>
          <cell r="Q120">
            <v>53.915999999999997</v>
          </cell>
          <cell r="S120">
            <v>229.1</v>
          </cell>
          <cell r="Z120">
            <v>40.741</v>
          </cell>
          <cell r="AB120">
            <v>289.3</v>
          </cell>
          <cell r="AI120">
            <v>31.815999999999999</v>
          </cell>
          <cell r="AK120">
            <v>678</v>
          </cell>
          <cell r="AR120">
            <v>13.116</v>
          </cell>
          <cell r="AT120">
            <v>705.2</v>
          </cell>
          <cell r="BA120">
            <v>12.266</v>
          </cell>
          <cell r="BL120">
            <v>190</v>
          </cell>
          <cell r="BU120">
            <v>414.7</v>
          </cell>
          <cell r="CD120">
            <v>7.3</v>
          </cell>
          <cell r="CM120">
            <v>98.1</v>
          </cell>
          <cell r="CV120">
            <v>187.3</v>
          </cell>
          <cell r="DE120">
            <v>320.2</v>
          </cell>
          <cell r="DN120">
            <v>142.80000000000001</v>
          </cell>
          <cell r="DW120">
            <v>352.3</v>
          </cell>
          <cell r="EX120">
            <v>1126.8</v>
          </cell>
          <cell r="FG120">
            <v>1180.5</v>
          </cell>
          <cell r="FP120">
            <v>1195</v>
          </cell>
          <cell r="FY120">
            <v>1175.8</v>
          </cell>
          <cell r="GH120">
            <v>1163.2</v>
          </cell>
          <cell r="GP120">
            <v>921.19</v>
          </cell>
          <cell r="GQ120">
            <v>169.01490000000001</v>
          </cell>
        </row>
        <row r="121">
          <cell r="A121">
            <v>106</v>
          </cell>
          <cell r="B121" t="str">
            <v>FG</v>
          </cell>
          <cell r="C121" t="str">
            <v>SM</v>
          </cell>
          <cell r="D121" t="str">
            <v>L/E MUSTARD UPTO C18 (OLEIC 15)</v>
          </cell>
          <cell r="E121" t="str">
            <v>DFA C18 PURE MFA (OLEIC 15)</v>
          </cell>
          <cell r="O121">
            <v>0</v>
          </cell>
          <cell r="BL121">
            <v>757.1</v>
          </cell>
          <cell r="BU121">
            <v>72</v>
          </cell>
          <cell r="CD121">
            <v>119.9</v>
          </cell>
          <cell r="CM121">
            <v>119.9</v>
          </cell>
          <cell r="CV121">
            <v>119.9</v>
          </cell>
          <cell r="DN121">
            <v>233.9</v>
          </cell>
          <cell r="EF121">
            <v>589.20000000000005</v>
          </cell>
          <cell r="EO121">
            <v>725</v>
          </cell>
          <cell r="EW121">
            <v>1028.9000000000001</v>
          </cell>
          <cell r="FF121">
            <v>1028.9000000000001</v>
          </cell>
          <cell r="FO121">
            <v>1028.9000000000001</v>
          </cell>
          <cell r="FX121">
            <v>1028.9000000000001</v>
          </cell>
          <cell r="GG121">
            <v>997.05</v>
          </cell>
          <cell r="GL121">
            <v>8.58</v>
          </cell>
        </row>
        <row r="122">
          <cell r="A122">
            <v>107</v>
          </cell>
          <cell r="B122" t="str">
            <v>FG</v>
          </cell>
          <cell r="C122" t="str">
            <v>SM</v>
          </cell>
          <cell r="D122" t="str">
            <v>DC20+22&gt;98%</v>
          </cell>
          <cell r="E122" t="str">
            <v>C20-C22</v>
          </cell>
          <cell r="G122">
            <v>6.8792824000000037</v>
          </cell>
          <cell r="O122">
            <v>6.8792824000000037</v>
          </cell>
          <cell r="BC122">
            <v>145.19999999999999</v>
          </cell>
          <cell r="BL122">
            <v>186.2</v>
          </cell>
          <cell r="BU122">
            <v>324.60000000000002</v>
          </cell>
          <cell r="CD122">
            <v>744.2</v>
          </cell>
          <cell r="CM122">
            <v>861.5</v>
          </cell>
          <cell r="CV122">
            <v>861.5</v>
          </cell>
          <cell r="DE122">
            <v>861.5</v>
          </cell>
          <cell r="DN122">
            <v>724.3</v>
          </cell>
          <cell r="DW122">
            <v>147</v>
          </cell>
          <cell r="EX122">
            <v>173</v>
          </cell>
          <cell r="FP122">
            <v>65.77200000000002</v>
          </cell>
          <cell r="GH122">
            <v>65.77200000000002</v>
          </cell>
        </row>
        <row r="123">
          <cell r="A123">
            <v>108</v>
          </cell>
          <cell r="B123" t="str">
            <v>FG</v>
          </cell>
          <cell r="C123" t="str">
            <v>FM</v>
          </cell>
          <cell r="D123" t="str">
            <v>DC22:1&gt;90%</v>
          </cell>
          <cell r="E123" t="str">
            <v>ERUCIC</v>
          </cell>
          <cell r="G123">
            <v>108.682</v>
          </cell>
          <cell r="O123">
            <v>108.682</v>
          </cell>
          <cell r="Q123">
            <v>18.216000000000001</v>
          </cell>
          <cell r="S123">
            <v>173.1</v>
          </cell>
          <cell r="Z123">
            <v>16.515999999999998</v>
          </cell>
          <cell r="AB123">
            <v>242.6</v>
          </cell>
          <cell r="AI123">
            <v>18.216000000000001</v>
          </cell>
          <cell r="AK123">
            <v>128.9</v>
          </cell>
          <cell r="AR123">
            <v>18.216000000000001</v>
          </cell>
          <cell r="AT123">
            <v>350.6</v>
          </cell>
          <cell r="BA123">
            <v>17.366</v>
          </cell>
          <cell r="BC123">
            <v>251.6</v>
          </cell>
          <cell r="BL123">
            <v>139.4</v>
          </cell>
          <cell r="BU123">
            <v>81.8</v>
          </cell>
          <cell r="CD123">
            <v>58.9</v>
          </cell>
          <cell r="CM123">
            <v>42.6</v>
          </cell>
          <cell r="CV123">
            <v>76.400000000000006</v>
          </cell>
          <cell r="DE123">
            <v>220.9</v>
          </cell>
          <cell r="DN123">
            <v>259.10000000000002</v>
          </cell>
          <cell r="DW123">
            <v>233.6</v>
          </cell>
          <cell r="EF123">
            <v>167.1</v>
          </cell>
          <cell r="EO123">
            <v>261</v>
          </cell>
          <cell r="EX123">
            <v>200.5</v>
          </cell>
          <cell r="FG123">
            <v>341.4</v>
          </cell>
          <cell r="FP123">
            <v>372.6</v>
          </cell>
          <cell r="FY123">
            <v>350.6</v>
          </cell>
          <cell r="GC123">
            <v>8</v>
          </cell>
          <cell r="GH123">
            <v>288.83999999999997</v>
          </cell>
          <cell r="GQ123">
            <v>248.82</v>
          </cell>
        </row>
        <row r="124">
          <cell r="A124">
            <v>109</v>
          </cell>
          <cell r="B124" t="str">
            <v>FG</v>
          </cell>
          <cell r="C124" t="str">
            <v>FM</v>
          </cell>
          <cell r="D124" t="str">
            <v>D C18/C22 - R</v>
          </cell>
          <cell r="E124" t="str">
            <v>D C18/C22 - R</v>
          </cell>
          <cell r="G124">
            <v>949.63040000000001</v>
          </cell>
          <cell r="I124">
            <v>97.8</v>
          </cell>
          <cell r="O124">
            <v>1047.4304</v>
          </cell>
          <cell r="Q124">
            <v>800.43740000000003</v>
          </cell>
          <cell r="Z124">
            <v>797.72479999999996</v>
          </cell>
          <cell r="AI124">
            <v>797.72479999999996</v>
          </cell>
          <cell r="AR124">
            <v>1258.8668</v>
          </cell>
          <cell r="BA124">
            <v>1345.67</v>
          </cell>
          <cell r="BJ124">
            <v>1258.8668</v>
          </cell>
          <cell r="BS124">
            <v>965.90599999999995</v>
          </cell>
          <cell r="CB124">
            <v>938.78</v>
          </cell>
          <cell r="CK124">
            <v>908.94140000000004</v>
          </cell>
          <cell r="CT124">
            <v>936.06740000000002</v>
          </cell>
          <cell r="DC124">
            <v>927.92959999999994</v>
          </cell>
          <cell r="DL124">
            <v>900.80359999999996</v>
          </cell>
          <cell r="DU124">
            <v>889.95319999999992</v>
          </cell>
          <cell r="ED124">
            <v>895.37840000000006</v>
          </cell>
          <cell r="EM124">
            <v>898.09100000000001</v>
          </cell>
          <cell r="EV124">
            <v>898.09100000000001</v>
          </cell>
          <cell r="FE124">
            <v>911.654</v>
          </cell>
          <cell r="FN124">
            <v>884.52800000000002</v>
          </cell>
          <cell r="FW124">
            <v>895.37840000000006</v>
          </cell>
          <cell r="GF124">
            <v>895.37840000000006</v>
          </cell>
          <cell r="GO124">
            <v>895.37840000000006</v>
          </cell>
        </row>
        <row r="125">
          <cell r="A125">
            <v>110</v>
          </cell>
          <cell r="B125" t="str">
            <v>FG</v>
          </cell>
          <cell r="C125" t="str">
            <v>FM</v>
          </cell>
          <cell r="D125" t="str">
            <v>BEHENIC-90</v>
          </cell>
          <cell r="E125" t="str">
            <v>BEHENIC-90</v>
          </cell>
          <cell r="O125">
            <v>0</v>
          </cell>
          <cell r="EX125">
            <v>31.3</v>
          </cell>
          <cell r="FP125">
            <v>240.8</v>
          </cell>
          <cell r="FY125">
            <v>136.99</v>
          </cell>
          <cell r="GC125">
            <v>90</v>
          </cell>
          <cell r="GH125">
            <v>239.8</v>
          </cell>
          <cell r="GQ125">
            <v>248.58199999999999</v>
          </cell>
        </row>
        <row r="126">
          <cell r="A126">
            <v>111</v>
          </cell>
          <cell r="B126" t="str">
            <v>FG</v>
          </cell>
          <cell r="C126" t="str">
            <v>FM</v>
          </cell>
          <cell r="D126" t="str">
            <v>BEHENIC-75</v>
          </cell>
          <cell r="E126" t="str">
            <v>BEHENIC-75</v>
          </cell>
          <cell r="O126">
            <v>0</v>
          </cell>
        </row>
        <row r="127">
          <cell r="A127">
            <v>112</v>
          </cell>
          <cell r="B127" t="str">
            <v>FG</v>
          </cell>
          <cell r="C127" t="str">
            <v>FM</v>
          </cell>
          <cell r="D127" t="str">
            <v>BEHENIC-85</v>
          </cell>
          <cell r="E127" t="str">
            <v>BEHENIC-85</v>
          </cell>
          <cell r="O127">
            <v>0</v>
          </cell>
        </row>
        <row r="128">
          <cell r="A128">
            <v>113</v>
          </cell>
          <cell r="B128" t="str">
            <v>FG</v>
          </cell>
          <cell r="C128" t="str">
            <v>FM</v>
          </cell>
          <cell r="D128" t="str">
            <v>UTSR</v>
          </cell>
          <cell r="E128" t="str">
            <v>UTSR</v>
          </cell>
          <cell r="F128">
            <v>91.08</v>
          </cell>
          <cell r="O128">
            <v>91.08</v>
          </cell>
          <cell r="P128">
            <v>158.52000000000001</v>
          </cell>
          <cell r="W128">
            <v>43.75</v>
          </cell>
          <cell r="AQ128">
            <v>27.225000000000001</v>
          </cell>
          <cell r="AZ128">
            <v>84.644999999999996</v>
          </cell>
          <cell r="BI128">
            <v>0.99</v>
          </cell>
          <cell r="DB128">
            <v>22.5</v>
          </cell>
          <cell r="DK128">
            <v>21.334</v>
          </cell>
          <cell r="DT128">
            <v>11.786</v>
          </cell>
          <cell r="DW128">
            <v>1.7</v>
          </cell>
          <cell r="EC128">
            <v>13.491</v>
          </cell>
          <cell r="EL128">
            <v>14.173</v>
          </cell>
          <cell r="EU128">
            <v>99</v>
          </cell>
          <cell r="GE128">
            <v>14.855</v>
          </cell>
          <cell r="GN128">
            <v>9.0579999999999998</v>
          </cell>
          <cell r="GQ128">
            <v>18.7</v>
          </cell>
        </row>
        <row r="129">
          <cell r="A129">
            <v>114</v>
          </cell>
          <cell r="B129" t="str">
            <v>FG</v>
          </cell>
          <cell r="C129" t="str">
            <v>FM</v>
          </cell>
          <cell r="D129" t="str">
            <v>P-12</v>
          </cell>
          <cell r="E129" t="str">
            <v>P-12</v>
          </cell>
          <cell r="O129">
            <v>0</v>
          </cell>
          <cell r="Y129">
            <v>139.59</v>
          </cell>
          <cell r="AO129">
            <v>23.27</v>
          </cell>
          <cell r="CJ129">
            <v>30.69</v>
          </cell>
          <cell r="CS129">
            <v>36.630000000000003</v>
          </cell>
          <cell r="CZ129">
            <v>14.77</v>
          </cell>
        </row>
        <row r="130">
          <cell r="A130">
            <v>115</v>
          </cell>
          <cell r="B130" t="str">
            <v>FG</v>
          </cell>
          <cell r="C130" t="str">
            <v>FM</v>
          </cell>
          <cell r="D130" t="str">
            <v>DTP-7</v>
          </cell>
          <cell r="E130" t="str">
            <v>DTP-7</v>
          </cell>
          <cell r="I130">
            <v>103.6</v>
          </cell>
          <cell r="O130">
            <v>103.6</v>
          </cell>
          <cell r="S130">
            <v>16.3</v>
          </cell>
          <cell r="AK130">
            <v>17.8</v>
          </cell>
          <cell r="AT130">
            <v>45.9</v>
          </cell>
          <cell r="BC130">
            <v>43.8</v>
          </cell>
          <cell r="BU130">
            <v>198.6</v>
          </cell>
          <cell r="BY130">
            <v>15.42</v>
          </cell>
          <cell r="DE130">
            <v>324.5</v>
          </cell>
          <cell r="DN130">
            <v>41.8</v>
          </cell>
          <cell r="DW130">
            <v>265.39999999999998</v>
          </cell>
          <cell r="EF130">
            <v>105.5</v>
          </cell>
          <cell r="EO130">
            <v>54.8</v>
          </cell>
          <cell r="EX130">
            <v>23.1</v>
          </cell>
          <cell r="FP130">
            <v>65.597999999999999</v>
          </cell>
          <cell r="FY130">
            <v>29.58</v>
          </cell>
        </row>
        <row r="131">
          <cell r="A131">
            <v>116</v>
          </cell>
          <cell r="B131" t="str">
            <v>FG</v>
          </cell>
          <cell r="C131" t="str">
            <v>FM</v>
          </cell>
          <cell r="D131" t="str">
            <v>DTP-CT</v>
          </cell>
          <cell r="E131" t="str">
            <v>DTP-CT</v>
          </cell>
          <cell r="O131">
            <v>0</v>
          </cell>
          <cell r="P131">
            <v>26.73</v>
          </cell>
        </row>
        <row r="132">
          <cell r="A132">
            <v>117</v>
          </cell>
          <cell r="B132" t="str">
            <v>FG</v>
          </cell>
          <cell r="C132" t="str">
            <v>FM</v>
          </cell>
          <cell r="D132" t="str">
            <v>REFINED GLYCERINE-CP</v>
          </cell>
          <cell r="E132" t="str">
            <v>REFINED GLYCERINE-CP</v>
          </cell>
          <cell r="F132">
            <v>3.5249999999999999</v>
          </cell>
          <cell r="J132">
            <v>37.061999999999998</v>
          </cell>
          <cell r="K132">
            <v>139.41999999999999</v>
          </cell>
          <cell r="O132">
            <v>180.00699999999998</v>
          </cell>
          <cell r="T132">
            <v>96.918000000000006</v>
          </cell>
          <cell r="U132">
            <v>213.53</v>
          </cell>
          <cell r="Y132">
            <v>7.99</v>
          </cell>
          <cell r="AC132">
            <v>64.262</v>
          </cell>
          <cell r="AD132">
            <v>200.03</v>
          </cell>
          <cell r="AH132">
            <v>8.23</v>
          </cell>
          <cell r="AL132">
            <v>88.218000000000004</v>
          </cell>
          <cell r="AM132">
            <v>200.03</v>
          </cell>
          <cell r="AU132">
            <v>70.8</v>
          </cell>
          <cell r="AV132">
            <v>164.10900000000001</v>
          </cell>
          <cell r="AZ132">
            <v>17.39</v>
          </cell>
          <cell r="BD132">
            <v>90.305999999999997</v>
          </cell>
          <cell r="BE132">
            <v>164.10900000000001</v>
          </cell>
          <cell r="BI132">
            <v>17.155000000000001</v>
          </cell>
          <cell r="BM132">
            <v>94.963999999999999</v>
          </cell>
          <cell r="BN132">
            <v>117.35899999999999</v>
          </cell>
          <cell r="BR132">
            <v>32.9</v>
          </cell>
          <cell r="BV132">
            <v>85.781999999999996</v>
          </cell>
          <cell r="BW132">
            <v>149.429</v>
          </cell>
          <cell r="CE132">
            <v>58.29</v>
          </cell>
          <cell r="CF132">
            <v>149.429</v>
          </cell>
          <cell r="CJ132">
            <v>2.35</v>
          </cell>
          <cell r="CN132">
            <v>85.26</v>
          </cell>
          <cell r="CO132">
            <v>103.809</v>
          </cell>
          <cell r="CW132">
            <v>40.26</v>
          </cell>
          <cell r="CX132">
            <v>88.179000000000002</v>
          </cell>
          <cell r="DF132">
            <v>25.577999999999999</v>
          </cell>
          <cell r="DG132">
            <v>25.989000000000001</v>
          </cell>
          <cell r="DK132">
            <v>11.75</v>
          </cell>
          <cell r="DO132">
            <v>25.16</v>
          </cell>
          <cell r="DP132">
            <v>25.989000000000001</v>
          </cell>
          <cell r="DY132">
            <v>25.988999999999997</v>
          </cell>
          <cell r="EH132">
            <v>25.989000000000001</v>
          </cell>
          <cell r="EL132">
            <v>3.9950000000000001</v>
          </cell>
          <cell r="EP132">
            <v>57.988999999999997</v>
          </cell>
          <cell r="EQ132">
            <v>25.989000000000001</v>
          </cell>
          <cell r="EU132">
            <v>12.925000000000001</v>
          </cell>
          <cell r="EY132">
            <v>58.167999999999999</v>
          </cell>
          <cell r="EZ132">
            <v>25.989000000000001</v>
          </cell>
          <cell r="FD132">
            <v>12.93</v>
          </cell>
          <cell r="FH132">
            <v>116.52200000000001</v>
          </cell>
          <cell r="FM132">
            <v>12.925000000000001</v>
          </cell>
          <cell r="FQ132">
            <v>51.417000000000002</v>
          </cell>
          <cell r="FV132">
            <v>12.925000000000001</v>
          </cell>
          <cell r="FZ132">
            <v>103.258</v>
          </cell>
          <cell r="GE132">
            <v>12.925000000000001</v>
          </cell>
          <cell r="GI132">
            <v>40.999000000000002</v>
          </cell>
          <cell r="GN132">
            <v>12.925000000000001</v>
          </cell>
          <cell r="GR132">
            <v>45.100999999999999</v>
          </cell>
        </row>
        <row r="133">
          <cell r="A133">
            <v>118</v>
          </cell>
          <cell r="B133" t="str">
            <v>FG</v>
          </cell>
          <cell r="C133" t="str">
            <v>FM</v>
          </cell>
          <cell r="D133" t="str">
            <v>REFINED GLYCERINE-IP</v>
          </cell>
          <cell r="E133" t="str">
            <v>REFINED GLYCERINE-IP</v>
          </cell>
          <cell r="J133">
            <v>59.296999999999997</v>
          </cell>
          <cell r="O133">
            <v>59.296999999999997</v>
          </cell>
          <cell r="T133">
            <v>42.813000000000002</v>
          </cell>
          <cell r="AC133">
            <v>41.935000000000002</v>
          </cell>
          <cell r="AL133">
            <v>48.667000000000002</v>
          </cell>
          <cell r="AU133">
            <v>106.236</v>
          </cell>
          <cell r="BD133">
            <v>63.805</v>
          </cell>
          <cell r="BM133">
            <v>105.842</v>
          </cell>
          <cell r="BV133">
            <v>99.641999999999996</v>
          </cell>
          <cell r="CE133">
            <v>33.125</v>
          </cell>
          <cell r="CN133">
            <v>3.125</v>
          </cell>
          <cell r="CW133">
            <v>18.16</v>
          </cell>
          <cell r="DF133">
            <v>86.23</v>
          </cell>
          <cell r="DO133">
            <v>45.853999999999999</v>
          </cell>
          <cell r="EP133">
            <v>42.863</v>
          </cell>
          <cell r="EY133">
            <v>12.646000000000001</v>
          </cell>
          <cell r="FH133">
            <v>32.323</v>
          </cell>
          <cell r="FQ133">
            <v>31.100999999999999</v>
          </cell>
          <cell r="FZ133">
            <v>26.100999999999999</v>
          </cell>
          <cell r="GI133">
            <v>114.31699999999999</v>
          </cell>
          <cell r="GR133">
            <v>76.763000000000005</v>
          </cell>
        </row>
        <row r="134">
          <cell r="A134">
            <v>119</v>
          </cell>
          <cell r="B134" t="str">
            <v>FG</v>
          </cell>
          <cell r="C134" t="str">
            <v>FM</v>
          </cell>
          <cell r="D134" t="str">
            <v>REFINED GLYCERINE-USP</v>
          </cell>
          <cell r="E134" t="str">
            <v>REFINED GLYCERINE-USP</v>
          </cell>
          <cell r="F134">
            <v>133.96</v>
          </cell>
          <cell r="O134">
            <v>133.96</v>
          </cell>
          <cell r="P134">
            <v>170.49</v>
          </cell>
          <cell r="Y134">
            <v>218.21</v>
          </cell>
          <cell r="AH134">
            <v>157.74</v>
          </cell>
          <cell r="AQ134">
            <v>197.42</v>
          </cell>
          <cell r="AZ134">
            <v>247.64</v>
          </cell>
          <cell r="BI134">
            <v>182.81</v>
          </cell>
          <cell r="BR134">
            <v>141.81</v>
          </cell>
          <cell r="CA134">
            <v>169.46</v>
          </cell>
          <cell r="CJ134">
            <v>168.46</v>
          </cell>
          <cell r="CS134">
            <v>168.98</v>
          </cell>
          <cell r="DB134">
            <v>124.88</v>
          </cell>
          <cell r="DK134">
            <v>26.54</v>
          </cell>
          <cell r="DT134">
            <v>21.16</v>
          </cell>
          <cell r="EC134">
            <v>18.2</v>
          </cell>
          <cell r="EL134">
            <v>37</v>
          </cell>
          <cell r="EU134">
            <v>45.07</v>
          </cell>
          <cell r="FD134">
            <v>35.5</v>
          </cell>
          <cell r="FM134">
            <v>63.82</v>
          </cell>
          <cell r="FV134">
            <v>86.16</v>
          </cell>
          <cell r="GE134">
            <v>43.33</v>
          </cell>
          <cell r="GN134">
            <v>101.47</v>
          </cell>
        </row>
        <row r="135">
          <cell r="A135">
            <v>120</v>
          </cell>
          <cell r="B135" t="str">
            <v>FG</v>
          </cell>
          <cell r="C135" t="str">
            <v>FM</v>
          </cell>
          <cell r="D135" t="str">
            <v>REFINED GLYCERINE-JP</v>
          </cell>
          <cell r="E135" t="str">
            <v>REFINED GLYCERINE-JP</v>
          </cell>
          <cell r="F135">
            <v>28</v>
          </cell>
          <cell r="O135">
            <v>28</v>
          </cell>
          <cell r="P135">
            <v>26</v>
          </cell>
          <cell r="Y135">
            <v>8</v>
          </cell>
          <cell r="AH135">
            <v>54</v>
          </cell>
          <cell r="AQ135">
            <v>25</v>
          </cell>
          <cell r="AZ135">
            <v>26</v>
          </cell>
          <cell r="BI135">
            <v>25</v>
          </cell>
          <cell r="BR135">
            <v>27</v>
          </cell>
          <cell r="CA135">
            <v>28</v>
          </cell>
          <cell r="CJ135">
            <v>26</v>
          </cell>
          <cell r="CS135">
            <v>26</v>
          </cell>
          <cell r="DB135">
            <v>27</v>
          </cell>
          <cell r="DK135">
            <v>26</v>
          </cell>
          <cell r="DT135">
            <v>6</v>
          </cell>
          <cell r="EC135">
            <v>6</v>
          </cell>
          <cell r="EL135">
            <v>5</v>
          </cell>
          <cell r="EU135">
            <v>6</v>
          </cell>
          <cell r="FD135">
            <v>6</v>
          </cell>
          <cell r="FM135">
            <v>6</v>
          </cell>
          <cell r="FV135">
            <v>7</v>
          </cell>
          <cell r="GE135">
            <v>7</v>
          </cell>
          <cell r="GN135">
            <v>6</v>
          </cell>
        </row>
        <row r="136">
          <cell r="A136">
            <v>238</v>
          </cell>
          <cell r="B136" t="str">
            <v>FG</v>
          </cell>
          <cell r="C136" t="str">
            <v>FM</v>
          </cell>
          <cell r="D136" t="str">
            <v>DFA C18/C22 C22:1</v>
          </cell>
          <cell r="E136" t="str">
            <v>DFA C18/C22 C22:1</v>
          </cell>
          <cell r="O136">
            <v>0</v>
          </cell>
        </row>
        <row r="137">
          <cell r="A137">
            <v>243</v>
          </cell>
          <cell r="B137" t="str">
            <v>FG</v>
          </cell>
          <cell r="C137" t="str">
            <v>FM</v>
          </cell>
          <cell r="D137" t="str">
            <v>STEARIC-90</v>
          </cell>
          <cell r="E137" t="str">
            <v>STEARIC-90</v>
          </cell>
          <cell r="CS137">
            <v>51.975000000000001</v>
          </cell>
        </row>
        <row r="138">
          <cell r="A138">
            <v>245</v>
          </cell>
          <cell r="B138" t="str">
            <v>FG</v>
          </cell>
          <cell r="C138" t="str">
            <v>FM</v>
          </cell>
          <cell r="D138" t="str">
            <v>HPS</v>
          </cell>
          <cell r="E138" t="str">
            <v>HPS</v>
          </cell>
        </row>
        <row r="139">
          <cell r="A139">
            <v>249</v>
          </cell>
          <cell r="B139" t="str">
            <v>FG</v>
          </cell>
          <cell r="C139" t="str">
            <v>FM</v>
          </cell>
          <cell r="D139" t="str">
            <v>OLEIC - IG</v>
          </cell>
          <cell r="E139" t="str">
            <v>OLEIC - IG</v>
          </cell>
          <cell r="FY139">
            <v>17.5</v>
          </cell>
        </row>
        <row r="140">
          <cell r="F140">
            <v>1089.4725000000001</v>
          </cell>
          <cell r="G140">
            <v>1215.8376823999999</v>
          </cell>
          <cell r="H140">
            <v>1381.27</v>
          </cell>
          <cell r="I140">
            <v>1303.2</v>
          </cell>
          <cell r="J140">
            <v>291.44899999999996</v>
          </cell>
          <cell r="K140">
            <v>139.41999999999999</v>
          </cell>
          <cell r="L140">
            <v>0</v>
          </cell>
          <cell r="M140">
            <v>0</v>
          </cell>
          <cell r="N140">
            <v>0</v>
          </cell>
          <cell r="O140">
            <v>5420.6491823999995</v>
          </cell>
          <cell r="P140">
            <v>1053.0985000000001</v>
          </cell>
          <cell r="Q140">
            <v>989.21540000000005</v>
          </cell>
          <cell r="R140">
            <v>1365.27</v>
          </cell>
          <cell r="S140">
            <v>1802.5999999999997</v>
          </cell>
          <cell r="T140">
            <v>145.92099999999999</v>
          </cell>
          <cell r="U140">
            <v>213.53</v>
          </cell>
          <cell r="V140">
            <v>0</v>
          </cell>
          <cell r="W140">
            <v>43.75</v>
          </cell>
          <cell r="X140">
            <v>0</v>
          </cell>
          <cell r="Y140">
            <v>1066.3074999999999</v>
          </cell>
          <cell r="Z140">
            <v>974.11879999999996</v>
          </cell>
          <cell r="AA140">
            <v>1365.27</v>
          </cell>
          <cell r="AB140">
            <v>2301.2000000000003</v>
          </cell>
          <cell r="AC140">
            <v>226.18899999999999</v>
          </cell>
          <cell r="AD140">
            <v>200.03</v>
          </cell>
          <cell r="AE140">
            <v>0</v>
          </cell>
          <cell r="AF140">
            <v>134.79000000000002</v>
          </cell>
          <cell r="AG140">
            <v>0</v>
          </cell>
          <cell r="AH140">
            <v>790.75800000000004</v>
          </cell>
          <cell r="AI140">
            <v>1171.6848</v>
          </cell>
          <cell r="AJ140">
            <v>1365.27</v>
          </cell>
          <cell r="AK140">
            <v>2847.8</v>
          </cell>
          <cell r="AL140">
            <v>235.37300000000002</v>
          </cell>
          <cell r="AM140">
            <v>200.03</v>
          </cell>
          <cell r="AN140">
            <v>0</v>
          </cell>
          <cell r="AO140">
            <v>76.16</v>
          </cell>
          <cell r="AP140">
            <v>0</v>
          </cell>
          <cell r="AQ140">
            <v>1129.8865499999999</v>
          </cell>
          <cell r="AR140">
            <v>1556.1307999999999</v>
          </cell>
          <cell r="AS140">
            <v>1545.69</v>
          </cell>
          <cell r="AT140">
            <v>2329.4</v>
          </cell>
          <cell r="AU140">
            <v>365.63</v>
          </cell>
          <cell r="AV140">
            <v>164.10900000000001</v>
          </cell>
          <cell r="AW140">
            <v>0</v>
          </cell>
          <cell r="AX140">
            <v>0</v>
          </cell>
          <cell r="AY140">
            <v>0</v>
          </cell>
          <cell r="AZ140">
            <v>1415.23</v>
          </cell>
          <cell r="BA140">
            <v>1697.4190000000001</v>
          </cell>
          <cell r="BB140">
            <v>1582.56</v>
          </cell>
          <cell r="BC140">
            <v>2763.7999999999997</v>
          </cell>
          <cell r="BD140">
            <v>267.19099999999997</v>
          </cell>
          <cell r="BE140">
            <v>164.10900000000001</v>
          </cell>
          <cell r="BF140">
            <v>0</v>
          </cell>
          <cell r="BG140">
            <v>29.07</v>
          </cell>
          <cell r="BH140">
            <v>0</v>
          </cell>
          <cell r="BI140">
            <v>1151.8975500000001</v>
          </cell>
          <cell r="BJ140">
            <v>1686.7038</v>
          </cell>
          <cell r="BK140">
            <v>1404.9499999999998</v>
          </cell>
          <cell r="BL140">
            <v>2900.2999999999997</v>
          </cell>
          <cell r="BM140">
            <v>260.86599999999999</v>
          </cell>
          <cell r="BN140">
            <v>117.35899999999999</v>
          </cell>
          <cell r="BO140">
            <v>0</v>
          </cell>
          <cell r="BP140">
            <v>0</v>
          </cell>
          <cell r="BQ140">
            <v>0</v>
          </cell>
          <cell r="BR140">
            <v>930.42010000000005</v>
          </cell>
          <cell r="BS140">
            <v>1917.8159999999998</v>
          </cell>
          <cell r="BT140">
            <v>2150.84</v>
          </cell>
          <cell r="BU140">
            <v>2496.9</v>
          </cell>
          <cell r="BV140">
            <v>232.28399999999999</v>
          </cell>
          <cell r="BW140">
            <v>149.429</v>
          </cell>
          <cell r="BX140">
            <v>0</v>
          </cell>
          <cell r="BY140">
            <v>77.099999999999994</v>
          </cell>
          <cell r="BZ140">
            <v>0</v>
          </cell>
          <cell r="CA140">
            <v>869.00009999999997</v>
          </cell>
          <cell r="CB140">
            <v>1926.44</v>
          </cell>
          <cell r="CC140">
            <v>2045.83</v>
          </cell>
          <cell r="CD140">
            <v>2583.2000000000003</v>
          </cell>
          <cell r="CE140">
            <v>188.32499999999999</v>
          </cell>
          <cell r="CF140">
            <v>149.429</v>
          </cell>
          <cell r="CG140">
            <v>0</v>
          </cell>
          <cell r="CH140">
            <v>526.30999999999995</v>
          </cell>
          <cell r="CI140">
            <v>0</v>
          </cell>
          <cell r="CJ140">
            <v>784.96170000000006</v>
          </cell>
          <cell r="CK140">
            <v>1765.0714</v>
          </cell>
          <cell r="CL140">
            <v>1877.71</v>
          </cell>
          <cell r="CM140">
            <v>2950.9</v>
          </cell>
          <cell r="CN140">
            <v>185.29500000000002</v>
          </cell>
          <cell r="CO140">
            <v>103.809</v>
          </cell>
          <cell r="CP140">
            <v>0</v>
          </cell>
          <cell r="CQ140">
            <v>385.43999999999994</v>
          </cell>
          <cell r="CR140">
            <v>0</v>
          </cell>
          <cell r="CS140">
            <v>876.82389999999998</v>
          </cell>
          <cell r="CT140">
            <v>1792.1974</v>
          </cell>
          <cell r="CU140">
            <v>1602.1</v>
          </cell>
          <cell r="CV140">
            <v>2845.7000000000003</v>
          </cell>
          <cell r="CW140">
            <v>98.419999999999987</v>
          </cell>
          <cell r="CX140">
            <v>88.179000000000002</v>
          </cell>
          <cell r="CY140">
            <v>0</v>
          </cell>
          <cell r="CZ140">
            <v>279.54999999999995</v>
          </cell>
          <cell r="DA140">
            <v>0</v>
          </cell>
          <cell r="DB140">
            <v>912.81094999999993</v>
          </cell>
          <cell r="DC140">
            <v>1201.5596</v>
          </cell>
          <cell r="DD140">
            <v>1222.712</v>
          </cell>
          <cell r="DE140">
            <v>3467.5</v>
          </cell>
          <cell r="DF140">
            <v>111.80800000000001</v>
          </cell>
          <cell r="DG140">
            <v>25.989000000000001</v>
          </cell>
          <cell r="DH140">
            <v>0</v>
          </cell>
          <cell r="DI140">
            <v>146.30000000000001</v>
          </cell>
          <cell r="DJ140">
            <v>0</v>
          </cell>
          <cell r="DK140">
            <v>464.10465000000005</v>
          </cell>
          <cell r="DL140">
            <v>1009.4336</v>
          </cell>
          <cell r="DM140">
            <v>1028.9000000000001</v>
          </cell>
          <cell r="DN140">
            <v>3153.4999999999995</v>
          </cell>
          <cell r="DO140">
            <v>71.013999999999996</v>
          </cell>
          <cell r="DP140">
            <v>25.989000000000001</v>
          </cell>
          <cell r="DQ140">
            <v>0</v>
          </cell>
          <cell r="DR140">
            <v>49.78</v>
          </cell>
          <cell r="DS140">
            <v>0</v>
          </cell>
          <cell r="DT140">
            <v>637.73029999999994</v>
          </cell>
          <cell r="DU140">
            <v>998.58319999999992</v>
          </cell>
          <cell r="DV140">
            <v>1028.9000000000001</v>
          </cell>
          <cell r="DW140">
            <v>2203.6</v>
          </cell>
          <cell r="DX140">
            <v>5.22</v>
          </cell>
          <cell r="DY140">
            <v>25.988999999999997</v>
          </cell>
          <cell r="DZ140">
            <v>0</v>
          </cell>
          <cell r="EA140">
            <v>0</v>
          </cell>
          <cell r="EB140">
            <v>0</v>
          </cell>
          <cell r="EC140">
            <v>807.44365000000005</v>
          </cell>
          <cell r="ED140">
            <v>1006.3884</v>
          </cell>
          <cell r="EE140">
            <v>2026.29</v>
          </cell>
          <cell r="EF140">
            <v>2952.5000000000005</v>
          </cell>
          <cell r="EG140">
            <v>18.34</v>
          </cell>
          <cell r="EH140">
            <v>25.989000000000001</v>
          </cell>
          <cell r="EI140">
            <v>0</v>
          </cell>
          <cell r="EJ140">
            <v>0</v>
          </cell>
          <cell r="EK140">
            <v>0</v>
          </cell>
          <cell r="EL140">
            <v>1045.6883499999999</v>
          </cell>
          <cell r="EM140">
            <v>1006.721</v>
          </cell>
          <cell r="EN140">
            <v>2026.29</v>
          </cell>
          <cell r="EO140">
            <v>3426.2</v>
          </cell>
          <cell r="EP140">
            <v>156.398</v>
          </cell>
          <cell r="EQ140">
            <v>25.989000000000001</v>
          </cell>
          <cell r="ER140">
            <v>0</v>
          </cell>
          <cell r="ES140">
            <v>0</v>
          </cell>
          <cell r="ET140">
            <v>0</v>
          </cell>
          <cell r="EU140">
            <v>1046.40615</v>
          </cell>
          <cell r="EV140">
            <v>1183.3510000000001</v>
          </cell>
          <cell r="EW140">
            <v>2026.29</v>
          </cell>
          <cell r="EX140">
            <v>3554.5</v>
          </cell>
          <cell r="EY140">
            <v>184.142</v>
          </cell>
          <cell r="EZ140">
            <v>25.989000000000001</v>
          </cell>
          <cell r="FA140">
            <v>0</v>
          </cell>
          <cell r="FB140">
            <v>0</v>
          </cell>
          <cell r="FC140">
            <v>0</v>
          </cell>
          <cell r="FD140">
            <v>908.67674999999997</v>
          </cell>
          <cell r="FE140">
            <v>1236.864</v>
          </cell>
          <cell r="FF140">
            <v>1935.15</v>
          </cell>
          <cell r="FG140">
            <v>3058.4250000000002</v>
          </cell>
          <cell r="FH140">
            <v>148.845</v>
          </cell>
          <cell r="FI140">
            <v>0</v>
          </cell>
          <cell r="FJ140">
            <v>0</v>
          </cell>
          <cell r="FK140">
            <v>75</v>
          </cell>
          <cell r="FL140">
            <v>0</v>
          </cell>
          <cell r="FM140">
            <v>1148.1707299999998</v>
          </cell>
          <cell r="FN140">
            <v>944.53800000000001</v>
          </cell>
          <cell r="FO140">
            <v>1536</v>
          </cell>
          <cell r="FP140">
            <v>3311.0250499999997</v>
          </cell>
          <cell r="FQ140">
            <v>238.114</v>
          </cell>
          <cell r="FR140">
            <v>0</v>
          </cell>
          <cell r="FS140">
            <v>0</v>
          </cell>
          <cell r="FT140">
            <v>30.99</v>
          </cell>
          <cell r="FU140">
            <v>0</v>
          </cell>
          <cell r="FV140">
            <v>1201.7655800000002</v>
          </cell>
          <cell r="FW140">
            <v>956.23840000000007</v>
          </cell>
          <cell r="FX140">
            <v>1030.18</v>
          </cell>
          <cell r="FY140">
            <v>2948.8577214285715</v>
          </cell>
          <cell r="FZ140">
            <v>303.536</v>
          </cell>
          <cell r="GA140">
            <v>0</v>
          </cell>
          <cell r="GB140">
            <v>0</v>
          </cell>
          <cell r="GC140">
            <v>162.88</v>
          </cell>
          <cell r="GD140">
            <v>0</v>
          </cell>
          <cell r="GE140">
            <v>913.82229999999993</v>
          </cell>
          <cell r="GF140">
            <v>956.23840000000007</v>
          </cell>
          <cell r="GG140">
            <v>998.32999999999993</v>
          </cell>
          <cell r="GH140">
            <v>3951.9588142857147</v>
          </cell>
          <cell r="GI140">
            <v>346.11099999999999</v>
          </cell>
          <cell r="GJ140">
            <v>0</v>
          </cell>
          <cell r="GK140">
            <v>0</v>
          </cell>
          <cell r="GL140">
            <v>78.239999999999995</v>
          </cell>
          <cell r="GM140">
            <v>0</v>
          </cell>
          <cell r="GN140">
            <v>787.19499999999994</v>
          </cell>
          <cell r="GO140">
            <v>956.23840000000007</v>
          </cell>
          <cell r="GP140">
            <v>3192.94</v>
          </cell>
          <cell r="GQ140">
            <v>3809.4881892857147</v>
          </cell>
          <cell r="GR140">
            <v>269.35000000000002</v>
          </cell>
          <cell r="GS140">
            <v>0</v>
          </cell>
          <cell r="GT140">
            <v>0</v>
          </cell>
          <cell r="GU140">
            <v>158.6</v>
          </cell>
          <cell r="GV140">
            <v>0</v>
          </cell>
        </row>
        <row r="141">
          <cell r="A141" t="str">
            <v>DRUMS</v>
          </cell>
        </row>
        <row r="142">
          <cell r="A142">
            <v>121</v>
          </cell>
          <cell r="B142" t="str">
            <v>FG</v>
          </cell>
          <cell r="C142" t="str">
            <v>FM</v>
          </cell>
          <cell r="D142" t="str">
            <v>REFINED GLYCERINE-CP</v>
          </cell>
          <cell r="F142">
            <v>3</v>
          </cell>
          <cell r="H142">
            <v>0.09</v>
          </cell>
          <cell r="J142">
            <v>15</v>
          </cell>
          <cell r="O142">
            <v>18.09</v>
          </cell>
          <cell r="P142">
            <v>6.75</v>
          </cell>
          <cell r="R142">
            <v>0.33999999999999997</v>
          </cell>
          <cell r="T142">
            <v>17</v>
          </cell>
          <cell r="Y142">
            <v>5.25</v>
          </cell>
          <cell r="AA142">
            <v>0.33999999999999997</v>
          </cell>
          <cell r="AC142">
            <v>55</v>
          </cell>
          <cell r="AH142">
            <v>4</v>
          </cell>
          <cell r="AJ142">
            <v>0.33999999999999997</v>
          </cell>
          <cell r="AL142">
            <v>62</v>
          </cell>
          <cell r="AQ142">
            <v>1.25</v>
          </cell>
          <cell r="AS142">
            <v>0.33999999999999997</v>
          </cell>
          <cell r="AU142">
            <v>21.5</v>
          </cell>
          <cell r="AZ142">
            <v>1.25</v>
          </cell>
          <cell r="BB142">
            <v>0.33999999999999997</v>
          </cell>
          <cell r="BD142">
            <v>44.5</v>
          </cell>
          <cell r="BI142">
            <v>6.25</v>
          </cell>
          <cell r="BK142">
            <v>0.34</v>
          </cell>
          <cell r="BM142">
            <v>40.75</v>
          </cell>
          <cell r="BR142">
            <v>5.25</v>
          </cell>
          <cell r="BT142">
            <v>0.33999999999999997</v>
          </cell>
          <cell r="BV142">
            <v>59.25</v>
          </cell>
          <cell r="CA142">
            <v>13.25</v>
          </cell>
          <cell r="CC142">
            <v>0.33999999999999997</v>
          </cell>
          <cell r="CE142">
            <v>35</v>
          </cell>
          <cell r="CJ142">
            <v>9.75</v>
          </cell>
          <cell r="CL142">
            <v>0.33999999999999997</v>
          </cell>
          <cell r="CN142">
            <v>32.75</v>
          </cell>
          <cell r="CS142">
            <v>9.75</v>
          </cell>
          <cell r="CU142">
            <v>0.33999999999999997</v>
          </cell>
          <cell r="CW142">
            <v>34.75</v>
          </cell>
          <cell r="DB142">
            <v>13.75</v>
          </cell>
          <cell r="DD142">
            <v>0.33999999999999997</v>
          </cell>
          <cell r="DF142">
            <v>38.25</v>
          </cell>
          <cell r="DK142">
            <v>3</v>
          </cell>
          <cell r="DM142">
            <v>0.33999999999999997</v>
          </cell>
          <cell r="DO142">
            <v>37</v>
          </cell>
          <cell r="DT142">
            <v>6</v>
          </cell>
          <cell r="DV142">
            <v>0.33999999999999997</v>
          </cell>
          <cell r="EC142">
            <v>3</v>
          </cell>
          <cell r="EE142">
            <v>0.33999999999999997</v>
          </cell>
          <cell r="EL142">
            <v>2</v>
          </cell>
          <cell r="EN142">
            <v>0.33999999999999997</v>
          </cell>
          <cell r="EP142">
            <v>23.25</v>
          </cell>
          <cell r="EU142">
            <v>3.5</v>
          </cell>
          <cell r="EW142">
            <v>0.34</v>
          </cell>
          <cell r="EY142">
            <v>30.75</v>
          </cell>
          <cell r="FF142">
            <v>0.34</v>
          </cell>
          <cell r="FH142">
            <v>35.75</v>
          </cell>
          <cell r="FM142">
            <v>1</v>
          </cell>
          <cell r="FO142">
            <v>0.34</v>
          </cell>
          <cell r="FQ142">
            <v>24.5</v>
          </cell>
          <cell r="FV142">
            <v>13.5</v>
          </cell>
          <cell r="FX142">
            <v>0.34</v>
          </cell>
          <cell r="FZ142">
            <v>29</v>
          </cell>
          <cell r="GE142">
            <v>4.5</v>
          </cell>
          <cell r="GG142">
            <v>0.34</v>
          </cell>
          <cell r="GI142">
            <v>43</v>
          </cell>
          <cell r="GN142">
            <v>3.5</v>
          </cell>
          <cell r="GP142">
            <v>0.34</v>
          </cell>
          <cell r="GR142">
            <v>26.5</v>
          </cell>
        </row>
        <row r="143">
          <cell r="A143">
            <v>122</v>
          </cell>
          <cell r="B143" t="str">
            <v>FG</v>
          </cell>
          <cell r="C143" t="str">
            <v>FM</v>
          </cell>
          <cell r="D143" t="str">
            <v>REFINED GLYCERINE-IP</v>
          </cell>
          <cell r="F143">
            <v>10.5</v>
          </cell>
          <cell r="J143">
            <v>18.25</v>
          </cell>
          <cell r="O143">
            <v>28.75</v>
          </cell>
          <cell r="P143">
            <v>10.5</v>
          </cell>
          <cell r="T143">
            <v>5.25</v>
          </cell>
          <cell r="Y143">
            <v>10.25</v>
          </cell>
          <cell r="AC143">
            <v>37.25</v>
          </cell>
          <cell r="AH143">
            <v>7.25</v>
          </cell>
          <cell r="AL143">
            <v>87.5</v>
          </cell>
          <cell r="AQ143">
            <v>9</v>
          </cell>
          <cell r="AU143">
            <v>11.75</v>
          </cell>
          <cell r="AZ143">
            <v>7.5</v>
          </cell>
          <cell r="BD143">
            <v>62.75</v>
          </cell>
          <cell r="BI143">
            <v>1</v>
          </cell>
          <cell r="BM143">
            <v>19.5</v>
          </cell>
          <cell r="BR143">
            <v>9</v>
          </cell>
          <cell r="BV143">
            <v>23.5</v>
          </cell>
          <cell r="CA143">
            <v>9</v>
          </cell>
          <cell r="CE143">
            <v>44</v>
          </cell>
          <cell r="CJ143">
            <v>9</v>
          </cell>
          <cell r="CN143">
            <v>48.75</v>
          </cell>
          <cell r="CS143">
            <v>9</v>
          </cell>
          <cell r="CW143">
            <v>8.75</v>
          </cell>
          <cell r="DB143">
            <v>5.75</v>
          </cell>
          <cell r="DF143">
            <v>31.25</v>
          </cell>
          <cell r="DK143">
            <v>1.5</v>
          </cell>
          <cell r="DO143">
            <v>12</v>
          </cell>
          <cell r="DT143">
            <v>2.5</v>
          </cell>
          <cell r="EC143">
            <v>2.5</v>
          </cell>
          <cell r="EL143">
            <v>5</v>
          </cell>
          <cell r="EP143">
            <v>16</v>
          </cell>
          <cell r="EU143">
            <v>4</v>
          </cell>
          <cell r="FD143">
            <v>0.5</v>
          </cell>
          <cell r="FH143">
            <v>36.75</v>
          </cell>
          <cell r="FM143">
            <v>0.5</v>
          </cell>
          <cell r="FQ143">
            <v>42.75</v>
          </cell>
          <cell r="FV143">
            <v>0.5</v>
          </cell>
          <cell r="FZ143">
            <v>32.75</v>
          </cell>
          <cell r="GE143">
            <v>0.5</v>
          </cell>
          <cell r="GI143">
            <v>0.25</v>
          </cell>
          <cell r="GN143">
            <v>4</v>
          </cell>
          <cell r="GR143">
            <v>17.75</v>
          </cell>
        </row>
        <row r="144">
          <cell r="A144">
            <v>123</v>
          </cell>
          <cell r="B144" t="str">
            <v>FG</v>
          </cell>
          <cell r="C144" t="str">
            <v>FM</v>
          </cell>
          <cell r="D144" t="str">
            <v>REFINED GLYCERINE-USP</v>
          </cell>
          <cell r="O144">
            <v>0</v>
          </cell>
          <cell r="Y144">
            <v>20</v>
          </cell>
          <cell r="AQ144">
            <v>18</v>
          </cell>
          <cell r="AZ144">
            <v>18</v>
          </cell>
          <cell r="BI144">
            <v>18</v>
          </cell>
          <cell r="BR144">
            <v>38</v>
          </cell>
          <cell r="CA144">
            <v>19</v>
          </cell>
          <cell r="CJ144">
            <v>19</v>
          </cell>
          <cell r="CS144">
            <v>19</v>
          </cell>
          <cell r="DB144">
            <v>19</v>
          </cell>
          <cell r="DK144">
            <v>21</v>
          </cell>
          <cell r="DT144">
            <v>20</v>
          </cell>
          <cell r="EL144">
            <v>18</v>
          </cell>
          <cell r="GE144">
            <v>18</v>
          </cell>
        </row>
        <row r="145">
          <cell r="A145">
            <v>124</v>
          </cell>
          <cell r="B145" t="str">
            <v>FG</v>
          </cell>
          <cell r="C145" t="str">
            <v>FM</v>
          </cell>
          <cell r="D145" t="str">
            <v>REFINED GLYCERINE-JP</v>
          </cell>
          <cell r="O145">
            <v>0</v>
          </cell>
        </row>
        <row r="146">
          <cell r="A146">
            <v>125</v>
          </cell>
          <cell r="B146" t="str">
            <v>FG</v>
          </cell>
          <cell r="C146" t="str">
            <v>FM</v>
          </cell>
          <cell r="D146" t="str">
            <v>DPKO</v>
          </cell>
          <cell r="F146">
            <v>14.67</v>
          </cell>
          <cell r="O146">
            <v>14.67</v>
          </cell>
          <cell r="P146">
            <v>20.07</v>
          </cell>
          <cell r="Y146">
            <v>6.48</v>
          </cell>
          <cell r="AH146">
            <v>1.98</v>
          </cell>
          <cell r="AQ146">
            <v>11.88</v>
          </cell>
          <cell r="AZ146">
            <v>17.37</v>
          </cell>
          <cell r="BI146">
            <v>1.98</v>
          </cell>
          <cell r="BR146">
            <v>0.72</v>
          </cell>
          <cell r="CA146">
            <v>1.17</v>
          </cell>
          <cell r="CJ146">
            <v>1.17</v>
          </cell>
          <cell r="CS146">
            <v>1.17</v>
          </cell>
          <cell r="DB146">
            <v>0.72</v>
          </cell>
          <cell r="EC146">
            <v>4.95</v>
          </cell>
          <cell r="EL146">
            <v>10.8</v>
          </cell>
          <cell r="EU146">
            <v>5.22</v>
          </cell>
          <cell r="FD146">
            <v>9.4499999999999993</v>
          </cell>
          <cell r="FM146">
            <v>8.01</v>
          </cell>
          <cell r="FV146">
            <v>7.1099999999999994</v>
          </cell>
          <cell r="GN146">
            <v>5.22</v>
          </cell>
        </row>
        <row r="147">
          <cell r="A147">
            <v>126</v>
          </cell>
          <cell r="B147" t="str">
            <v>FG</v>
          </cell>
          <cell r="C147" t="str">
            <v>FM</v>
          </cell>
          <cell r="D147" t="str">
            <v>C6&gt;98%</v>
          </cell>
          <cell r="F147">
            <v>0.18</v>
          </cell>
          <cell r="H147">
            <v>0.89999999999999991</v>
          </cell>
          <cell r="O147">
            <v>1.0799999999999998</v>
          </cell>
          <cell r="P147">
            <v>0.18</v>
          </cell>
          <cell r="R147">
            <v>0.89999999999999991</v>
          </cell>
          <cell r="Y147">
            <v>57.78</v>
          </cell>
          <cell r="AA147">
            <v>0.89999999999999991</v>
          </cell>
          <cell r="AH147">
            <v>0.18</v>
          </cell>
          <cell r="AJ147">
            <v>0.89999999999999991</v>
          </cell>
          <cell r="AQ147">
            <v>0.18</v>
          </cell>
          <cell r="AS147">
            <v>0.89999999999999991</v>
          </cell>
          <cell r="AZ147">
            <v>57.78</v>
          </cell>
          <cell r="BB147">
            <v>0.89999999999999991</v>
          </cell>
          <cell r="BI147">
            <v>0.18</v>
          </cell>
          <cell r="BK147">
            <v>0.9</v>
          </cell>
          <cell r="BR147">
            <v>0.18</v>
          </cell>
          <cell r="BT147">
            <v>0.89999999999999991</v>
          </cell>
          <cell r="CA147">
            <v>0.18</v>
          </cell>
          <cell r="CC147">
            <v>0.89999999999999991</v>
          </cell>
          <cell r="CL147">
            <v>0.89999999999999991</v>
          </cell>
          <cell r="CS147">
            <v>0.18</v>
          </cell>
          <cell r="CU147">
            <v>0.89999999999999991</v>
          </cell>
          <cell r="DD147">
            <v>0.89999999999999991</v>
          </cell>
          <cell r="DK147">
            <v>0.18</v>
          </cell>
          <cell r="DM147">
            <v>0.89999999999999991</v>
          </cell>
          <cell r="DT147">
            <v>0.18</v>
          </cell>
          <cell r="DV147">
            <v>1.0799999999999998</v>
          </cell>
          <cell r="EC147">
            <v>0.18</v>
          </cell>
          <cell r="EE147">
            <v>0.89999999999999991</v>
          </cell>
          <cell r="EL147">
            <v>0.18</v>
          </cell>
          <cell r="EN147">
            <v>0.89999999999999991</v>
          </cell>
          <cell r="EU147">
            <v>0.18</v>
          </cell>
          <cell r="EW147">
            <v>0.9</v>
          </cell>
          <cell r="FD147">
            <v>0.18</v>
          </cell>
          <cell r="FF147">
            <v>0.9</v>
          </cell>
          <cell r="FM147">
            <v>0.18</v>
          </cell>
          <cell r="FO147">
            <v>0.9</v>
          </cell>
          <cell r="FV147">
            <v>0.18</v>
          </cell>
          <cell r="FX147">
            <v>0.9</v>
          </cell>
          <cell r="GE147">
            <v>0.18</v>
          </cell>
          <cell r="GG147">
            <v>0.9</v>
          </cell>
          <cell r="GN147">
            <v>57.78</v>
          </cell>
          <cell r="GP147">
            <v>0.9</v>
          </cell>
        </row>
        <row r="148">
          <cell r="A148">
            <v>127</v>
          </cell>
          <cell r="B148" t="str">
            <v>FG</v>
          </cell>
          <cell r="C148" t="str">
            <v>FM</v>
          </cell>
          <cell r="D148" t="str">
            <v>C8&gt;98%</v>
          </cell>
          <cell r="F148">
            <v>20.88</v>
          </cell>
          <cell r="H148">
            <v>7.2</v>
          </cell>
          <cell r="O148">
            <v>28.08</v>
          </cell>
          <cell r="P148">
            <v>21.24</v>
          </cell>
          <cell r="R148">
            <v>7.2</v>
          </cell>
          <cell r="Y148">
            <v>21.24</v>
          </cell>
          <cell r="AA148">
            <v>7.2</v>
          </cell>
          <cell r="AH148">
            <v>20.88</v>
          </cell>
          <cell r="AJ148">
            <v>7.02</v>
          </cell>
          <cell r="AQ148">
            <v>18.899999999999999</v>
          </cell>
          <cell r="AS148">
            <v>7.02</v>
          </cell>
          <cell r="AZ148">
            <v>18.899999999999999</v>
          </cell>
          <cell r="BB148">
            <v>7.02</v>
          </cell>
          <cell r="BI148">
            <v>18.72</v>
          </cell>
          <cell r="BK148">
            <v>7.02</v>
          </cell>
          <cell r="BR148">
            <v>18.54</v>
          </cell>
          <cell r="BT148">
            <v>7.02</v>
          </cell>
          <cell r="CA148">
            <v>6.66</v>
          </cell>
          <cell r="CC148">
            <v>7.02</v>
          </cell>
          <cell r="CJ148">
            <v>18.36</v>
          </cell>
          <cell r="CL148">
            <v>7.02</v>
          </cell>
          <cell r="CS148">
            <v>18.36</v>
          </cell>
          <cell r="DB148">
            <v>18</v>
          </cell>
          <cell r="DD148">
            <v>7.02</v>
          </cell>
          <cell r="DK148">
            <v>16.38</v>
          </cell>
          <cell r="DM148">
            <v>7.02</v>
          </cell>
          <cell r="DT148">
            <v>16.2</v>
          </cell>
          <cell r="DV148">
            <v>7.02</v>
          </cell>
          <cell r="EC148">
            <v>16.02</v>
          </cell>
          <cell r="EE148">
            <v>7.02</v>
          </cell>
          <cell r="EL148">
            <v>16.02</v>
          </cell>
          <cell r="EN148">
            <v>7.02</v>
          </cell>
          <cell r="EW148">
            <v>7.02</v>
          </cell>
          <cell r="FD148">
            <v>3.96</v>
          </cell>
          <cell r="FF148">
            <v>7.02</v>
          </cell>
          <cell r="FM148">
            <v>3.42</v>
          </cell>
          <cell r="FO148">
            <v>7.02</v>
          </cell>
          <cell r="FV148">
            <v>3.42</v>
          </cell>
          <cell r="FX148">
            <v>7.02</v>
          </cell>
          <cell r="GE148">
            <v>3.42</v>
          </cell>
          <cell r="GG148">
            <v>7.02</v>
          </cell>
          <cell r="GN148">
            <v>2.88</v>
          </cell>
          <cell r="GP148">
            <v>7.02</v>
          </cell>
        </row>
        <row r="149">
          <cell r="A149">
            <v>128</v>
          </cell>
          <cell r="B149" t="str">
            <v>FG</v>
          </cell>
          <cell r="C149" t="str">
            <v>FM</v>
          </cell>
          <cell r="D149" t="str">
            <v>C10&gt;98%</v>
          </cell>
          <cell r="F149">
            <v>1.44</v>
          </cell>
          <cell r="H149">
            <v>0.18</v>
          </cell>
          <cell r="O149">
            <v>1.6199999999999999</v>
          </cell>
          <cell r="P149">
            <v>1.44</v>
          </cell>
          <cell r="R149">
            <v>0.18</v>
          </cell>
          <cell r="Y149">
            <v>1.44</v>
          </cell>
          <cell r="AA149">
            <v>0.18</v>
          </cell>
          <cell r="AH149">
            <v>1.44</v>
          </cell>
          <cell r="AJ149">
            <v>0.18</v>
          </cell>
          <cell r="AQ149">
            <v>0.36</v>
          </cell>
          <cell r="AS149">
            <v>0.18</v>
          </cell>
          <cell r="AZ149">
            <v>0.36</v>
          </cell>
          <cell r="BB149">
            <v>0.18</v>
          </cell>
          <cell r="BI149">
            <v>0.36</v>
          </cell>
          <cell r="BK149">
            <v>0.18</v>
          </cell>
          <cell r="BR149">
            <v>0.36</v>
          </cell>
          <cell r="BT149">
            <v>0.18</v>
          </cell>
          <cell r="CA149">
            <v>0.36</v>
          </cell>
          <cell r="CC149">
            <v>0.18</v>
          </cell>
          <cell r="CJ149">
            <v>0.36</v>
          </cell>
          <cell r="CL149">
            <v>0.18</v>
          </cell>
          <cell r="CS149">
            <v>0.36</v>
          </cell>
          <cell r="CU149">
            <v>0.18</v>
          </cell>
          <cell r="DB149">
            <v>0.18</v>
          </cell>
          <cell r="DD149">
            <v>0.18</v>
          </cell>
          <cell r="DK149">
            <v>0.18</v>
          </cell>
          <cell r="DM149">
            <v>0.18</v>
          </cell>
          <cell r="DT149">
            <v>0.18</v>
          </cell>
          <cell r="EC149">
            <v>0.18</v>
          </cell>
          <cell r="EE149">
            <v>0.18</v>
          </cell>
          <cell r="EL149">
            <v>0.18</v>
          </cell>
          <cell r="EN149">
            <v>0.18</v>
          </cell>
          <cell r="EW149">
            <v>0.18</v>
          </cell>
          <cell r="FF149">
            <v>0.18</v>
          </cell>
          <cell r="FO149">
            <v>0.18</v>
          </cell>
          <cell r="FX149">
            <v>0.18</v>
          </cell>
          <cell r="GG149">
            <v>0.18</v>
          </cell>
          <cell r="GP149">
            <v>0.18</v>
          </cell>
        </row>
        <row r="150">
          <cell r="A150">
            <v>129</v>
          </cell>
          <cell r="B150" t="str">
            <v>FG</v>
          </cell>
          <cell r="C150" t="str">
            <v>FM</v>
          </cell>
          <cell r="D150" t="str">
            <v>C8+C10&gt;98%</v>
          </cell>
          <cell r="F150">
            <v>4.5</v>
          </cell>
          <cell r="H150">
            <v>3.78</v>
          </cell>
          <cell r="O150">
            <v>8.2799999999999994</v>
          </cell>
          <cell r="P150">
            <v>4.5</v>
          </cell>
          <cell r="R150">
            <v>4.7050000000000001</v>
          </cell>
          <cell r="Y150">
            <v>4.5</v>
          </cell>
          <cell r="AA150">
            <v>4.7050000000000001</v>
          </cell>
          <cell r="AH150">
            <v>5.4</v>
          </cell>
          <cell r="AJ150">
            <v>4.7050000000000001</v>
          </cell>
          <cell r="AQ150">
            <v>5.4</v>
          </cell>
          <cell r="AS150">
            <v>4.7050000000000001</v>
          </cell>
          <cell r="AZ150">
            <v>5.4</v>
          </cell>
          <cell r="BB150">
            <v>4.7050000000000001</v>
          </cell>
          <cell r="BI150">
            <v>5.4</v>
          </cell>
          <cell r="BK150">
            <v>4.7050000000000001</v>
          </cell>
          <cell r="BR150">
            <v>4.5</v>
          </cell>
          <cell r="BT150">
            <v>4.7050000000000001</v>
          </cell>
          <cell r="CA150">
            <v>4.5</v>
          </cell>
          <cell r="CC150">
            <v>4.7050000000000001</v>
          </cell>
          <cell r="CJ150">
            <v>4.5</v>
          </cell>
          <cell r="CL150">
            <v>4.7050000000000001</v>
          </cell>
          <cell r="CS150">
            <v>4.5</v>
          </cell>
          <cell r="CU150">
            <v>11.725</v>
          </cell>
          <cell r="DB150">
            <v>4.5</v>
          </cell>
          <cell r="DD150">
            <v>4.7050000000000001</v>
          </cell>
          <cell r="DK150">
            <v>4.5</v>
          </cell>
          <cell r="DM150">
            <v>4.7050000000000001</v>
          </cell>
          <cell r="DT150">
            <v>4.5</v>
          </cell>
          <cell r="DV150">
            <v>4.7050000000000001</v>
          </cell>
          <cell r="EC150">
            <v>4.5</v>
          </cell>
          <cell r="EE150">
            <v>4.7050000000000001</v>
          </cell>
          <cell r="EL150">
            <v>4.5</v>
          </cell>
          <cell r="EN150">
            <v>4.7050000000000001</v>
          </cell>
          <cell r="EU150">
            <v>1.62</v>
          </cell>
          <cell r="EW150">
            <v>4.7050000000000001</v>
          </cell>
          <cell r="FD150">
            <v>2.7</v>
          </cell>
          <cell r="FF150">
            <v>4.7050000000000001</v>
          </cell>
          <cell r="FM150">
            <v>2.7</v>
          </cell>
          <cell r="FO150">
            <v>3.7749999999999999</v>
          </cell>
          <cell r="FV150">
            <v>2.6999999999999997</v>
          </cell>
          <cell r="FX150">
            <v>3.7749999999999999</v>
          </cell>
          <cell r="GE150">
            <v>2.52</v>
          </cell>
          <cell r="GG150">
            <v>4.7050000000000001</v>
          </cell>
          <cell r="GN150">
            <v>1.62</v>
          </cell>
          <cell r="GP150">
            <v>3.7749999999999999</v>
          </cell>
        </row>
        <row r="151">
          <cell r="A151">
            <v>130</v>
          </cell>
          <cell r="B151" t="str">
            <v>FG</v>
          </cell>
          <cell r="C151" t="str">
            <v>FM</v>
          </cell>
          <cell r="D151" t="str">
            <v>OLEIC-15</v>
          </cell>
          <cell r="F151">
            <v>7.74</v>
          </cell>
          <cell r="H151">
            <v>0.185</v>
          </cell>
          <cell r="O151">
            <v>7.9249999999999998</v>
          </cell>
          <cell r="R151">
            <v>0.45999999999999996</v>
          </cell>
          <cell r="AA151">
            <v>0.64500000000000002</v>
          </cell>
          <cell r="AH151">
            <v>8.01</v>
          </cell>
          <cell r="AJ151">
            <v>0.45999999999999996</v>
          </cell>
          <cell r="AQ151">
            <v>8.01</v>
          </cell>
          <cell r="AS151">
            <v>0.45999999999999996</v>
          </cell>
          <cell r="AZ151">
            <v>8.01</v>
          </cell>
          <cell r="BB151">
            <v>0.45999999999999996</v>
          </cell>
          <cell r="BI151">
            <v>17.37</v>
          </cell>
          <cell r="BK151">
            <v>0.46</v>
          </cell>
          <cell r="BR151">
            <v>11.79</v>
          </cell>
          <cell r="BT151">
            <v>0.45999999999999996</v>
          </cell>
          <cell r="CA151">
            <v>7.83</v>
          </cell>
          <cell r="CC151">
            <v>0.45999999999999996</v>
          </cell>
          <cell r="CJ151">
            <v>6.75</v>
          </cell>
          <cell r="CL151">
            <v>0.45999999999999996</v>
          </cell>
          <cell r="CS151">
            <v>5.31</v>
          </cell>
          <cell r="CU151">
            <v>0.45999999999999996</v>
          </cell>
          <cell r="DB151">
            <v>2.16</v>
          </cell>
          <cell r="DD151">
            <v>0.45999999999999996</v>
          </cell>
          <cell r="DK151">
            <v>0.45</v>
          </cell>
          <cell r="DM151">
            <v>0.45999999999999996</v>
          </cell>
          <cell r="DV151">
            <v>0.45999999999999996</v>
          </cell>
          <cell r="EE151">
            <v>0.45999999999999996</v>
          </cell>
          <cell r="EN151">
            <v>0.45999999999999996</v>
          </cell>
          <cell r="EO151">
            <v>2.79</v>
          </cell>
          <cell r="EW151">
            <v>0.46</v>
          </cell>
          <cell r="FF151">
            <v>0.46</v>
          </cell>
          <cell r="FG151">
            <v>1.53</v>
          </cell>
          <cell r="FO151">
            <v>0.185</v>
          </cell>
          <cell r="FP151">
            <v>0.54</v>
          </cell>
          <cell r="FX151">
            <v>0.185</v>
          </cell>
          <cell r="FY151">
            <v>9.9</v>
          </cell>
          <cell r="GG151">
            <v>0.45999999999999996</v>
          </cell>
          <cell r="GH151">
            <v>8.64</v>
          </cell>
          <cell r="GP151">
            <v>0.185</v>
          </cell>
          <cell r="GQ151">
            <v>123.57</v>
          </cell>
        </row>
        <row r="152">
          <cell r="A152">
            <v>131</v>
          </cell>
          <cell r="B152" t="str">
            <v>FG</v>
          </cell>
          <cell r="C152" t="str">
            <v>NM</v>
          </cell>
          <cell r="D152" t="str">
            <v>OLEIC-20</v>
          </cell>
          <cell r="H152">
            <v>0.09</v>
          </cell>
          <cell r="O152">
            <v>0.09</v>
          </cell>
          <cell r="R152">
            <v>0.09</v>
          </cell>
          <cell r="AA152">
            <v>0.09</v>
          </cell>
          <cell r="AJ152">
            <v>0.09</v>
          </cell>
          <cell r="AS152">
            <v>0.09</v>
          </cell>
          <cell r="BB152">
            <v>0.09</v>
          </cell>
          <cell r="BK152">
            <v>0.09</v>
          </cell>
          <cell r="BT152">
            <v>0.09</v>
          </cell>
          <cell r="CC152">
            <v>0.09</v>
          </cell>
          <cell r="CL152">
            <v>0.09</v>
          </cell>
          <cell r="CU152">
            <v>0.09</v>
          </cell>
          <cell r="DD152">
            <v>0.09</v>
          </cell>
          <cell r="DM152">
            <v>0.09</v>
          </cell>
          <cell r="DV152">
            <v>0.09</v>
          </cell>
          <cell r="EE152">
            <v>0.09</v>
          </cell>
          <cell r="EN152">
            <v>0.09</v>
          </cell>
          <cell r="EW152">
            <v>0.09</v>
          </cell>
          <cell r="FF152">
            <v>0.09</v>
          </cell>
          <cell r="FO152">
            <v>0.09</v>
          </cell>
          <cell r="FX152">
            <v>0.09</v>
          </cell>
          <cell r="GG152">
            <v>0.09</v>
          </cell>
          <cell r="GP152">
            <v>0.09</v>
          </cell>
        </row>
        <row r="153">
          <cell r="A153">
            <v>132</v>
          </cell>
          <cell r="B153" t="str">
            <v>FG</v>
          </cell>
          <cell r="C153" t="str">
            <v>NM</v>
          </cell>
          <cell r="D153" t="str">
            <v>OLEIC-26</v>
          </cell>
          <cell r="H153">
            <v>0.63</v>
          </cell>
          <cell r="O153">
            <v>0.63</v>
          </cell>
          <cell r="FO153">
            <v>0.63</v>
          </cell>
          <cell r="GP153">
            <v>0.63</v>
          </cell>
        </row>
        <row r="154">
          <cell r="A154">
            <v>133</v>
          </cell>
          <cell r="B154" t="str">
            <v>FG</v>
          </cell>
          <cell r="C154" t="str">
            <v>NM</v>
          </cell>
          <cell r="D154" t="str">
            <v>OLEIC-29</v>
          </cell>
          <cell r="H154">
            <v>0.18</v>
          </cell>
          <cell r="O154">
            <v>0.18</v>
          </cell>
          <cell r="R154">
            <v>0.2</v>
          </cell>
          <cell r="AA154">
            <v>0.2</v>
          </cell>
          <cell r="AJ154">
            <v>0.2</v>
          </cell>
          <cell r="AS154">
            <v>0.2</v>
          </cell>
          <cell r="BB154">
            <v>0.2</v>
          </cell>
          <cell r="BK154">
            <v>0.2</v>
          </cell>
          <cell r="BT154">
            <v>0.2</v>
          </cell>
          <cell r="CC154">
            <v>0.2</v>
          </cell>
          <cell r="CL154">
            <v>0.2</v>
          </cell>
          <cell r="CU154">
            <v>0.2</v>
          </cell>
          <cell r="DD154">
            <v>0.2</v>
          </cell>
          <cell r="DM154">
            <v>0.2</v>
          </cell>
          <cell r="DV154">
            <v>0.2</v>
          </cell>
          <cell r="EE154">
            <v>0.2</v>
          </cell>
          <cell r="EN154">
            <v>0.2</v>
          </cell>
          <cell r="EW154">
            <v>0.2</v>
          </cell>
          <cell r="FF154">
            <v>0.2</v>
          </cell>
          <cell r="FO154">
            <v>0.18</v>
          </cell>
          <cell r="FX154">
            <v>0.18</v>
          </cell>
          <cell r="GG154">
            <v>0.2</v>
          </cell>
          <cell r="GP154">
            <v>0.18</v>
          </cell>
        </row>
        <row r="155">
          <cell r="A155">
            <v>134</v>
          </cell>
          <cell r="B155" t="str">
            <v>FG</v>
          </cell>
          <cell r="C155" t="str">
            <v>FM</v>
          </cell>
          <cell r="D155" t="str">
            <v>OLEIC-K</v>
          </cell>
          <cell r="F155">
            <v>1.98</v>
          </cell>
          <cell r="H155">
            <v>4.335</v>
          </cell>
          <cell r="O155">
            <v>6.3149999999999995</v>
          </cell>
          <cell r="P155">
            <v>3.78</v>
          </cell>
          <cell r="R155">
            <v>4.6899999999999995</v>
          </cell>
          <cell r="Y155">
            <v>5.76</v>
          </cell>
          <cell r="AA155">
            <v>4.5999999999999996</v>
          </cell>
          <cell r="AH155">
            <v>5.76</v>
          </cell>
          <cell r="AJ155">
            <v>4.6050000000000004</v>
          </cell>
          <cell r="AQ155">
            <v>4.8600000000000003</v>
          </cell>
          <cell r="AS155">
            <v>5.7750000000000004</v>
          </cell>
          <cell r="AZ155">
            <v>4.8600000000000003</v>
          </cell>
          <cell r="BB155">
            <v>4.6050000000000004</v>
          </cell>
          <cell r="BI155">
            <v>4.8600000000000003</v>
          </cell>
          <cell r="BK155">
            <v>4.6050000000000004</v>
          </cell>
          <cell r="BR155">
            <v>4.8600000000000003</v>
          </cell>
          <cell r="BT155">
            <v>4.6050000000000004</v>
          </cell>
          <cell r="CA155">
            <v>4.8600000000000003</v>
          </cell>
          <cell r="CC155">
            <v>4.6050000000000004</v>
          </cell>
          <cell r="CJ155">
            <v>4.8600000000000003</v>
          </cell>
          <cell r="CL155">
            <v>4.6050000000000004</v>
          </cell>
          <cell r="CS155">
            <v>4.8600000000000003</v>
          </cell>
          <cell r="CU155">
            <v>4.6050000000000004</v>
          </cell>
          <cell r="DB155">
            <v>12.06</v>
          </cell>
          <cell r="DD155">
            <v>4.6050000000000004</v>
          </cell>
          <cell r="DK155">
            <v>7.2</v>
          </cell>
          <cell r="DM155">
            <v>4.6050000000000004</v>
          </cell>
          <cell r="DT155">
            <v>4.8600000000000003</v>
          </cell>
          <cell r="DV155">
            <v>4.6050000000000004</v>
          </cell>
          <cell r="EC155">
            <v>4.32</v>
          </cell>
          <cell r="EE155">
            <v>4.6050000000000004</v>
          </cell>
          <cell r="EL155">
            <v>3.24</v>
          </cell>
          <cell r="EN155">
            <v>4.6050000000000004</v>
          </cell>
          <cell r="EU155">
            <v>2.34</v>
          </cell>
          <cell r="EW155">
            <v>4.6050000000000004</v>
          </cell>
          <cell r="FD155">
            <v>2.52</v>
          </cell>
          <cell r="FF155">
            <v>4.6050000000000004</v>
          </cell>
          <cell r="FM155">
            <v>1.62</v>
          </cell>
          <cell r="FO155">
            <v>4.0650000000000004</v>
          </cell>
          <cell r="FV155">
            <v>1.6199999999999999</v>
          </cell>
          <cell r="FX155">
            <v>4.0650000000000004</v>
          </cell>
          <cell r="GE155">
            <v>2.52</v>
          </cell>
          <cell r="GG155">
            <v>4.6050000000000004</v>
          </cell>
          <cell r="GN155">
            <v>2.16</v>
          </cell>
          <cell r="GP155">
            <v>4.0650000000000004</v>
          </cell>
        </row>
        <row r="156">
          <cell r="A156">
            <v>135</v>
          </cell>
          <cell r="B156" t="str">
            <v>FG</v>
          </cell>
          <cell r="C156" t="str">
            <v>NM</v>
          </cell>
          <cell r="D156" t="str">
            <v>OLEIC-70</v>
          </cell>
          <cell r="H156">
            <v>0.185</v>
          </cell>
          <cell r="O156">
            <v>0.185</v>
          </cell>
          <cell r="R156">
            <v>0.185</v>
          </cell>
          <cell r="AJ156">
            <v>0.185</v>
          </cell>
          <cell r="AS156">
            <v>0.185</v>
          </cell>
          <cell r="BB156">
            <v>0.185</v>
          </cell>
          <cell r="BK156">
            <v>0.185</v>
          </cell>
          <cell r="BT156">
            <v>0.185</v>
          </cell>
          <cell r="CC156">
            <v>0.185</v>
          </cell>
          <cell r="CL156">
            <v>0.185</v>
          </cell>
          <cell r="CU156">
            <v>0.185</v>
          </cell>
          <cell r="DD156">
            <v>0.185</v>
          </cell>
          <cell r="DM156">
            <v>0.185</v>
          </cell>
          <cell r="DV156">
            <v>0.185</v>
          </cell>
          <cell r="EE156">
            <v>0.185</v>
          </cell>
          <cell r="EN156">
            <v>0.185</v>
          </cell>
          <cell r="EW156">
            <v>0.185</v>
          </cell>
          <cell r="FF156">
            <v>0.185</v>
          </cell>
          <cell r="FO156">
            <v>0.185</v>
          </cell>
          <cell r="FX156">
            <v>0.185</v>
          </cell>
          <cell r="GG156">
            <v>0.185</v>
          </cell>
          <cell r="GP156">
            <v>0.185</v>
          </cell>
        </row>
        <row r="157">
          <cell r="A157">
            <v>136</v>
          </cell>
          <cell r="B157" t="str">
            <v>FG</v>
          </cell>
          <cell r="C157" t="str">
            <v>FM</v>
          </cell>
          <cell r="D157" t="str">
            <v>C22:1&gt;90</v>
          </cell>
          <cell r="F157">
            <v>0.18</v>
          </cell>
          <cell r="O157">
            <v>0.18</v>
          </cell>
          <cell r="P157">
            <v>0.18</v>
          </cell>
          <cell r="Y157">
            <v>0.36</v>
          </cell>
          <cell r="AH157">
            <v>0.36</v>
          </cell>
          <cell r="AQ157">
            <v>0.36</v>
          </cell>
          <cell r="AZ157">
            <v>0.36</v>
          </cell>
          <cell r="BI157">
            <v>0.18</v>
          </cell>
          <cell r="BR157">
            <v>0.18</v>
          </cell>
          <cell r="CA157">
            <v>0.18</v>
          </cell>
          <cell r="CJ157">
            <v>0.18</v>
          </cell>
          <cell r="CS157">
            <v>0.18</v>
          </cell>
          <cell r="DB157">
            <v>0.18</v>
          </cell>
          <cell r="DK157">
            <v>0.18</v>
          </cell>
          <cell r="DT157">
            <v>0.18</v>
          </cell>
          <cell r="EC157">
            <v>0.18</v>
          </cell>
          <cell r="EF157">
            <v>6.48</v>
          </cell>
          <cell r="EL157">
            <v>0.18</v>
          </cell>
          <cell r="EU157">
            <v>0.18</v>
          </cell>
          <cell r="FD157">
            <v>0.36</v>
          </cell>
          <cell r="FM157">
            <v>0.18</v>
          </cell>
          <cell r="FP157">
            <v>22.68</v>
          </cell>
          <cell r="FV157">
            <v>0.18</v>
          </cell>
          <cell r="FY157">
            <v>8.2799999999999994</v>
          </cell>
          <cell r="GE157">
            <v>0.18</v>
          </cell>
          <cell r="GH157">
            <v>8.2799999999999994</v>
          </cell>
          <cell r="GN157">
            <v>0.18</v>
          </cell>
          <cell r="GQ157">
            <v>8.2799999999999994</v>
          </cell>
        </row>
        <row r="158">
          <cell r="A158">
            <v>137</v>
          </cell>
          <cell r="B158" t="str">
            <v>FG</v>
          </cell>
          <cell r="C158" t="str">
            <v>NM</v>
          </cell>
          <cell r="D158" t="str">
            <v>DCPS</v>
          </cell>
          <cell r="O158">
            <v>0</v>
          </cell>
        </row>
        <row r="159">
          <cell r="A159">
            <v>138</v>
          </cell>
          <cell r="B159" t="str">
            <v>FG</v>
          </cell>
          <cell r="C159" t="str">
            <v>NM</v>
          </cell>
          <cell r="D159" t="str">
            <v>DFA C12/C14</v>
          </cell>
          <cell r="O159">
            <v>0</v>
          </cell>
        </row>
        <row r="160">
          <cell r="A160">
            <v>139</v>
          </cell>
          <cell r="B160" t="str">
            <v>FG</v>
          </cell>
          <cell r="C160" t="str">
            <v>NM</v>
          </cell>
          <cell r="D160" t="str">
            <v>OLEIC-IG</v>
          </cell>
          <cell r="F160">
            <v>7.56</v>
          </cell>
          <cell r="O160">
            <v>7.56</v>
          </cell>
          <cell r="P160">
            <v>7.56</v>
          </cell>
          <cell r="Y160">
            <v>7.56</v>
          </cell>
          <cell r="AH160">
            <v>7.56</v>
          </cell>
          <cell r="AQ160">
            <v>9</v>
          </cell>
          <cell r="AZ160">
            <v>9</v>
          </cell>
          <cell r="BI160">
            <v>9</v>
          </cell>
          <cell r="BR160">
            <v>9</v>
          </cell>
          <cell r="CA160">
            <v>9</v>
          </cell>
          <cell r="CJ160">
            <v>9</v>
          </cell>
          <cell r="CS160">
            <v>9</v>
          </cell>
          <cell r="GH160">
            <v>8.19</v>
          </cell>
          <cell r="GQ160">
            <v>8.19</v>
          </cell>
        </row>
        <row r="161">
          <cell r="A161">
            <v>140</v>
          </cell>
          <cell r="B161" t="str">
            <v>FG</v>
          </cell>
          <cell r="C161" t="str">
            <v>NM</v>
          </cell>
          <cell r="D161" t="str">
            <v>Vegarol 1214</v>
          </cell>
          <cell r="O161">
            <v>0</v>
          </cell>
          <cell r="AT161">
            <v>1.53</v>
          </cell>
          <cell r="BC161">
            <v>1.53</v>
          </cell>
          <cell r="BU161">
            <v>1.36</v>
          </cell>
          <cell r="CD161">
            <v>1.02</v>
          </cell>
          <cell r="CM161">
            <v>1.02</v>
          </cell>
          <cell r="CV161">
            <v>0.68</v>
          </cell>
          <cell r="DE161">
            <v>14.96</v>
          </cell>
          <cell r="DN161">
            <v>14.96</v>
          </cell>
          <cell r="DW161">
            <v>13.6</v>
          </cell>
          <cell r="EF161">
            <v>13.6</v>
          </cell>
          <cell r="EO161">
            <v>11.22</v>
          </cell>
          <cell r="FG161">
            <v>5.95</v>
          </cell>
          <cell r="FP161">
            <v>22.1</v>
          </cell>
          <cell r="FY161">
            <v>22.1</v>
          </cell>
          <cell r="GH161">
            <v>30.6</v>
          </cell>
          <cell r="GQ161">
            <v>15.81</v>
          </cell>
        </row>
        <row r="162">
          <cell r="A162">
            <v>255</v>
          </cell>
          <cell r="B162" t="str">
            <v>FG</v>
          </cell>
          <cell r="C162" t="str">
            <v>NM</v>
          </cell>
          <cell r="D162" t="str">
            <v>Vegarol 10</v>
          </cell>
          <cell r="GH162">
            <v>14.28</v>
          </cell>
          <cell r="GQ162">
            <v>14.28</v>
          </cell>
        </row>
        <row r="163">
          <cell r="F163">
            <v>72.63000000000001</v>
          </cell>
          <cell r="G163">
            <v>0</v>
          </cell>
          <cell r="H163">
            <v>17.754999999999999</v>
          </cell>
          <cell r="I163">
            <v>0</v>
          </cell>
          <cell r="J163">
            <v>33.25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123.63500000000002</v>
          </cell>
          <cell r="P163">
            <v>76.2</v>
          </cell>
          <cell r="Q163">
            <v>0</v>
          </cell>
          <cell r="R163">
            <v>18.95</v>
          </cell>
          <cell r="S163">
            <v>0</v>
          </cell>
          <cell r="T163">
            <v>22.25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140.62</v>
          </cell>
          <cell r="Z163">
            <v>0</v>
          </cell>
          <cell r="AA163">
            <v>18.86</v>
          </cell>
          <cell r="AB163">
            <v>0</v>
          </cell>
          <cell r="AC163">
            <v>92.25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62.819999999999993</v>
          </cell>
          <cell r="AI163">
            <v>0</v>
          </cell>
          <cell r="AJ163">
            <v>18.684999999999999</v>
          </cell>
          <cell r="AK163">
            <v>0</v>
          </cell>
          <cell r="AL163">
            <v>149.5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87.2</v>
          </cell>
          <cell r="AR163">
            <v>0</v>
          </cell>
          <cell r="AS163">
            <v>19.855</v>
          </cell>
          <cell r="AT163">
            <v>1.53</v>
          </cell>
          <cell r="AU163">
            <v>33.25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148.79000000000005</v>
          </cell>
          <cell r="BA163">
            <v>0</v>
          </cell>
          <cell r="BB163">
            <v>18.684999999999999</v>
          </cell>
          <cell r="BC163">
            <v>1.53</v>
          </cell>
          <cell r="BD163">
            <v>107.25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83.3</v>
          </cell>
          <cell r="BJ163">
            <v>0</v>
          </cell>
          <cell r="BK163">
            <v>18.684999999999999</v>
          </cell>
          <cell r="BL163">
            <v>0</v>
          </cell>
          <cell r="BM163">
            <v>60.25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102.38000000000001</v>
          </cell>
          <cell r="BS163">
            <v>0</v>
          </cell>
          <cell r="BT163">
            <v>18.684999999999999</v>
          </cell>
          <cell r="BU163">
            <v>1.36</v>
          </cell>
          <cell r="BV163">
            <v>82.75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75.990000000000009</v>
          </cell>
          <cell r="CB163">
            <v>0</v>
          </cell>
          <cell r="CC163">
            <v>18.684999999999999</v>
          </cell>
          <cell r="CD163">
            <v>1.02</v>
          </cell>
          <cell r="CE163">
            <v>79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82.93</v>
          </cell>
          <cell r="CK163">
            <v>0</v>
          </cell>
          <cell r="CL163">
            <v>18.684999999999999</v>
          </cell>
          <cell r="CM163">
            <v>1.02</v>
          </cell>
          <cell r="CN163">
            <v>81.5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81.67</v>
          </cell>
          <cell r="CT163">
            <v>0</v>
          </cell>
          <cell r="CU163">
            <v>18.684999999999999</v>
          </cell>
          <cell r="CV163">
            <v>0.68</v>
          </cell>
          <cell r="CW163">
            <v>43.5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76.300000000000011</v>
          </cell>
          <cell r="DC163">
            <v>0</v>
          </cell>
          <cell r="DD163">
            <v>18.684999999999999</v>
          </cell>
          <cell r="DE163">
            <v>14.96</v>
          </cell>
          <cell r="DF163">
            <v>69.5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54.570000000000007</v>
          </cell>
          <cell r="DL163">
            <v>0</v>
          </cell>
          <cell r="DM163">
            <v>18.684999999999999</v>
          </cell>
          <cell r="DN163">
            <v>14.96</v>
          </cell>
          <cell r="DO163">
            <v>49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54.599999999999994</v>
          </cell>
          <cell r="DU163">
            <v>0</v>
          </cell>
          <cell r="DV163">
            <v>18.684999999999999</v>
          </cell>
          <cell r="DW163">
            <v>13.6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35.83</v>
          </cell>
          <cell r="ED163">
            <v>0</v>
          </cell>
          <cell r="EE163">
            <v>18.684999999999999</v>
          </cell>
          <cell r="EF163">
            <v>20.079999999999998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60.1</v>
          </cell>
          <cell r="EM163">
            <v>0</v>
          </cell>
          <cell r="EN163">
            <v>18.684999999999999</v>
          </cell>
          <cell r="EO163">
            <v>14.010000000000002</v>
          </cell>
          <cell r="EP163">
            <v>39.25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17.04</v>
          </cell>
          <cell r="EV163">
            <v>0</v>
          </cell>
          <cell r="EW163">
            <v>18.684999999999999</v>
          </cell>
          <cell r="EX163">
            <v>0</v>
          </cell>
          <cell r="EY163">
            <v>30.75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19.669999999999998</v>
          </cell>
          <cell r="FE163">
            <v>0</v>
          </cell>
          <cell r="FF163">
            <v>18.684999999999999</v>
          </cell>
          <cell r="FG163">
            <v>7.48</v>
          </cell>
          <cell r="FH163">
            <v>72.5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17.61</v>
          </cell>
          <cell r="FN163">
            <v>0</v>
          </cell>
          <cell r="FO163">
            <v>17.55</v>
          </cell>
          <cell r="FP163">
            <v>45.32</v>
          </cell>
          <cell r="FQ163">
            <v>67.25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29.21</v>
          </cell>
          <cell r="FW163">
            <v>0</v>
          </cell>
          <cell r="FX163">
            <v>16.919999999999998</v>
          </cell>
          <cell r="FY163">
            <v>40.28</v>
          </cell>
          <cell r="FZ163">
            <v>61.75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31.82</v>
          </cell>
          <cell r="GF163">
            <v>0</v>
          </cell>
          <cell r="GG163">
            <v>18.684999999999999</v>
          </cell>
          <cell r="GH163">
            <v>69.989999999999995</v>
          </cell>
          <cell r="GI163">
            <v>43.25</v>
          </cell>
          <cell r="GJ163">
            <v>0</v>
          </cell>
          <cell r="GK163">
            <v>0</v>
          </cell>
          <cell r="GL163">
            <v>0</v>
          </cell>
          <cell r="GM163">
            <v>0</v>
          </cell>
          <cell r="GN163">
            <v>77.34</v>
          </cell>
          <cell r="GO163">
            <v>0</v>
          </cell>
          <cell r="GP163">
            <v>17.55</v>
          </cell>
          <cell r="GQ163">
            <v>170.13</v>
          </cell>
          <cell r="GR163">
            <v>44.25</v>
          </cell>
          <cell r="GS163">
            <v>0</v>
          </cell>
          <cell r="GT163">
            <v>0</v>
          </cell>
          <cell r="GU163">
            <v>0</v>
          </cell>
          <cell r="GV163">
            <v>0</v>
          </cell>
        </row>
        <row r="164">
          <cell r="A164" t="str">
            <v>FATTY ACID FLAKES</v>
          </cell>
        </row>
        <row r="165">
          <cell r="A165">
            <v>141</v>
          </cell>
          <cell r="B165" t="str">
            <v>FG</v>
          </cell>
          <cell r="C165" t="str">
            <v>FM</v>
          </cell>
          <cell r="D165" t="str">
            <v>C14&gt;99%</v>
          </cell>
          <cell r="I165">
            <v>32.875</v>
          </cell>
          <cell r="O165">
            <v>32.875</v>
          </cell>
          <cell r="S165">
            <v>32.875</v>
          </cell>
          <cell r="AB165">
            <v>32.875</v>
          </cell>
          <cell r="AK165">
            <v>32.875</v>
          </cell>
          <cell r="AT165">
            <v>32.875</v>
          </cell>
          <cell r="BC165">
            <v>32.875</v>
          </cell>
          <cell r="BL165">
            <v>32.875</v>
          </cell>
          <cell r="BU165">
            <v>32.875</v>
          </cell>
          <cell r="CD165">
            <v>32.875</v>
          </cell>
          <cell r="CM165">
            <v>32.875</v>
          </cell>
          <cell r="CV165">
            <v>32.875</v>
          </cell>
          <cell r="DE165">
            <v>32.875</v>
          </cell>
          <cell r="DN165">
            <v>32.875</v>
          </cell>
          <cell r="DW165">
            <v>32.875</v>
          </cell>
          <cell r="EF165">
            <v>32.875</v>
          </cell>
          <cell r="EO165">
            <v>32.875</v>
          </cell>
          <cell r="FG165">
            <v>32.875</v>
          </cell>
          <cell r="FP165">
            <v>32.875</v>
          </cell>
          <cell r="FY165">
            <v>32.875</v>
          </cell>
          <cell r="GH165">
            <v>32.875</v>
          </cell>
          <cell r="GQ165">
            <v>32.875</v>
          </cell>
        </row>
        <row r="166">
          <cell r="A166">
            <v>142</v>
          </cell>
          <cell r="B166" t="str">
            <v>FG</v>
          </cell>
          <cell r="C166" t="str">
            <v>FM</v>
          </cell>
          <cell r="D166" t="str">
            <v>C16 85%</v>
          </cell>
          <cell r="I166">
            <v>0</v>
          </cell>
          <cell r="O166">
            <v>0</v>
          </cell>
          <cell r="S166">
            <v>0</v>
          </cell>
          <cell r="AB166">
            <v>0</v>
          </cell>
          <cell r="AK166">
            <v>0</v>
          </cell>
          <cell r="BL166">
            <v>0</v>
          </cell>
        </row>
        <row r="167">
          <cell r="A167">
            <v>143</v>
          </cell>
          <cell r="B167" t="str">
            <v>FG</v>
          </cell>
          <cell r="C167" t="str">
            <v>FM</v>
          </cell>
          <cell r="D167" t="str">
            <v>UTSR</v>
          </cell>
          <cell r="F167">
            <v>195.8</v>
          </cell>
          <cell r="H167">
            <v>52.35</v>
          </cell>
          <cell r="I167">
            <v>293.16000000000003</v>
          </cell>
          <cell r="O167">
            <v>541.31000000000006</v>
          </cell>
          <cell r="P167">
            <v>85.3</v>
          </cell>
          <cell r="R167">
            <v>113.35</v>
          </cell>
          <cell r="S167">
            <v>191.16</v>
          </cell>
          <cell r="Y167">
            <v>92.55</v>
          </cell>
          <cell r="AA167">
            <v>137.35</v>
          </cell>
          <cell r="AB167">
            <v>243.535</v>
          </cell>
          <cell r="AH167">
            <v>54.55</v>
          </cell>
          <cell r="AJ167">
            <v>112.35</v>
          </cell>
          <cell r="AK167">
            <v>277.53500000000003</v>
          </cell>
          <cell r="AQ167">
            <v>71.05</v>
          </cell>
          <cell r="AS167">
            <v>104.85</v>
          </cell>
          <cell r="AT167">
            <v>200.76</v>
          </cell>
          <cell r="AZ167">
            <v>124.05</v>
          </cell>
          <cell r="BB167">
            <v>145.85</v>
          </cell>
          <cell r="BC167">
            <v>327.11</v>
          </cell>
          <cell r="BI167">
            <v>128.30000000000001</v>
          </cell>
          <cell r="BK167">
            <v>175.85</v>
          </cell>
          <cell r="BL167">
            <v>438.26</v>
          </cell>
          <cell r="BR167">
            <v>87.05</v>
          </cell>
          <cell r="BT167">
            <v>194.85</v>
          </cell>
          <cell r="BU167">
            <v>205.45</v>
          </cell>
          <cell r="CA167">
            <v>71.05</v>
          </cell>
          <cell r="CC167">
            <v>141.85</v>
          </cell>
          <cell r="CD167">
            <v>302.58</v>
          </cell>
          <cell r="CJ167">
            <v>71.05</v>
          </cell>
          <cell r="CL167">
            <v>107.85</v>
          </cell>
          <cell r="CM167">
            <v>378.91</v>
          </cell>
          <cell r="CS167">
            <v>71.05</v>
          </cell>
          <cell r="CU167">
            <v>89.85</v>
          </cell>
          <cell r="CV167">
            <v>311.41000000000003</v>
          </cell>
          <cell r="DB167">
            <v>85.05</v>
          </cell>
          <cell r="DD167">
            <v>23.85</v>
          </cell>
          <cell r="DE167">
            <v>277.16000000000003</v>
          </cell>
          <cell r="DK167">
            <v>66.150000000000006</v>
          </cell>
          <cell r="DM167">
            <v>41.85</v>
          </cell>
          <cell r="DN167">
            <v>143.16</v>
          </cell>
          <cell r="DT167">
            <v>84.95</v>
          </cell>
          <cell r="DV167">
            <v>41.85</v>
          </cell>
          <cell r="DW167">
            <v>144.41</v>
          </cell>
          <cell r="EC167">
            <v>84.95</v>
          </cell>
          <cell r="EE167">
            <v>57.35</v>
          </cell>
          <cell r="EF167">
            <v>151.16</v>
          </cell>
          <cell r="EL167">
            <v>95.3</v>
          </cell>
          <cell r="EN167">
            <v>7.35</v>
          </cell>
          <cell r="EO167">
            <v>351.78500000000003</v>
          </cell>
          <cell r="EU167">
            <v>42.3</v>
          </cell>
          <cell r="EW167">
            <v>16.350000000000001</v>
          </cell>
          <cell r="FF167">
            <v>45.35</v>
          </cell>
          <cell r="FG167">
            <v>205.71</v>
          </cell>
          <cell r="FM167">
            <v>30</v>
          </cell>
          <cell r="FO167">
            <v>45.35</v>
          </cell>
          <cell r="FP167">
            <v>89.21</v>
          </cell>
          <cell r="FV167">
            <v>14</v>
          </cell>
          <cell r="FX167">
            <v>45.35</v>
          </cell>
          <cell r="FY167">
            <v>46.21</v>
          </cell>
          <cell r="GE167">
            <v>5</v>
          </cell>
          <cell r="GG167">
            <v>4.3499999999999996</v>
          </cell>
          <cell r="GH167">
            <v>23.21</v>
          </cell>
          <cell r="GP167">
            <v>45.35</v>
          </cell>
          <cell r="GQ167">
            <v>172.91</v>
          </cell>
        </row>
        <row r="168">
          <cell r="A168">
            <v>144</v>
          </cell>
          <cell r="B168" t="str">
            <v>FG</v>
          </cell>
          <cell r="C168" t="str">
            <v>FM</v>
          </cell>
          <cell r="D168" t="str">
            <v>UTSR SPECIAL</v>
          </cell>
          <cell r="I168">
            <v>0.45</v>
          </cell>
          <cell r="O168">
            <v>0.45</v>
          </cell>
          <cell r="S168">
            <v>0.45</v>
          </cell>
          <cell r="AB168">
            <v>0.45</v>
          </cell>
          <cell r="AK168">
            <v>0.45</v>
          </cell>
          <cell r="AT168">
            <v>0.45</v>
          </cell>
          <cell r="BC168">
            <v>0.45</v>
          </cell>
          <cell r="BL168">
            <v>0</v>
          </cell>
          <cell r="BU168">
            <v>215.31</v>
          </cell>
        </row>
        <row r="169">
          <cell r="A169">
            <v>145</v>
          </cell>
          <cell r="B169" t="str">
            <v>FG</v>
          </cell>
          <cell r="C169" t="str">
            <v>FM</v>
          </cell>
          <cell r="D169" t="str">
            <v>DTP-7</v>
          </cell>
          <cell r="F169">
            <v>1.8</v>
          </cell>
          <cell r="H169">
            <v>36.200000000000003</v>
          </cell>
          <cell r="I169">
            <v>53.05</v>
          </cell>
          <cell r="O169">
            <v>91.05</v>
          </cell>
          <cell r="P169">
            <v>1.8</v>
          </cell>
          <cell r="R169">
            <v>27.2</v>
          </cell>
          <cell r="S169">
            <v>281.10000000000002</v>
          </cell>
          <cell r="Y169">
            <v>0.1</v>
          </cell>
          <cell r="AA169">
            <v>2.2000000000000002</v>
          </cell>
          <cell r="AB169">
            <v>177.6</v>
          </cell>
          <cell r="AJ169">
            <v>0.9</v>
          </cell>
          <cell r="AK169">
            <v>59.6</v>
          </cell>
          <cell r="AS169">
            <v>0.9</v>
          </cell>
          <cell r="AT169">
            <v>223.65</v>
          </cell>
          <cell r="BB169">
            <v>0.9</v>
          </cell>
          <cell r="BC169">
            <v>186.65</v>
          </cell>
          <cell r="BK169">
            <v>0.9</v>
          </cell>
          <cell r="BL169">
            <v>8.65</v>
          </cell>
          <cell r="BT169">
            <v>0.9</v>
          </cell>
          <cell r="BU169">
            <v>88.6</v>
          </cell>
          <cell r="CC169">
            <v>0.9</v>
          </cell>
          <cell r="CD169">
            <v>123.5</v>
          </cell>
          <cell r="CL169">
            <v>0.9</v>
          </cell>
          <cell r="CM169">
            <v>102</v>
          </cell>
          <cell r="CU169">
            <v>0.9</v>
          </cell>
          <cell r="CV169">
            <v>59.5</v>
          </cell>
          <cell r="DD169">
            <v>30.574999999999999</v>
          </cell>
          <cell r="DE169">
            <v>117.65</v>
          </cell>
          <cell r="DM169">
            <v>0.9</v>
          </cell>
          <cell r="DN169">
            <v>289.8</v>
          </cell>
          <cell r="DV169">
            <v>0.9</v>
          </cell>
          <cell r="DW169">
            <v>432.65</v>
          </cell>
          <cell r="EE169">
            <v>0.9</v>
          </cell>
          <cell r="EF169">
            <v>316.14999999999998</v>
          </cell>
          <cell r="EN169">
            <v>0.9</v>
          </cell>
          <cell r="EO169">
            <v>164.05</v>
          </cell>
          <cell r="EW169">
            <v>0.9</v>
          </cell>
          <cell r="FF169">
            <v>0.9</v>
          </cell>
          <cell r="FG169">
            <v>162.69999999999999</v>
          </cell>
          <cell r="FO169">
            <v>0.9000000000000028</v>
          </cell>
          <cell r="FP169">
            <v>97.7</v>
          </cell>
          <cell r="FV169">
            <v>0.35</v>
          </cell>
          <cell r="FX169">
            <v>0.9</v>
          </cell>
          <cell r="FY169">
            <v>159.4</v>
          </cell>
          <cell r="GE169">
            <v>0.35</v>
          </cell>
          <cell r="GG169">
            <v>0.9</v>
          </cell>
          <cell r="GH169">
            <v>62.65</v>
          </cell>
          <cell r="GP169">
            <v>0.9</v>
          </cell>
          <cell r="GQ169">
            <v>3.65</v>
          </cell>
        </row>
        <row r="170">
          <cell r="A170">
            <v>146</v>
          </cell>
          <cell r="B170" t="str">
            <v>FG</v>
          </cell>
          <cell r="C170" t="str">
            <v>FM</v>
          </cell>
          <cell r="D170" t="str">
            <v>DTP-CT</v>
          </cell>
          <cell r="F170">
            <v>4.6500000000000004</v>
          </cell>
          <cell r="H170">
            <v>20</v>
          </cell>
          <cell r="I170">
            <v>0</v>
          </cell>
          <cell r="O170">
            <v>24.65</v>
          </cell>
          <cell r="P170">
            <v>77.650000000000006</v>
          </cell>
          <cell r="R170">
            <v>80</v>
          </cell>
          <cell r="S170">
            <v>0</v>
          </cell>
          <cell r="Y170">
            <v>79.650000000000006</v>
          </cell>
          <cell r="AA170">
            <v>95</v>
          </cell>
          <cell r="AB170">
            <v>0</v>
          </cell>
          <cell r="AH170">
            <v>79.650000000000006</v>
          </cell>
          <cell r="AJ170">
            <v>95</v>
          </cell>
          <cell r="AK170">
            <v>0</v>
          </cell>
          <cell r="AQ170">
            <v>61.45</v>
          </cell>
          <cell r="AS170">
            <v>85</v>
          </cell>
          <cell r="AZ170">
            <v>59.45</v>
          </cell>
          <cell r="BB170">
            <v>85</v>
          </cell>
          <cell r="BI170">
            <v>56.45</v>
          </cell>
          <cell r="BK170">
            <v>85</v>
          </cell>
          <cell r="BL170">
            <v>0</v>
          </cell>
          <cell r="BR170">
            <v>29.45</v>
          </cell>
          <cell r="BT170">
            <v>85</v>
          </cell>
          <cell r="CA170">
            <v>14.45</v>
          </cell>
          <cell r="CC170">
            <v>69</v>
          </cell>
          <cell r="CJ170">
            <v>14.45</v>
          </cell>
          <cell r="CL170">
            <v>69</v>
          </cell>
          <cell r="CS170">
            <v>14.45</v>
          </cell>
          <cell r="CU170">
            <v>69</v>
          </cell>
          <cell r="DB170">
            <v>7.95</v>
          </cell>
          <cell r="DD170">
            <v>69</v>
          </cell>
          <cell r="DK170">
            <v>4.95</v>
          </cell>
          <cell r="DM170">
            <v>69</v>
          </cell>
          <cell r="DT170">
            <v>4.8499999999999996</v>
          </cell>
          <cell r="DV170">
            <v>69</v>
          </cell>
          <cell r="EC170">
            <v>4.8499999999999996</v>
          </cell>
          <cell r="EE170">
            <v>69</v>
          </cell>
          <cell r="EL170">
            <v>2.35</v>
          </cell>
          <cell r="EN170">
            <v>60.35</v>
          </cell>
          <cell r="EU170">
            <v>2.35</v>
          </cell>
          <cell r="EW170">
            <v>50.35</v>
          </cell>
          <cell r="FF170">
            <v>8.35</v>
          </cell>
          <cell r="FM170">
            <v>0.35</v>
          </cell>
          <cell r="FO170">
            <v>1.35</v>
          </cell>
          <cell r="FX170">
            <v>1.35</v>
          </cell>
          <cell r="GG170">
            <v>1.35</v>
          </cell>
          <cell r="GN170">
            <v>0.15</v>
          </cell>
          <cell r="GP170">
            <v>1.35</v>
          </cell>
        </row>
        <row r="171">
          <cell r="A171">
            <v>147</v>
          </cell>
          <cell r="B171" t="str">
            <v>FG</v>
          </cell>
          <cell r="C171" t="str">
            <v>FM</v>
          </cell>
          <cell r="D171" t="str">
            <v>P-12</v>
          </cell>
          <cell r="F171">
            <v>0.4</v>
          </cell>
          <cell r="H171">
            <v>18</v>
          </cell>
          <cell r="I171">
            <v>40.4</v>
          </cell>
          <cell r="O171">
            <v>58.8</v>
          </cell>
          <cell r="P171">
            <v>0.4</v>
          </cell>
          <cell r="R171">
            <v>2.5499999999999998</v>
          </cell>
          <cell r="S171">
            <v>32.75</v>
          </cell>
          <cell r="Y171">
            <v>28.3</v>
          </cell>
          <cell r="AA171">
            <v>30.55</v>
          </cell>
          <cell r="AB171">
            <v>81.25</v>
          </cell>
          <cell r="AH171">
            <v>33.799999999999997</v>
          </cell>
          <cell r="AJ171">
            <v>76.224999999999994</v>
          </cell>
          <cell r="AK171">
            <v>93.4</v>
          </cell>
          <cell r="AQ171">
            <v>33.799999999999997</v>
          </cell>
          <cell r="AS171">
            <v>76.224999999999994</v>
          </cell>
          <cell r="AT171">
            <v>82.4</v>
          </cell>
          <cell r="AZ171">
            <v>17.8</v>
          </cell>
          <cell r="BB171">
            <v>76.224999999999994</v>
          </cell>
          <cell r="BC171">
            <v>82.4</v>
          </cell>
          <cell r="BI171">
            <v>1.8</v>
          </cell>
          <cell r="BK171">
            <v>77.224999999999994</v>
          </cell>
          <cell r="BL171">
            <v>58.4</v>
          </cell>
          <cell r="BR171">
            <v>17.8</v>
          </cell>
          <cell r="BT171">
            <v>76.224999999999994</v>
          </cell>
          <cell r="BU171">
            <v>58.4</v>
          </cell>
          <cell r="CA171">
            <v>17.8</v>
          </cell>
          <cell r="CC171">
            <v>60.225000000000001</v>
          </cell>
          <cell r="CD171">
            <v>43.4</v>
          </cell>
          <cell r="CJ171">
            <v>1.8</v>
          </cell>
          <cell r="CL171">
            <v>60.225000000000001</v>
          </cell>
          <cell r="CM171">
            <v>42.4</v>
          </cell>
          <cell r="CS171">
            <v>76.8</v>
          </cell>
          <cell r="CU171">
            <v>60.225000000000001</v>
          </cell>
          <cell r="CV171">
            <v>97.3</v>
          </cell>
          <cell r="DB171">
            <v>76.8</v>
          </cell>
          <cell r="DD171">
            <v>30.55</v>
          </cell>
          <cell r="DE171">
            <v>135.69999999999999</v>
          </cell>
          <cell r="DK171">
            <v>57.8</v>
          </cell>
          <cell r="DM171">
            <v>79.224999999999994</v>
          </cell>
          <cell r="DN171">
            <v>115.7</v>
          </cell>
          <cell r="DT171">
            <v>60.3</v>
          </cell>
          <cell r="DV171">
            <v>79.224999999999994</v>
          </cell>
          <cell r="DW171">
            <v>109.4</v>
          </cell>
          <cell r="EC171">
            <v>60.3</v>
          </cell>
          <cell r="EE171">
            <v>79.224999999999994</v>
          </cell>
          <cell r="EF171">
            <v>82.4</v>
          </cell>
          <cell r="EL171">
            <v>60.3</v>
          </cell>
          <cell r="EN171">
            <v>79.224999999999994</v>
          </cell>
          <cell r="EO171">
            <v>26.9</v>
          </cell>
          <cell r="EU171">
            <v>60.3</v>
          </cell>
          <cell r="EW171">
            <v>79.224999999999994</v>
          </cell>
          <cell r="FF171">
            <v>79.224999999999994</v>
          </cell>
          <cell r="FG171">
            <v>2.1</v>
          </cell>
          <cell r="FM171">
            <v>29.1</v>
          </cell>
          <cell r="FO171">
            <v>79.174999999999997</v>
          </cell>
          <cell r="FP171">
            <v>0.1</v>
          </cell>
          <cell r="FV171">
            <v>24.1</v>
          </cell>
          <cell r="FX171">
            <v>79.174999999999997</v>
          </cell>
          <cell r="FY171">
            <v>0.1</v>
          </cell>
          <cell r="GE171">
            <v>6.1</v>
          </cell>
          <cell r="GG171">
            <v>53.225000000000001</v>
          </cell>
          <cell r="GH171">
            <v>0.1</v>
          </cell>
          <cell r="GN171">
            <v>3.8</v>
          </cell>
          <cell r="GP171">
            <v>37.174999999999997</v>
          </cell>
        </row>
        <row r="172">
          <cell r="A172">
            <v>148</v>
          </cell>
          <cell r="B172" t="str">
            <v>FG</v>
          </cell>
          <cell r="C172" t="str">
            <v>FM</v>
          </cell>
          <cell r="D172" t="str">
            <v>P-12 SPECIAL</v>
          </cell>
          <cell r="I172">
            <v>25</v>
          </cell>
          <cell r="O172">
            <v>25</v>
          </cell>
          <cell r="S172">
            <v>21</v>
          </cell>
          <cell r="AB172">
            <v>21</v>
          </cell>
          <cell r="AK172">
            <v>21</v>
          </cell>
          <cell r="BL172">
            <v>18.5</v>
          </cell>
        </row>
        <row r="173">
          <cell r="A173">
            <v>149</v>
          </cell>
          <cell r="B173" t="str">
            <v>FG</v>
          </cell>
          <cell r="C173" t="str">
            <v>NM</v>
          </cell>
          <cell r="D173" t="str">
            <v>BEHENIC-75</v>
          </cell>
          <cell r="I173">
            <v>0</v>
          </cell>
          <cell r="O173">
            <v>0</v>
          </cell>
          <cell r="S173">
            <v>0</v>
          </cell>
          <cell r="AB173">
            <v>0</v>
          </cell>
          <cell r="AK173">
            <v>0</v>
          </cell>
          <cell r="BL173">
            <v>0</v>
          </cell>
        </row>
        <row r="174">
          <cell r="A174">
            <v>150</v>
          </cell>
          <cell r="B174" t="str">
            <v>FG</v>
          </cell>
          <cell r="C174" t="str">
            <v>NM</v>
          </cell>
          <cell r="D174" t="str">
            <v>BEHENIC-85</v>
          </cell>
          <cell r="I174">
            <v>0</v>
          </cell>
          <cell r="O174">
            <v>0</v>
          </cell>
          <cell r="S174">
            <v>0</v>
          </cell>
          <cell r="AB174">
            <v>0</v>
          </cell>
          <cell r="AK174">
            <v>0</v>
          </cell>
          <cell r="BL174">
            <v>0</v>
          </cell>
        </row>
        <row r="175">
          <cell r="A175">
            <v>151</v>
          </cell>
          <cell r="B175" t="str">
            <v>FG</v>
          </cell>
          <cell r="C175" t="str">
            <v>FM</v>
          </cell>
          <cell r="D175" t="str">
            <v>BEHENIC-90</v>
          </cell>
          <cell r="F175">
            <v>77.7</v>
          </cell>
          <cell r="I175">
            <v>0</v>
          </cell>
          <cell r="O175">
            <v>77.7</v>
          </cell>
          <cell r="P175">
            <v>77.7</v>
          </cell>
          <cell r="S175">
            <v>0</v>
          </cell>
          <cell r="Y175">
            <v>77.7</v>
          </cell>
          <cell r="AB175">
            <v>0</v>
          </cell>
          <cell r="AH175">
            <v>77.7</v>
          </cell>
          <cell r="AK175">
            <v>0</v>
          </cell>
          <cell r="AQ175">
            <v>77.7</v>
          </cell>
          <cell r="AZ175">
            <v>72.8</v>
          </cell>
          <cell r="BI175">
            <v>70</v>
          </cell>
          <cell r="BL175">
            <v>0</v>
          </cell>
          <cell r="BR175">
            <v>72.8</v>
          </cell>
          <cell r="CA175">
            <v>52.8</v>
          </cell>
          <cell r="CJ175">
            <v>52.8</v>
          </cell>
          <cell r="CS175">
            <v>32.799999999999997</v>
          </cell>
          <cell r="DK175">
            <v>5</v>
          </cell>
          <cell r="DT175">
            <v>3.5</v>
          </cell>
          <cell r="EC175">
            <v>3.5</v>
          </cell>
          <cell r="EL175">
            <v>3.5</v>
          </cell>
          <cell r="EU175">
            <v>3.5</v>
          </cell>
          <cell r="FM175">
            <v>3.5</v>
          </cell>
          <cell r="FV175">
            <v>3.5</v>
          </cell>
          <cell r="GE175">
            <v>3.5</v>
          </cell>
        </row>
        <row r="176">
          <cell r="A176">
            <v>152</v>
          </cell>
          <cell r="B176" t="str">
            <v>FG</v>
          </cell>
          <cell r="C176" t="str">
            <v>FM</v>
          </cell>
          <cell r="D176" t="str">
            <v>G3 STEARIC</v>
          </cell>
          <cell r="H176">
            <v>1.75</v>
          </cell>
          <cell r="I176">
            <v>0</v>
          </cell>
          <cell r="O176">
            <v>1.75</v>
          </cell>
          <cell r="R176">
            <v>1.75</v>
          </cell>
          <cell r="S176">
            <v>0</v>
          </cell>
          <cell r="AA176">
            <v>1.75</v>
          </cell>
          <cell r="AB176">
            <v>0</v>
          </cell>
          <cell r="AJ176">
            <v>1.75</v>
          </cell>
          <cell r="AK176">
            <v>0</v>
          </cell>
          <cell r="AS176">
            <v>1.75</v>
          </cell>
          <cell r="BB176">
            <v>1.75</v>
          </cell>
          <cell r="BK176">
            <v>1.75</v>
          </cell>
          <cell r="BL176">
            <v>0</v>
          </cell>
          <cell r="BT176">
            <v>1.75</v>
          </cell>
          <cell r="CC176">
            <v>1.75</v>
          </cell>
          <cell r="CL176">
            <v>1.75</v>
          </cell>
          <cell r="CU176">
            <v>1.75</v>
          </cell>
          <cell r="DD176">
            <v>1.75</v>
          </cell>
          <cell r="DM176">
            <v>1.75</v>
          </cell>
          <cell r="DV176">
            <v>1.75</v>
          </cell>
          <cell r="EE176">
            <v>1.75</v>
          </cell>
          <cell r="EN176">
            <v>1.75</v>
          </cell>
          <cell r="EW176">
            <v>1.75</v>
          </cell>
          <cell r="FF176">
            <v>1.75</v>
          </cell>
          <cell r="FO176">
            <v>3.9</v>
          </cell>
          <cell r="FX176">
            <v>3.9</v>
          </cell>
          <cell r="GG176">
            <v>1.75</v>
          </cell>
          <cell r="GP176">
            <v>3.9</v>
          </cell>
        </row>
        <row r="177">
          <cell r="A177">
            <v>153</v>
          </cell>
          <cell r="B177" t="str">
            <v>FG</v>
          </cell>
          <cell r="C177" t="str">
            <v>NM</v>
          </cell>
          <cell r="D177" t="str">
            <v>HYD.CASTOR OIL</v>
          </cell>
          <cell r="I177">
            <v>0</v>
          </cell>
          <cell r="O177">
            <v>0</v>
          </cell>
          <cell r="S177">
            <v>0</v>
          </cell>
          <cell r="AB177">
            <v>0</v>
          </cell>
          <cell r="AK177">
            <v>0</v>
          </cell>
          <cell r="BL177">
            <v>0</v>
          </cell>
        </row>
        <row r="178">
          <cell r="A178">
            <v>154</v>
          </cell>
          <cell r="B178" t="str">
            <v>FG</v>
          </cell>
          <cell r="C178" t="str">
            <v>FM</v>
          </cell>
          <cell r="D178" t="str">
            <v>C16  W/E</v>
          </cell>
          <cell r="I178">
            <v>25.98</v>
          </cell>
          <cell r="O178">
            <v>25.98</v>
          </cell>
          <cell r="S178">
            <v>40.229999999999997</v>
          </cell>
          <cell r="AB178">
            <v>40.229999999999997</v>
          </cell>
          <cell r="AK178">
            <v>40.229999999999997</v>
          </cell>
          <cell r="AT178">
            <v>40.229999999999997</v>
          </cell>
          <cell r="BC178">
            <v>40.229999999999997</v>
          </cell>
          <cell r="BL178">
            <v>40.229999999999997</v>
          </cell>
          <cell r="BU178">
            <v>40.229999999999997</v>
          </cell>
          <cell r="CD178">
            <v>40.229999999999997</v>
          </cell>
          <cell r="CM178">
            <v>40.229999999999997</v>
          </cell>
          <cell r="CV178">
            <v>40.229999999999997</v>
          </cell>
          <cell r="DE178">
            <v>40.229999999999997</v>
          </cell>
          <cell r="DN178">
            <v>40.229999999999997</v>
          </cell>
          <cell r="DW178">
            <v>41.03</v>
          </cell>
          <cell r="EF178">
            <v>41.03</v>
          </cell>
          <cell r="EO178">
            <v>41.03</v>
          </cell>
          <cell r="FG178">
            <v>41.03</v>
          </cell>
          <cell r="FP178">
            <v>41.03</v>
          </cell>
          <cell r="FY178">
            <v>41.03</v>
          </cell>
          <cell r="GH178">
            <v>41.03</v>
          </cell>
          <cell r="GQ178">
            <v>41.03</v>
          </cell>
        </row>
        <row r="179">
          <cell r="A179">
            <v>155</v>
          </cell>
          <cell r="B179" t="str">
            <v>FG</v>
          </cell>
          <cell r="C179" t="str">
            <v>FM</v>
          </cell>
          <cell r="D179" t="str">
            <v>C18  W/E</v>
          </cell>
          <cell r="I179">
            <v>15.64</v>
          </cell>
          <cell r="O179">
            <v>15.64</v>
          </cell>
          <cell r="S179">
            <v>15.64</v>
          </cell>
          <cell r="AB179">
            <v>15.64</v>
          </cell>
          <cell r="AK179">
            <v>15.64</v>
          </cell>
          <cell r="AT179">
            <v>15.64</v>
          </cell>
          <cell r="BC179">
            <v>15.64</v>
          </cell>
          <cell r="BL179">
            <v>15.64</v>
          </cell>
          <cell r="BU179">
            <v>15.64</v>
          </cell>
          <cell r="CD179">
            <v>15.64</v>
          </cell>
          <cell r="CM179">
            <v>15.64</v>
          </cell>
          <cell r="CV179">
            <v>15.64</v>
          </cell>
          <cell r="DE179">
            <v>15.64</v>
          </cell>
          <cell r="DN179">
            <v>15.64</v>
          </cell>
          <cell r="DW179">
            <v>15.64</v>
          </cell>
          <cell r="EF179">
            <v>15.64</v>
          </cell>
          <cell r="EO179">
            <v>15.64</v>
          </cell>
          <cell r="FG179">
            <v>15.64</v>
          </cell>
          <cell r="FP179">
            <v>15.64</v>
          </cell>
          <cell r="FY179">
            <v>15.64</v>
          </cell>
          <cell r="GH179">
            <v>15.64</v>
          </cell>
          <cell r="GQ179">
            <v>15.64</v>
          </cell>
        </row>
        <row r="180">
          <cell r="A180">
            <v>156</v>
          </cell>
          <cell r="B180" t="str">
            <v>FG</v>
          </cell>
          <cell r="C180" t="str">
            <v>FM</v>
          </cell>
          <cell r="D180" t="str">
            <v>C1618  W/E</v>
          </cell>
          <cell r="I180">
            <v>15.46</v>
          </cell>
          <cell r="O180">
            <v>15.46</v>
          </cell>
          <cell r="S180">
            <v>15.46</v>
          </cell>
          <cell r="AB180">
            <v>15.46</v>
          </cell>
          <cell r="AK180">
            <v>15.46</v>
          </cell>
          <cell r="AT180">
            <v>15.46</v>
          </cell>
          <cell r="BC180">
            <v>15.46</v>
          </cell>
          <cell r="BL180">
            <v>15.46</v>
          </cell>
          <cell r="BU180">
            <v>15.46</v>
          </cell>
          <cell r="CD180">
            <v>15.46</v>
          </cell>
          <cell r="CM180">
            <v>15.46</v>
          </cell>
          <cell r="CV180">
            <v>15.46</v>
          </cell>
          <cell r="DE180">
            <v>15.46</v>
          </cell>
          <cell r="DN180">
            <v>31.21</v>
          </cell>
          <cell r="DW180">
            <v>31.21</v>
          </cell>
          <cell r="EF180">
            <v>31.21</v>
          </cell>
          <cell r="EO180">
            <v>31.21</v>
          </cell>
          <cell r="FG180">
            <v>31.21</v>
          </cell>
          <cell r="FP180">
            <v>31.21</v>
          </cell>
          <cell r="FY180">
            <v>31.21</v>
          </cell>
          <cell r="GH180">
            <v>31.21</v>
          </cell>
          <cell r="GQ180">
            <v>31.21</v>
          </cell>
        </row>
        <row r="181">
          <cell r="A181">
            <v>157</v>
          </cell>
          <cell r="B181" t="str">
            <v>FG</v>
          </cell>
          <cell r="C181" t="str">
            <v>NM</v>
          </cell>
          <cell r="D181" t="str">
            <v>CONTAMINATED FATTY ACID</v>
          </cell>
          <cell r="I181">
            <v>37</v>
          </cell>
          <cell r="O181">
            <v>37</v>
          </cell>
          <cell r="S181">
            <v>37</v>
          </cell>
          <cell r="AB181">
            <v>38</v>
          </cell>
          <cell r="AK181">
            <v>38</v>
          </cell>
          <cell r="AT181">
            <v>40</v>
          </cell>
          <cell r="BC181">
            <v>40</v>
          </cell>
          <cell r="BL181">
            <v>41</v>
          </cell>
          <cell r="BU181">
            <v>31</v>
          </cell>
          <cell r="CD181">
            <v>31</v>
          </cell>
          <cell r="CM181">
            <v>31</v>
          </cell>
          <cell r="CV181">
            <v>31</v>
          </cell>
          <cell r="DE181">
            <v>31</v>
          </cell>
          <cell r="DN181">
            <v>31</v>
          </cell>
          <cell r="DW181">
            <v>31</v>
          </cell>
          <cell r="EF181">
            <v>31</v>
          </cell>
          <cell r="EO181">
            <v>31</v>
          </cell>
          <cell r="FG181">
            <v>25</v>
          </cell>
          <cell r="FP181">
            <v>25</v>
          </cell>
          <cell r="FY181">
            <v>25</v>
          </cell>
          <cell r="GH181">
            <v>25</v>
          </cell>
          <cell r="GQ181">
            <v>25</v>
          </cell>
        </row>
        <row r="182">
          <cell r="A182">
            <v>158</v>
          </cell>
          <cell r="B182" t="str">
            <v>FG</v>
          </cell>
          <cell r="C182" t="str">
            <v>NM</v>
          </cell>
          <cell r="D182" t="str">
            <v>STEARIC ACID - SPECIAL</v>
          </cell>
          <cell r="F182">
            <v>1.35</v>
          </cell>
          <cell r="H182">
            <v>1.05</v>
          </cell>
          <cell r="I182">
            <v>0</v>
          </cell>
          <cell r="O182">
            <v>2.4000000000000004</v>
          </cell>
          <cell r="P182">
            <v>1.35</v>
          </cell>
          <cell r="R182">
            <v>1.05</v>
          </cell>
          <cell r="S182">
            <v>0</v>
          </cell>
          <cell r="Y182">
            <v>1.35</v>
          </cell>
          <cell r="AA182">
            <v>1.05</v>
          </cell>
          <cell r="AB182">
            <v>0</v>
          </cell>
          <cell r="AH182">
            <v>1.35</v>
          </cell>
          <cell r="AJ182">
            <v>1.05</v>
          </cell>
          <cell r="AK182">
            <v>0</v>
          </cell>
          <cell r="AQ182">
            <v>1.35</v>
          </cell>
          <cell r="AS182">
            <v>1.05</v>
          </cell>
          <cell r="AZ182">
            <v>1.35</v>
          </cell>
          <cell r="BB182">
            <v>1.05</v>
          </cell>
          <cell r="BI182">
            <v>1.35</v>
          </cell>
          <cell r="BK182">
            <v>1.05</v>
          </cell>
          <cell r="BL182">
            <v>0</v>
          </cell>
          <cell r="BR182">
            <v>1.35</v>
          </cell>
          <cell r="BT182">
            <v>1.05</v>
          </cell>
          <cell r="CA182">
            <v>1.35</v>
          </cell>
          <cell r="CC182">
            <v>1.05</v>
          </cell>
          <cell r="CJ182">
            <v>1.35</v>
          </cell>
          <cell r="CL182">
            <v>1.05</v>
          </cell>
          <cell r="CS182">
            <v>1.35</v>
          </cell>
          <cell r="CU182">
            <v>1.05</v>
          </cell>
          <cell r="DB182">
            <v>1.35</v>
          </cell>
          <cell r="DD182">
            <v>1.05</v>
          </cell>
          <cell r="DK182">
            <v>1.35</v>
          </cell>
          <cell r="DM182">
            <v>1.05</v>
          </cell>
          <cell r="DT182">
            <v>1.35</v>
          </cell>
          <cell r="DV182">
            <v>1.05</v>
          </cell>
          <cell r="EC182">
            <v>1.35</v>
          </cell>
          <cell r="EE182">
            <v>1.05</v>
          </cell>
          <cell r="EL182">
            <v>1.35</v>
          </cell>
          <cell r="EN182">
            <v>1.05</v>
          </cell>
          <cell r="EU182">
            <v>1.35</v>
          </cell>
          <cell r="EW182">
            <v>1.05</v>
          </cell>
          <cell r="FF182">
            <v>1.05</v>
          </cell>
          <cell r="FM182">
            <v>1.35</v>
          </cell>
          <cell r="FO182">
            <v>1.05</v>
          </cell>
          <cell r="FV182">
            <v>1.35</v>
          </cell>
          <cell r="FX182">
            <v>1.05</v>
          </cell>
          <cell r="GE182">
            <v>1.35</v>
          </cell>
          <cell r="GG182">
            <v>1.05</v>
          </cell>
          <cell r="GN182">
            <v>1.35</v>
          </cell>
          <cell r="GP182">
            <v>1.05</v>
          </cell>
        </row>
        <row r="183">
          <cell r="A183">
            <v>159</v>
          </cell>
          <cell r="B183" t="str">
            <v>FG</v>
          </cell>
          <cell r="C183" t="str">
            <v>NM</v>
          </cell>
          <cell r="D183" t="str">
            <v>DFA-C18/22</v>
          </cell>
          <cell r="F183">
            <v>15.2</v>
          </cell>
          <cell r="O183">
            <v>15.2</v>
          </cell>
          <cell r="P183">
            <v>15.2</v>
          </cell>
          <cell r="Y183">
            <v>15.2</v>
          </cell>
          <cell r="AH183">
            <v>15.2</v>
          </cell>
          <cell r="AQ183">
            <v>15.2</v>
          </cell>
          <cell r="AZ183">
            <v>15.2</v>
          </cell>
          <cell r="BR183">
            <v>15.2</v>
          </cell>
          <cell r="CA183">
            <v>15.2</v>
          </cell>
          <cell r="CJ183">
            <v>15.2</v>
          </cell>
          <cell r="CS183">
            <v>15.2</v>
          </cell>
          <cell r="DK183">
            <v>15.2</v>
          </cell>
        </row>
        <row r="184">
          <cell r="A184">
            <v>160</v>
          </cell>
          <cell r="B184" t="str">
            <v>FG</v>
          </cell>
          <cell r="C184" t="str">
            <v>NM</v>
          </cell>
          <cell r="D184" t="str">
            <v>C10 Alc (14 * 170 kgs)</v>
          </cell>
          <cell r="O184">
            <v>0</v>
          </cell>
        </row>
        <row r="185">
          <cell r="A185">
            <v>241</v>
          </cell>
          <cell r="B185" t="str">
            <v>FG</v>
          </cell>
          <cell r="C185" t="str">
            <v>NM</v>
          </cell>
          <cell r="D185" t="str">
            <v>C12</v>
          </cell>
          <cell r="BC185">
            <v>18.5</v>
          </cell>
          <cell r="BU185">
            <v>18.5</v>
          </cell>
          <cell r="CD185">
            <v>18.5</v>
          </cell>
          <cell r="CM185">
            <v>18.5</v>
          </cell>
          <cell r="CV185">
            <v>18.5</v>
          </cell>
          <cell r="DE185">
            <v>18.5</v>
          </cell>
          <cell r="DN185">
            <v>16.5</v>
          </cell>
          <cell r="DW185">
            <v>13.5</v>
          </cell>
          <cell r="EF185">
            <v>11.5</v>
          </cell>
          <cell r="EO185">
            <v>10</v>
          </cell>
          <cell r="FG185">
            <v>10</v>
          </cell>
          <cell r="FP185">
            <v>8</v>
          </cell>
          <cell r="FY185">
            <v>8</v>
          </cell>
          <cell r="GH185">
            <v>8</v>
          </cell>
          <cell r="GQ185">
            <v>8</v>
          </cell>
        </row>
        <row r="186">
          <cell r="A186">
            <v>244</v>
          </cell>
          <cell r="B186" t="str">
            <v>FG</v>
          </cell>
          <cell r="C186" t="str">
            <v>NM</v>
          </cell>
          <cell r="D186" t="str">
            <v>STEARIC-90</v>
          </cell>
          <cell r="E186" t="str">
            <v>STEARIC-90</v>
          </cell>
          <cell r="DB186">
            <v>81.900000000000006</v>
          </cell>
          <cell r="DK186">
            <v>81.900000000000006</v>
          </cell>
          <cell r="DT186">
            <v>81.900000000000006</v>
          </cell>
          <cell r="EC186">
            <v>81.900000000000006</v>
          </cell>
          <cell r="EL186">
            <v>81.8</v>
          </cell>
          <cell r="EU186">
            <v>81.8</v>
          </cell>
          <cell r="FM186">
            <v>81.8</v>
          </cell>
          <cell r="FV186">
            <v>81.8</v>
          </cell>
          <cell r="GE186">
            <v>81.8</v>
          </cell>
          <cell r="GN186">
            <v>81.8</v>
          </cell>
        </row>
        <row r="187">
          <cell r="A187">
            <v>246</v>
          </cell>
          <cell r="B187" t="str">
            <v>FG</v>
          </cell>
          <cell r="C187" t="str">
            <v>NM</v>
          </cell>
          <cell r="D187" t="str">
            <v>HPS 25 KGS</v>
          </cell>
          <cell r="FG187">
            <v>15.95</v>
          </cell>
          <cell r="FP187">
            <v>15.95</v>
          </cell>
        </row>
        <row r="188">
          <cell r="F188">
            <v>296.90000000000003</v>
          </cell>
          <cell r="G188">
            <v>0</v>
          </cell>
          <cell r="H188">
            <v>129.35000000000002</v>
          </cell>
          <cell r="I188">
            <v>539.01499999999999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965.2650000000001</v>
          </cell>
          <cell r="P188">
            <v>259.40000000000003</v>
          </cell>
          <cell r="Q188">
            <v>0</v>
          </cell>
          <cell r="R188">
            <v>225.9</v>
          </cell>
          <cell r="S188">
            <v>667.66500000000008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294.85000000000002</v>
          </cell>
          <cell r="Z188">
            <v>0</v>
          </cell>
          <cell r="AA188">
            <v>267.89999999999998</v>
          </cell>
          <cell r="AB188">
            <v>666.04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262.25</v>
          </cell>
          <cell r="AI188">
            <v>0</v>
          </cell>
          <cell r="AJ188">
            <v>287.27500000000003</v>
          </cell>
          <cell r="AK188">
            <v>594.19000000000005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260.55</v>
          </cell>
          <cell r="AR188">
            <v>0</v>
          </cell>
          <cell r="AS188">
            <v>269.77500000000003</v>
          </cell>
          <cell r="AT188">
            <v>651.46500000000003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290.65000000000003</v>
          </cell>
          <cell r="BA188">
            <v>0</v>
          </cell>
          <cell r="BB188">
            <v>310.77500000000003</v>
          </cell>
          <cell r="BC188">
            <v>759.31500000000005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257.90000000000003</v>
          </cell>
          <cell r="BJ188">
            <v>0</v>
          </cell>
          <cell r="BK188">
            <v>341.77500000000003</v>
          </cell>
          <cell r="BL188">
            <v>669.01499999999999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223.65</v>
          </cell>
          <cell r="BS188">
            <v>0</v>
          </cell>
          <cell r="BT188">
            <v>359.77500000000003</v>
          </cell>
          <cell r="BU188">
            <v>721.46500000000003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172.64999999999998</v>
          </cell>
          <cell r="CB188">
            <v>0</v>
          </cell>
          <cell r="CC188">
            <v>274.77500000000003</v>
          </cell>
          <cell r="CD188">
            <v>623.18499999999995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156.64999999999998</v>
          </cell>
          <cell r="CK188">
            <v>0</v>
          </cell>
          <cell r="CL188">
            <v>240.77500000000001</v>
          </cell>
          <cell r="CM188">
            <v>677.0150000000001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211.65</v>
          </cell>
          <cell r="CT188">
            <v>0</v>
          </cell>
          <cell r="CU188">
            <v>222.77500000000001</v>
          </cell>
          <cell r="CV188">
            <v>621.91500000000008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171.15</v>
          </cell>
          <cell r="DC188">
            <v>0</v>
          </cell>
          <cell r="DD188">
            <v>156.77500000000001</v>
          </cell>
          <cell r="DE188">
            <v>684.21500000000003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150.44999999999999</v>
          </cell>
          <cell r="DL188">
            <v>0</v>
          </cell>
          <cell r="DM188">
            <v>193.77500000000001</v>
          </cell>
          <cell r="DN188">
            <v>716.11500000000012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236.85</v>
          </cell>
          <cell r="DU188">
            <v>0</v>
          </cell>
          <cell r="DV188">
            <v>193.77500000000001</v>
          </cell>
          <cell r="DW188">
            <v>851.71499999999992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236.85</v>
          </cell>
          <cell r="ED188">
            <v>0</v>
          </cell>
          <cell r="EE188">
            <v>209.27500000000001</v>
          </cell>
          <cell r="EF188">
            <v>712.96499999999992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244.59999999999997</v>
          </cell>
          <cell r="EM188">
            <v>0</v>
          </cell>
          <cell r="EN188">
            <v>150.625</v>
          </cell>
          <cell r="EO188">
            <v>704.49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191.59999999999997</v>
          </cell>
          <cell r="EV188">
            <v>0</v>
          </cell>
          <cell r="EW188">
            <v>149.625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136.625</v>
          </cell>
          <cell r="FG188">
            <v>542.21499999999992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146.1</v>
          </cell>
          <cell r="FN188">
            <v>0</v>
          </cell>
          <cell r="FO188">
            <v>131.72500000000002</v>
          </cell>
          <cell r="FP188">
            <v>356.71499999999992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125.1</v>
          </cell>
          <cell r="FW188">
            <v>0</v>
          </cell>
          <cell r="FX188">
            <v>131.72500000000002</v>
          </cell>
          <cell r="FY188">
            <v>359.46499999999997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98.1</v>
          </cell>
          <cell r="GF188">
            <v>0</v>
          </cell>
          <cell r="GG188">
            <v>62.625</v>
          </cell>
          <cell r="GH188">
            <v>239.715</v>
          </cell>
          <cell r="GI188">
            <v>0</v>
          </cell>
          <cell r="GJ188">
            <v>0</v>
          </cell>
          <cell r="GK188">
            <v>0</v>
          </cell>
          <cell r="GL188">
            <v>0</v>
          </cell>
          <cell r="GM188">
            <v>0</v>
          </cell>
          <cell r="GN188">
            <v>87.1</v>
          </cell>
          <cell r="GO188">
            <v>0</v>
          </cell>
          <cell r="GP188">
            <v>89.725000000000009</v>
          </cell>
          <cell r="GQ188">
            <v>330.315</v>
          </cell>
          <cell r="GR188">
            <v>0</v>
          </cell>
          <cell r="GS188">
            <v>0</v>
          </cell>
          <cell r="GT188">
            <v>0</v>
          </cell>
          <cell r="GU188">
            <v>0</v>
          </cell>
          <cell r="GV188">
            <v>0</v>
          </cell>
        </row>
        <row r="189">
          <cell r="A189" t="str">
            <v>FATTY ALCOHOLS</v>
          </cell>
        </row>
        <row r="190">
          <cell r="A190">
            <v>257</v>
          </cell>
          <cell r="B190" t="str">
            <v>FG</v>
          </cell>
          <cell r="C190" t="str">
            <v>FM</v>
          </cell>
          <cell r="D190" t="str">
            <v>VEGROL10</v>
          </cell>
          <cell r="EW190">
            <v>45.28</v>
          </cell>
          <cell r="EX190">
            <v>456.69</v>
          </cell>
          <cell r="FB190">
            <v>33.03</v>
          </cell>
          <cell r="FF190">
            <v>504.07</v>
          </cell>
          <cell r="FG190">
            <v>115</v>
          </cell>
          <cell r="FK190">
            <v>30.85</v>
          </cell>
          <cell r="FO190">
            <v>0.67000000000007276</v>
          </cell>
          <cell r="FP190">
            <v>949</v>
          </cell>
          <cell r="FT190">
            <v>30.84</v>
          </cell>
          <cell r="FY190">
            <v>15</v>
          </cell>
        </row>
        <row r="191">
          <cell r="A191">
            <v>161</v>
          </cell>
          <cell r="B191" t="str">
            <v>FG</v>
          </cell>
          <cell r="C191" t="str">
            <v>FM</v>
          </cell>
          <cell r="D191" t="str">
            <v>VEGROL1214</v>
          </cell>
          <cell r="I191">
            <v>926.94</v>
          </cell>
          <cell r="M191">
            <v>45.5</v>
          </cell>
          <cell r="O191">
            <v>972.44</v>
          </cell>
          <cell r="S191">
            <v>136.36000000000001</v>
          </cell>
          <cell r="AB191">
            <v>605.91999999999996</v>
          </cell>
          <cell r="AF191">
            <v>4.99</v>
          </cell>
          <cell r="AJ191">
            <v>885.06</v>
          </cell>
          <cell r="AK191">
            <v>448.98</v>
          </cell>
          <cell r="AO191">
            <v>112.43</v>
          </cell>
          <cell r="AS191">
            <v>1263.27</v>
          </cell>
          <cell r="AT191">
            <v>302.31</v>
          </cell>
          <cell r="AX191">
            <v>39.25</v>
          </cell>
          <cell r="BB191">
            <v>1263.27</v>
          </cell>
          <cell r="BC191">
            <v>733.95</v>
          </cell>
          <cell r="BG191">
            <v>210.37</v>
          </cell>
          <cell r="BL191">
            <v>92.24</v>
          </cell>
          <cell r="BP191">
            <v>69.87</v>
          </cell>
          <cell r="BU191">
            <v>488.1</v>
          </cell>
          <cell r="BY191">
            <v>55.36</v>
          </cell>
          <cell r="CD191">
            <v>1051.8399999999999</v>
          </cell>
          <cell r="CH191">
            <v>54.13</v>
          </cell>
          <cell r="CM191">
            <v>1462.93</v>
          </cell>
          <cell r="CQ191">
            <v>24.82</v>
          </cell>
          <cell r="CU191">
            <v>383.36</v>
          </cell>
          <cell r="CV191">
            <v>1278.58</v>
          </cell>
          <cell r="CZ191">
            <v>89.28</v>
          </cell>
          <cell r="DE191">
            <v>530.54</v>
          </cell>
          <cell r="DI191">
            <v>15.24</v>
          </cell>
          <cell r="DN191">
            <v>300.58999999999997</v>
          </cell>
          <cell r="DR191">
            <v>14.69</v>
          </cell>
          <cell r="DW191">
            <v>251.63</v>
          </cell>
          <cell r="EA191">
            <v>31.05</v>
          </cell>
          <cell r="EF191">
            <v>0.91</v>
          </cell>
          <cell r="EO191">
            <v>173.36</v>
          </cell>
          <cell r="ES191">
            <v>66.69</v>
          </cell>
          <cell r="EX191">
            <v>450.82</v>
          </cell>
          <cell r="FB191">
            <v>91.37</v>
          </cell>
          <cell r="FF191">
            <v>292.54000000000002</v>
          </cell>
          <cell r="FG191">
            <v>1006</v>
          </cell>
          <cell r="FK191">
            <v>29.48</v>
          </cell>
          <cell r="FO191">
            <v>979.85</v>
          </cell>
          <cell r="FP191">
            <v>425</v>
          </cell>
          <cell r="FX191">
            <v>0.67</v>
          </cell>
          <cell r="FY191">
            <v>819</v>
          </cell>
          <cell r="GC191">
            <v>65.459999999999994</v>
          </cell>
          <cell r="GG191">
            <v>0.67000000000007276</v>
          </cell>
          <cell r="GH191">
            <v>571</v>
          </cell>
          <cell r="GL191">
            <v>50.76</v>
          </cell>
        </row>
        <row r="192">
          <cell r="A192">
            <v>162</v>
          </cell>
          <cell r="B192" t="str">
            <v>FG</v>
          </cell>
          <cell r="C192" t="str">
            <v>FM</v>
          </cell>
          <cell r="D192" t="str">
            <v>VEGROL1216</v>
          </cell>
          <cell r="H192">
            <v>1098.72</v>
          </cell>
          <cell r="I192">
            <v>391.51</v>
          </cell>
          <cell r="O192">
            <v>1490.23</v>
          </cell>
          <cell r="R192">
            <v>90.66</v>
          </cell>
          <cell r="S192">
            <v>47</v>
          </cell>
          <cell r="AA192">
            <v>90.66</v>
          </cell>
          <cell r="AB192">
            <v>129.76</v>
          </cell>
          <cell r="AF192">
            <v>29.55</v>
          </cell>
          <cell r="AJ192">
            <v>90.66</v>
          </cell>
          <cell r="AK192">
            <v>21.57</v>
          </cell>
          <cell r="AO192">
            <v>59.52</v>
          </cell>
          <cell r="AS192">
            <v>1010.51</v>
          </cell>
          <cell r="AX192">
            <v>6.55</v>
          </cell>
          <cell r="BB192">
            <v>1010.51</v>
          </cell>
          <cell r="BC192">
            <v>202.68</v>
          </cell>
          <cell r="BK192">
            <v>45.28</v>
          </cell>
          <cell r="BL192">
            <v>920.86</v>
          </cell>
          <cell r="BT192">
            <v>45.28</v>
          </cell>
          <cell r="BU192">
            <v>1006.19</v>
          </cell>
          <cell r="CC192">
            <v>45.28</v>
          </cell>
          <cell r="CD192">
            <v>928.92</v>
          </cell>
          <cell r="CL192">
            <v>45.28</v>
          </cell>
          <cell r="CM192">
            <v>890.63</v>
          </cell>
          <cell r="CQ192">
            <v>30.48</v>
          </cell>
          <cell r="CU192">
            <v>45.28</v>
          </cell>
          <cell r="CV192">
            <v>974.95</v>
          </cell>
          <cell r="CZ192">
            <v>46.09</v>
          </cell>
          <cell r="DD192">
            <v>45.28</v>
          </cell>
          <cell r="DE192">
            <v>966.53</v>
          </cell>
          <cell r="DI192">
            <v>44.72</v>
          </cell>
          <cell r="DM192">
            <v>45.28</v>
          </cell>
          <cell r="DN192">
            <v>797.4</v>
          </cell>
          <cell r="DV192">
            <v>45.28</v>
          </cell>
          <cell r="DW192">
            <v>637.63</v>
          </cell>
          <cell r="EE192">
            <v>45.28</v>
          </cell>
          <cell r="EF192">
            <v>637.24</v>
          </cell>
          <cell r="EN192">
            <v>45.28</v>
          </cell>
          <cell r="EO192">
            <v>637.29999999999995</v>
          </cell>
          <cell r="ES192">
            <v>46.38</v>
          </cell>
          <cell r="EX192">
            <v>640.62</v>
          </cell>
          <cell r="FG192">
            <v>531</v>
          </cell>
          <cell r="FK192">
            <v>30.15</v>
          </cell>
          <cell r="FP192">
            <v>599.87</v>
          </cell>
          <cell r="FX192">
            <v>460.72</v>
          </cell>
          <cell r="FY192">
            <v>944</v>
          </cell>
          <cell r="GG192">
            <v>29.839999999999861</v>
          </cell>
          <cell r="GH192">
            <v>1043</v>
          </cell>
          <cell r="GP192">
            <v>30.510000000000073</v>
          </cell>
          <cell r="GQ192">
            <v>1026</v>
          </cell>
          <cell r="GU192">
            <v>30.62</v>
          </cell>
        </row>
        <row r="193">
          <cell r="A193">
            <v>163</v>
          </cell>
          <cell r="B193" t="str">
            <v>FG</v>
          </cell>
          <cell r="C193" t="str">
            <v>FM</v>
          </cell>
          <cell r="D193" t="str">
            <v>VEGROL 1218</v>
          </cell>
          <cell r="I193">
            <v>491.79</v>
          </cell>
          <cell r="O193">
            <v>491.79</v>
          </cell>
          <cell r="S193">
            <v>608.51</v>
          </cell>
          <cell r="AB193">
            <v>606.6</v>
          </cell>
          <cell r="AK193">
            <v>512.75</v>
          </cell>
          <cell r="AT193">
            <v>620.49</v>
          </cell>
          <cell r="BC193">
            <v>731.18</v>
          </cell>
          <cell r="BL193">
            <v>711.75</v>
          </cell>
          <cell r="BP193">
            <v>14.86</v>
          </cell>
          <cell r="BU193">
            <v>697.58</v>
          </cell>
          <cell r="CD193">
            <v>656.19</v>
          </cell>
          <cell r="CM193">
            <v>699.5</v>
          </cell>
          <cell r="CQ193">
            <v>14.15</v>
          </cell>
          <cell r="CV193">
            <v>665.44</v>
          </cell>
          <cell r="DE193">
            <v>628.4</v>
          </cell>
          <cell r="DN193">
            <v>584.38</v>
          </cell>
          <cell r="DW193">
            <v>584.38</v>
          </cell>
          <cell r="EF193">
            <v>578.94000000000005</v>
          </cell>
          <cell r="EO193">
            <v>570.9</v>
          </cell>
          <cell r="EX193">
            <v>886.33</v>
          </cell>
          <cell r="FY193">
            <v>694</v>
          </cell>
          <cell r="GH193">
            <v>600.17999999999995</v>
          </cell>
          <cell r="GL193">
            <v>16.059999999999999</v>
          </cell>
          <cell r="GQ193">
            <v>622</v>
          </cell>
        </row>
        <row r="194">
          <cell r="A194">
            <v>164</v>
          </cell>
          <cell r="B194" t="str">
            <v>FG</v>
          </cell>
          <cell r="C194" t="str">
            <v>FM</v>
          </cell>
          <cell r="D194" t="str">
            <v>VEGROL C1618TA</v>
          </cell>
          <cell r="I194">
            <v>1509.1</v>
          </cell>
          <cell r="O194">
            <v>1509.1</v>
          </cell>
          <cell r="S194">
            <v>1450</v>
          </cell>
          <cell r="AB194">
            <v>1370.1</v>
          </cell>
          <cell r="AK194">
            <v>1272</v>
          </cell>
          <cell r="AT194">
            <v>1176.5</v>
          </cell>
          <cell r="BC194">
            <v>1061.5999999999999</v>
          </cell>
          <cell r="BL194">
            <v>755.14</v>
          </cell>
          <cell r="BU194">
            <v>538.15</v>
          </cell>
          <cell r="CD194">
            <v>491.71</v>
          </cell>
          <cell r="CM194">
            <v>312.85000000000002</v>
          </cell>
          <cell r="CQ194">
            <v>18.899999999999999</v>
          </cell>
          <cell r="CV194">
            <v>200.37</v>
          </cell>
          <cell r="DE194">
            <v>125.3</v>
          </cell>
          <cell r="DN194">
            <v>1474.3</v>
          </cell>
          <cell r="DW194">
            <v>1123.3</v>
          </cell>
          <cell r="EF194">
            <v>983.7</v>
          </cell>
          <cell r="EO194">
            <v>897.4</v>
          </cell>
          <cell r="EX194">
            <v>49.21</v>
          </cell>
          <cell r="FG194">
            <v>37</v>
          </cell>
          <cell r="GH194">
            <v>839</v>
          </cell>
          <cell r="GQ194">
            <v>826</v>
          </cell>
        </row>
        <row r="195">
          <cell r="A195">
            <v>165</v>
          </cell>
          <cell r="B195" t="str">
            <v>FG</v>
          </cell>
          <cell r="C195" t="str">
            <v>FM</v>
          </cell>
          <cell r="D195" t="str">
            <v>VEGROL C1618(50:50)</v>
          </cell>
          <cell r="I195">
            <v>243.66</v>
          </cell>
          <cell r="O195">
            <v>243.66</v>
          </cell>
          <cell r="S195">
            <v>243.73</v>
          </cell>
          <cell r="AB195">
            <v>200.6</v>
          </cell>
          <cell r="AK195">
            <v>133.66999999999999</v>
          </cell>
          <cell r="AT195">
            <v>81.06</v>
          </cell>
          <cell r="BC195">
            <v>81.06</v>
          </cell>
          <cell r="BL195">
            <v>64.67</v>
          </cell>
          <cell r="BU195">
            <v>44.86</v>
          </cell>
          <cell r="CD195">
            <v>3.65</v>
          </cell>
          <cell r="CM195">
            <v>1.94</v>
          </cell>
          <cell r="CV195">
            <v>1.94</v>
          </cell>
          <cell r="DE195">
            <v>1.49</v>
          </cell>
          <cell r="DN195">
            <v>337.2</v>
          </cell>
          <cell r="DW195">
            <v>279.39</v>
          </cell>
          <cell r="EF195">
            <v>228.41</v>
          </cell>
          <cell r="EO195">
            <v>162.93</v>
          </cell>
        </row>
        <row r="196">
          <cell r="A196">
            <v>166</v>
          </cell>
          <cell r="B196" t="str">
            <v>FG</v>
          </cell>
          <cell r="C196" t="str">
            <v>FM</v>
          </cell>
          <cell r="D196" t="str">
            <v>VEGROL C1618PS</v>
          </cell>
          <cell r="O196">
            <v>0</v>
          </cell>
          <cell r="EX196">
            <v>190.04</v>
          </cell>
        </row>
        <row r="197">
          <cell r="A197">
            <v>167</v>
          </cell>
          <cell r="B197" t="str">
            <v>FG</v>
          </cell>
          <cell r="C197" t="str">
            <v>FM</v>
          </cell>
          <cell r="D197" t="str">
            <v>VEGROL C1698</v>
          </cell>
          <cell r="I197">
            <v>550.64</v>
          </cell>
          <cell r="O197">
            <v>550.64</v>
          </cell>
          <cell r="S197">
            <v>375.31</v>
          </cell>
          <cell r="AB197">
            <v>315.7</v>
          </cell>
          <cell r="AK197">
            <v>315.72000000000003</v>
          </cell>
          <cell r="AT197">
            <v>252.05</v>
          </cell>
          <cell r="BC197">
            <v>242.41</v>
          </cell>
          <cell r="BL197">
            <v>242.41</v>
          </cell>
          <cell r="BU197">
            <v>205.71</v>
          </cell>
          <cell r="CD197">
            <v>136.49</v>
          </cell>
          <cell r="CM197">
            <v>136.49</v>
          </cell>
          <cell r="CV197">
            <v>136.49</v>
          </cell>
          <cell r="DE197">
            <v>520.04999999999995</v>
          </cell>
          <cell r="DN197">
            <v>316.86</v>
          </cell>
          <cell r="DW197">
            <v>303.37</v>
          </cell>
          <cell r="EF197">
            <v>303.27</v>
          </cell>
          <cell r="EO197">
            <v>280.04000000000002</v>
          </cell>
        </row>
        <row r="198">
          <cell r="A198">
            <v>168</v>
          </cell>
          <cell r="B198" t="str">
            <v>FG</v>
          </cell>
          <cell r="C198" t="str">
            <v>FM</v>
          </cell>
          <cell r="D198" t="str">
            <v>VEGROL C1895</v>
          </cell>
          <cell r="O198">
            <v>0</v>
          </cell>
          <cell r="EX198">
            <v>102.19</v>
          </cell>
        </row>
        <row r="199">
          <cell r="A199">
            <v>169</v>
          </cell>
          <cell r="B199" t="str">
            <v>FG</v>
          </cell>
          <cell r="C199" t="str">
            <v>FM</v>
          </cell>
          <cell r="D199" t="str">
            <v>VEGROL C1898</v>
          </cell>
          <cell r="I199">
            <v>433.54</v>
          </cell>
          <cell r="O199">
            <v>433.54</v>
          </cell>
          <cell r="S199">
            <v>532</v>
          </cell>
          <cell r="AB199">
            <v>471.2</v>
          </cell>
          <cell r="AK199">
            <v>409.1</v>
          </cell>
          <cell r="AT199">
            <v>360.5</v>
          </cell>
          <cell r="BC199">
            <v>357.75</v>
          </cell>
          <cell r="BL199">
            <v>355.94</v>
          </cell>
          <cell r="BU199">
            <v>320.05</v>
          </cell>
          <cell r="CD199">
            <v>259.08</v>
          </cell>
          <cell r="CM199">
            <v>258.39999999999998</v>
          </cell>
          <cell r="CV199">
            <v>261.74</v>
          </cell>
          <cell r="DE199">
            <v>208.28</v>
          </cell>
          <cell r="DN199">
            <v>202.38</v>
          </cell>
          <cell r="DW199">
            <v>183.82</v>
          </cell>
          <cell r="EF199">
            <v>178.76</v>
          </cell>
          <cell r="EO199">
            <v>149.80000000000001</v>
          </cell>
          <cell r="EX199">
            <v>369.56</v>
          </cell>
          <cell r="FG199">
            <v>97</v>
          </cell>
          <cell r="FP199">
            <v>60</v>
          </cell>
        </row>
        <row r="200">
          <cell r="A200">
            <v>170</v>
          </cell>
          <cell r="B200" t="str">
            <v>FG</v>
          </cell>
          <cell r="C200" t="str">
            <v>FM</v>
          </cell>
          <cell r="D200" t="str">
            <v>VEGROL C1822 (seed alc)</v>
          </cell>
          <cell r="I200">
            <v>254.62</v>
          </cell>
          <cell r="O200">
            <v>254.62</v>
          </cell>
          <cell r="S200">
            <v>254.38</v>
          </cell>
          <cell r="AB200">
            <v>254.33</v>
          </cell>
          <cell r="AK200">
            <v>254.5</v>
          </cell>
          <cell r="AT200">
            <v>254.5</v>
          </cell>
          <cell r="BC200">
            <v>236.79</v>
          </cell>
          <cell r="BG200">
            <v>19.29</v>
          </cell>
          <cell r="BL200">
            <v>236.79</v>
          </cell>
          <cell r="BU200">
            <v>272.05</v>
          </cell>
          <cell r="CD200">
            <v>157.08000000000001</v>
          </cell>
          <cell r="CM200">
            <v>203.84</v>
          </cell>
          <cell r="CV200">
            <v>203.84</v>
          </cell>
          <cell r="DE200">
            <v>98.62</v>
          </cell>
          <cell r="DN200">
            <v>98.37</v>
          </cell>
          <cell r="DW200">
            <v>513.79999999999995</v>
          </cell>
          <cell r="EF200">
            <v>404.84</v>
          </cell>
          <cell r="EO200">
            <v>405.22</v>
          </cell>
        </row>
        <row r="201">
          <cell r="A201">
            <v>171</v>
          </cell>
          <cell r="B201" t="str">
            <v>FG</v>
          </cell>
          <cell r="C201" t="str">
            <v>SM</v>
          </cell>
          <cell r="D201" t="str">
            <v>VEGROL C20:2250:50</v>
          </cell>
          <cell r="O201">
            <v>0</v>
          </cell>
          <cell r="EX201">
            <v>601.75</v>
          </cell>
          <cell r="FG201">
            <v>448</v>
          </cell>
          <cell r="FP201">
            <v>202</v>
          </cell>
          <cell r="GQ201">
            <v>556</v>
          </cell>
        </row>
        <row r="202">
          <cell r="A202">
            <v>172</v>
          </cell>
          <cell r="B202" t="str">
            <v>FG</v>
          </cell>
          <cell r="C202" t="str">
            <v>SM</v>
          </cell>
          <cell r="D202" t="str">
            <v>VEGROL C2280</v>
          </cell>
          <cell r="I202">
            <v>258.73</v>
          </cell>
          <cell r="O202">
            <v>258.73</v>
          </cell>
          <cell r="S202">
            <v>349.6</v>
          </cell>
          <cell r="AB202">
            <v>259.68</v>
          </cell>
          <cell r="AK202">
            <v>205</v>
          </cell>
          <cell r="AT202">
            <v>205</v>
          </cell>
          <cell r="BC202">
            <v>205</v>
          </cell>
          <cell r="BL202">
            <v>205</v>
          </cell>
          <cell r="BU202">
            <v>205.6</v>
          </cell>
          <cell r="CD202">
            <v>205.6</v>
          </cell>
          <cell r="CM202">
            <v>158.6</v>
          </cell>
          <cell r="CV202">
            <v>158.6</v>
          </cell>
          <cell r="DE202">
            <v>158.6</v>
          </cell>
          <cell r="DW202">
            <v>390.24</v>
          </cell>
          <cell r="EF202">
            <v>666.2</v>
          </cell>
          <cell r="EO202">
            <v>629.72</v>
          </cell>
          <cell r="FY202">
            <v>143</v>
          </cell>
          <cell r="GH202">
            <v>97</v>
          </cell>
          <cell r="GQ202">
            <v>97</v>
          </cell>
        </row>
        <row r="203">
          <cell r="A203">
            <v>173</v>
          </cell>
          <cell r="B203" t="str">
            <v>FG</v>
          </cell>
          <cell r="C203" t="str">
            <v>SM</v>
          </cell>
          <cell r="D203" t="str">
            <v>VEGROL1216 CONCENTRATED</v>
          </cell>
          <cell r="I203">
            <v>960.5</v>
          </cell>
          <cell r="O203">
            <v>960.5</v>
          </cell>
          <cell r="S203">
            <v>920.8</v>
          </cell>
          <cell r="AB203">
            <v>743</v>
          </cell>
          <cell r="AK203">
            <v>642</v>
          </cell>
          <cell r="AT203">
            <v>356.1</v>
          </cell>
          <cell r="BC203">
            <v>133.6</v>
          </cell>
          <cell r="BL203">
            <v>133.6</v>
          </cell>
          <cell r="BU203">
            <v>133.6</v>
          </cell>
          <cell r="CD203">
            <v>133.6</v>
          </cell>
          <cell r="CM203">
            <v>112.2</v>
          </cell>
          <cell r="CV203">
            <v>234.1</v>
          </cell>
          <cell r="DE203">
            <v>234.1</v>
          </cell>
          <cell r="FG203">
            <v>271</v>
          </cell>
          <cell r="FP203">
            <v>285</v>
          </cell>
        </row>
        <row r="204">
          <cell r="A204">
            <v>250</v>
          </cell>
          <cell r="B204" t="str">
            <v>FG</v>
          </cell>
          <cell r="C204" t="str">
            <v>SM</v>
          </cell>
          <cell r="D204" t="str">
            <v>VEGROL C2270</v>
          </cell>
          <cell r="FY204">
            <v>280</v>
          </cell>
          <cell r="GH204">
            <v>236</v>
          </cell>
          <cell r="GQ204">
            <v>236</v>
          </cell>
        </row>
        <row r="205">
          <cell r="F205">
            <v>0</v>
          </cell>
          <cell r="G205">
            <v>0</v>
          </cell>
          <cell r="H205">
            <v>1098.72</v>
          </cell>
          <cell r="I205">
            <v>6021.0300000000007</v>
          </cell>
          <cell r="J205">
            <v>0</v>
          </cell>
          <cell r="K205">
            <v>0</v>
          </cell>
          <cell r="L205">
            <v>0</v>
          </cell>
          <cell r="M205">
            <v>45.5</v>
          </cell>
          <cell r="N205">
            <v>0</v>
          </cell>
          <cell r="O205">
            <v>7165.25</v>
          </cell>
          <cell r="P205">
            <v>0</v>
          </cell>
          <cell r="Q205">
            <v>0</v>
          </cell>
          <cell r="R205">
            <v>90.66</v>
          </cell>
          <cell r="S205">
            <v>4917.6899999999996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90.66</v>
          </cell>
          <cell r="AB205">
            <v>4956.8899999999994</v>
          </cell>
          <cell r="AC205">
            <v>0</v>
          </cell>
          <cell r="AD205">
            <v>0</v>
          </cell>
          <cell r="AE205">
            <v>0</v>
          </cell>
          <cell r="AF205">
            <v>34.54</v>
          </cell>
          <cell r="AG205">
            <v>0</v>
          </cell>
          <cell r="AH205">
            <v>0</v>
          </cell>
          <cell r="AI205">
            <v>0</v>
          </cell>
          <cell r="AJ205">
            <v>975.71999999999991</v>
          </cell>
          <cell r="AK205">
            <v>4215.2900000000009</v>
          </cell>
          <cell r="AL205">
            <v>0</v>
          </cell>
          <cell r="AM205">
            <v>0</v>
          </cell>
          <cell r="AN205">
            <v>0</v>
          </cell>
          <cell r="AO205">
            <v>171.95000000000002</v>
          </cell>
          <cell r="AP205">
            <v>0</v>
          </cell>
          <cell r="AQ205">
            <v>0</v>
          </cell>
          <cell r="AR205">
            <v>0</v>
          </cell>
          <cell r="AS205">
            <v>2273.7799999999997</v>
          </cell>
          <cell r="AT205">
            <v>3608.51</v>
          </cell>
          <cell r="AU205">
            <v>0</v>
          </cell>
          <cell r="AV205">
            <v>0</v>
          </cell>
          <cell r="AW205">
            <v>0</v>
          </cell>
          <cell r="AX205">
            <v>45.8</v>
          </cell>
          <cell r="AY205">
            <v>0</v>
          </cell>
          <cell r="AZ205">
            <v>0</v>
          </cell>
          <cell r="BA205">
            <v>0</v>
          </cell>
          <cell r="BB205">
            <v>2273.7799999999997</v>
          </cell>
          <cell r="BC205">
            <v>3986.0199999999995</v>
          </cell>
          <cell r="BD205">
            <v>0</v>
          </cell>
          <cell r="BE205">
            <v>0</v>
          </cell>
          <cell r="BF205">
            <v>0</v>
          </cell>
          <cell r="BG205">
            <v>229.66</v>
          </cell>
          <cell r="BH205">
            <v>0</v>
          </cell>
          <cell r="BI205">
            <v>0</v>
          </cell>
          <cell r="BJ205">
            <v>0</v>
          </cell>
          <cell r="BK205">
            <v>45.28</v>
          </cell>
          <cell r="BL205">
            <v>3718.3999999999996</v>
          </cell>
          <cell r="BM205">
            <v>0</v>
          </cell>
          <cell r="BN205">
            <v>0</v>
          </cell>
          <cell r="BO205">
            <v>0</v>
          </cell>
          <cell r="BP205">
            <v>84.73</v>
          </cell>
          <cell r="BQ205">
            <v>0</v>
          </cell>
          <cell r="BR205">
            <v>0</v>
          </cell>
          <cell r="BS205">
            <v>0</v>
          </cell>
          <cell r="BT205">
            <v>45.28</v>
          </cell>
          <cell r="BU205">
            <v>3911.8900000000003</v>
          </cell>
          <cell r="BV205">
            <v>0</v>
          </cell>
          <cell r="BW205">
            <v>0</v>
          </cell>
          <cell r="BX205">
            <v>0</v>
          </cell>
          <cell r="BY205">
            <v>55.36</v>
          </cell>
          <cell r="BZ205">
            <v>0</v>
          </cell>
          <cell r="CA205">
            <v>0</v>
          </cell>
          <cell r="CB205">
            <v>0</v>
          </cell>
          <cell r="CC205">
            <v>45.28</v>
          </cell>
          <cell r="CD205">
            <v>4024.16</v>
          </cell>
          <cell r="CE205">
            <v>0</v>
          </cell>
          <cell r="CF205">
            <v>0</v>
          </cell>
          <cell r="CG205">
            <v>0</v>
          </cell>
          <cell r="CH205">
            <v>54.13</v>
          </cell>
          <cell r="CI205">
            <v>0</v>
          </cell>
          <cell r="CJ205">
            <v>0</v>
          </cell>
          <cell r="CK205">
            <v>0</v>
          </cell>
          <cell r="CL205">
            <v>45.28</v>
          </cell>
          <cell r="CM205">
            <v>4237.38</v>
          </cell>
          <cell r="CN205">
            <v>0</v>
          </cell>
          <cell r="CO205">
            <v>0</v>
          </cell>
          <cell r="CP205">
            <v>0</v>
          </cell>
          <cell r="CQ205">
            <v>88.35</v>
          </cell>
          <cell r="CR205">
            <v>0</v>
          </cell>
          <cell r="CS205">
            <v>0</v>
          </cell>
          <cell r="CT205">
            <v>0</v>
          </cell>
          <cell r="CU205">
            <v>428.64</v>
          </cell>
          <cell r="CV205">
            <v>4116.0499999999993</v>
          </cell>
          <cell r="CW205">
            <v>0</v>
          </cell>
          <cell r="CX205">
            <v>0</v>
          </cell>
          <cell r="CY205">
            <v>0</v>
          </cell>
          <cell r="CZ205">
            <v>135.37</v>
          </cell>
          <cell r="DA205">
            <v>0</v>
          </cell>
          <cell r="DB205">
            <v>0</v>
          </cell>
          <cell r="DC205">
            <v>0</v>
          </cell>
          <cell r="DD205">
            <v>45.28</v>
          </cell>
          <cell r="DE205">
            <v>3471.9099999999994</v>
          </cell>
          <cell r="DF205">
            <v>0</v>
          </cell>
          <cell r="DG205">
            <v>0</v>
          </cell>
          <cell r="DH205">
            <v>0</v>
          </cell>
          <cell r="DI205">
            <v>59.96</v>
          </cell>
          <cell r="DJ205">
            <v>0</v>
          </cell>
          <cell r="DK205">
            <v>0</v>
          </cell>
          <cell r="DL205">
            <v>0</v>
          </cell>
          <cell r="DM205">
            <v>45.28</v>
          </cell>
          <cell r="DN205">
            <v>4111.4800000000005</v>
          </cell>
          <cell r="DO205">
            <v>0</v>
          </cell>
          <cell r="DP205">
            <v>0</v>
          </cell>
          <cell r="DQ205">
            <v>0</v>
          </cell>
          <cell r="DR205">
            <v>14.69</v>
          </cell>
          <cell r="DS205">
            <v>0</v>
          </cell>
          <cell r="DT205">
            <v>0</v>
          </cell>
          <cell r="DU205">
            <v>0</v>
          </cell>
          <cell r="DV205">
            <v>45.28</v>
          </cell>
          <cell r="DW205">
            <v>4267.5599999999995</v>
          </cell>
          <cell r="DX205">
            <v>0</v>
          </cell>
          <cell r="DY205">
            <v>0</v>
          </cell>
          <cell r="DZ205">
            <v>0</v>
          </cell>
          <cell r="EA205">
            <v>31.05</v>
          </cell>
          <cell r="EB205">
            <v>0</v>
          </cell>
          <cell r="EC205">
            <v>0</v>
          </cell>
          <cell r="ED205">
            <v>0</v>
          </cell>
          <cell r="EE205">
            <v>45.28</v>
          </cell>
          <cell r="EF205">
            <v>3982.2699999999995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45.28</v>
          </cell>
          <cell r="EO205">
            <v>3906.67</v>
          </cell>
          <cell r="EP205">
            <v>0</v>
          </cell>
          <cell r="EQ205">
            <v>0</v>
          </cell>
          <cell r="ER205">
            <v>0</v>
          </cell>
          <cell r="ES205">
            <v>113.07</v>
          </cell>
          <cell r="ET205">
            <v>0</v>
          </cell>
          <cell r="EU205">
            <v>0</v>
          </cell>
          <cell r="EV205">
            <v>0</v>
          </cell>
          <cell r="EW205">
            <v>45.28</v>
          </cell>
          <cell r="EX205">
            <v>3747.21</v>
          </cell>
          <cell r="EY205">
            <v>0</v>
          </cell>
          <cell r="EZ205">
            <v>0</v>
          </cell>
          <cell r="FA205">
            <v>0</v>
          </cell>
          <cell r="FB205">
            <v>124.4</v>
          </cell>
          <cell r="FC205">
            <v>0</v>
          </cell>
          <cell r="FD205">
            <v>0</v>
          </cell>
          <cell r="FE205">
            <v>0</v>
          </cell>
          <cell r="FF205">
            <v>796.61</v>
          </cell>
          <cell r="FG205">
            <v>2505</v>
          </cell>
          <cell r="FH205">
            <v>0</v>
          </cell>
          <cell r="FI205">
            <v>0</v>
          </cell>
          <cell r="FJ205">
            <v>0</v>
          </cell>
          <cell r="FK205">
            <v>90.47999999999999</v>
          </cell>
          <cell r="FL205">
            <v>0</v>
          </cell>
          <cell r="FM205">
            <v>0</v>
          </cell>
          <cell r="FN205">
            <v>0</v>
          </cell>
          <cell r="FO205">
            <v>980.5200000000001</v>
          </cell>
          <cell r="FP205">
            <v>2520.87</v>
          </cell>
          <cell r="FQ205">
            <v>0</v>
          </cell>
          <cell r="FR205">
            <v>0</v>
          </cell>
          <cell r="FS205">
            <v>0</v>
          </cell>
          <cell r="FT205">
            <v>30.84</v>
          </cell>
          <cell r="FU205">
            <v>0</v>
          </cell>
          <cell r="FV205">
            <v>0</v>
          </cell>
          <cell r="FW205">
            <v>0</v>
          </cell>
          <cell r="FX205">
            <v>461.39000000000004</v>
          </cell>
          <cell r="FY205">
            <v>2895</v>
          </cell>
          <cell r="FZ205">
            <v>0</v>
          </cell>
          <cell r="GA205">
            <v>0</v>
          </cell>
          <cell r="GB205">
            <v>0</v>
          </cell>
          <cell r="GC205">
            <v>65.459999999999994</v>
          </cell>
          <cell r="GD205">
            <v>0</v>
          </cell>
          <cell r="GE205">
            <v>0</v>
          </cell>
          <cell r="GF205">
            <v>0</v>
          </cell>
          <cell r="GG205">
            <v>30.509999999999934</v>
          </cell>
          <cell r="GH205">
            <v>3386.18</v>
          </cell>
          <cell r="GI205">
            <v>0</v>
          </cell>
          <cell r="GJ205">
            <v>0</v>
          </cell>
          <cell r="GK205">
            <v>0</v>
          </cell>
          <cell r="GL205">
            <v>66.819999999999993</v>
          </cell>
          <cell r="GM205">
            <v>0</v>
          </cell>
          <cell r="GN205">
            <v>0</v>
          </cell>
          <cell r="GO205">
            <v>0</v>
          </cell>
          <cell r="GP205">
            <v>30.510000000000073</v>
          </cell>
          <cell r="GQ205">
            <v>3363</v>
          </cell>
          <cell r="GR205">
            <v>0</v>
          </cell>
          <cell r="GS205">
            <v>0</v>
          </cell>
          <cell r="GT205">
            <v>0</v>
          </cell>
          <cell r="GU205">
            <v>30.62</v>
          </cell>
          <cell r="GV205">
            <v>0</v>
          </cell>
        </row>
        <row r="206">
          <cell r="A206" t="str">
            <v>PASTILLES</v>
          </cell>
        </row>
        <row r="207">
          <cell r="A207">
            <v>174</v>
          </cell>
          <cell r="B207" t="str">
            <v>FG</v>
          </cell>
          <cell r="C207" t="str">
            <v>FM</v>
          </cell>
          <cell r="D207" t="str">
            <v>VEGROL C1618TA</v>
          </cell>
          <cell r="I207">
            <v>266.995</v>
          </cell>
          <cell r="O207">
            <v>266.995</v>
          </cell>
          <cell r="S207">
            <v>239.64500000000001</v>
          </cell>
          <cell r="AB207">
            <v>190.851</v>
          </cell>
          <cell r="AK207">
            <v>232.351</v>
          </cell>
          <cell r="AT207">
            <v>218.70099999999999</v>
          </cell>
          <cell r="BC207">
            <v>294.45100000000002</v>
          </cell>
          <cell r="BL207">
            <v>180.751</v>
          </cell>
          <cell r="BU207">
            <v>222.251</v>
          </cell>
          <cell r="CD207">
            <v>145.95099999999999</v>
          </cell>
          <cell r="CM207">
            <v>231.001</v>
          </cell>
          <cell r="CV207">
            <v>166.495</v>
          </cell>
          <cell r="DE207">
            <v>103.26</v>
          </cell>
          <cell r="DN207">
            <v>138.249</v>
          </cell>
          <cell r="DW207">
            <v>70.656999999999996</v>
          </cell>
          <cell r="EF207">
            <v>62.543999999999997</v>
          </cell>
          <cell r="EO207">
            <v>94.66</v>
          </cell>
          <cell r="FG207">
            <v>24.213000000000001</v>
          </cell>
          <cell r="FP207">
            <v>74.212999999999994</v>
          </cell>
          <cell r="FY207">
            <v>71.712999999999994</v>
          </cell>
          <cell r="GH207">
            <v>45.713000000000001</v>
          </cell>
          <cell r="GQ207">
            <v>76.363</v>
          </cell>
        </row>
        <row r="208">
          <cell r="A208">
            <v>175</v>
          </cell>
          <cell r="B208" t="str">
            <v>FG</v>
          </cell>
          <cell r="C208" t="str">
            <v>FM</v>
          </cell>
          <cell r="D208" t="str">
            <v>VEGROL C1618(50:50)</v>
          </cell>
          <cell r="I208">
            <v>117.77</v>
          </cell>
          <cell r="O208">
            <v>117.77</v>
          </cell>
          <cell r="S208">
            <v>108.52</v>
          </cell>
          <cell r="AB208">
            <v>120.52</v>
          </cell>
          <cell r="AK208">
            <v>136.88999999999999</v>
          </cell>
          <cell r="AT208">
            <v>86.6</v>
          </cell>
          <cell r="BC208">
            <v>66.400000000000006</v>
          </cell>
          <cell r="BL208">
            <v>49.4</v>
          </cell>
          <cell r="BU208">
            <v>39.375</v>
          </cell>
          <cell r="CD208">
            <v>63.5</v>
          </cell>
          <cell r="CM208">
            <v>33.5</v>
          </cell>
          <cell r="CV208">
            <v>23.5</v>
          </cell>
          <cell r="DE208">
            <v>2.2000000000000002</v>
          </cell>
          <cell r="DN208">
            <v>33.049999999999997</v>
          </cell>
          <cell r="DW208">
            <v>52.774999999999999</v>
          </cell>
          <cell r="EF208">
            <v>39.549999999999997</v>
          </cell>
          <cell r="EO208">
            <v>52.774999999999999</v>
          </cell>
          <cell r="FG208">
            <v>63.85</v>
          </cell>
          <cell r="FP208">
            <v>88.825000000000003</v>
          </cell>
          <cell r="FY208">
            <v>70.224999999999994</v>
          </cell>
          <cell r="GH208">
            <v>38.024999999999999</v>
          </cell>
          <cell r="GQ208">
            <v>38</v>
          </cell>
        </row>
        <row r="209">
          <cell r="A209">
            <v>176</v>
          </cell>
          <cell r="B209" t="str">
            <v>FG</v>
          </cell>
          <cell r="C209" t="str">
            <v>FM</v>
          </cell>
          <cell r="D209" t="str">
            <v>VEGROL C1618PS</v>
          </cell>
          <cell r="I209">
            <v>11.08</v>
          </cell>
          <cell r="O209">
            <v>11.08</v>
          </cell>
          <cell r="S209">
            <v>11.08</v>
          </cell>
          <cell r="AB209">
            <v>11.08</v>
          </cell>
          <cell r="AK209">
            <v>11.08</v>
          </cell>
          <cell r="BL209">
            <v>0</v>
          </cell>
        </row>
        <row r="210">
          <cell r="A210">
            <v>177</v>
          </cell>
          <cell r="B210" t="str">
            <v>FG</v>
          </cell>
          <cell r="C210" t="str">
            <v>FM</v>
          </cell>
          <cell r="D210" t="str">
            <v>VEGROL C1698</v>
          </cell>
          <cell r="I210">
            <v>96.15</v>
          </cell>
          <cell r="O210">
            <v>96.15</v>
          </cell>
          <cell r="S210">
            <v>116.62</v>
          </cell>
          <cell r="AB210">
            <v>71.739000000000004</v>
          </cell>
          <cell r="AK210">
            <v>65.963999999999999</v>
          </cell>
          <cell r="AT210">
            <v>86.828999999999994</v>
          </cell>
          <cell r="BC210">
            <v>91.578999999999994</v>
          </cell>
          <cell r="BL210">
            <v>85.2</v>
          </cell>
          <cell r="BU210">
            <v>26.065000000000001</v>
          </cell>
          <cell r="CD210">
            <v>22.225000000000001</v>
          </cell>
          <cell r="CM210">
            <v>17.225000000000001</v>
          </cell>
          <cell r="CV210">
            <v>13.225</v>
          </cell>
          <cell r="DE210">
            <v>199.68100000000001</v>
          </cell>
          <cell r="DN210">
            <v>191.501</v>
          </cell>
          <cell r="DW210">
            <v>129.40100000000001</v>
          </cell>
          <cell r="EF210">
            <v>124.051</v>
          </cell>
          <cell r="EO210">
            <v>56.911000000000001</v>
          </cell>
          <cell r="FG210">
            <v>48.341999999999999</v>
          </cell>
          <cell r="FP210">
            <v>60.945999999999998</v>
          </cell>
          <cell r="FY210">
            <v>94.403000000000006</v>
          </cell>
          <cell r="GH210">
            <v>19.763000000000002</v>
          </cell>
          <cell r="GQ210">
            <v>13.513</v>
          </cell>
        </row>
        <row r="211">
          <cell r="A211">
            <v>178</v>
          </cell>
          <cell r="B211" t="str">
            <v>FG</v>
          </cell>
          <cell r="C211" t="str">
            <v>FM</v>
          </cell>
          <cell r="D211" t="str">
            <v>VEGROL C1895</v>
          </cell>
          <cell r="I211">
            <v>0</v>
          </cell>
          <cell r="O211">
            <v>0</v>
          </cell>
          <cell r="S211">
            <v>0</v>
          </cell>
          <cell r="AB211">
            <v>0</v>
          </cell>
          <cell r="AK211">
            <v>0</v>
          </cell>
          <cell r="BL211">
            <v>0</v>
          </cell>
        </row>
        <row r="212">
          <cell r="A212">
            <v>179</v>
          </cell>
          <cell r="B212" t="str">
            <v>FG</v>
          </cell>
          <cell r="C212" t="str">
            <v>FM</v>
          </cell>
          <cell r="D212" t="str">
            <v>VEGROL C1898</v>
          </cell>
          <cell r="I212">
            <v>93.15</v>
          </cell>
          <cell r="O212">
            <v>93.15</v>
          </cell>
          <cell r="S212">
            <v>77.150000000000006</v>
          </cell>
          <cell r="AB212">
            <v>120.372</v>
          </cell>
          <cell r="AK212">
            <v>83.58</v>
          </cell>
          <cell r="AT212">
            <v>113.735</v>
          </cell>
          <cell r="BC212">
            <v>113.58499999999999</v>
          </cell>
          <cell r="BL212">
            <v>108.58499999999999</v>
          </cell>
          <cell r="BU212">
            <v>102.61</v>
          </cell>
          <cell r="CD212">
            <v>118.61</v>
          </cell>
          <cell r="CM212">
            <v>116.61</v>
          </cell>
          <cell r="CV212">
            <v>93.61</v>
          </cell>
          <cell r="DE212">
            <v>127.73</v>
          </cell>
          <cell r="DN212">
            <v>114.73</v>
          </cell>
          <cell r="DW212">
            <v>82.75</v>
          </cell>
          <cell r="EF212">
            <v>65.75</v>
          </cell>
          <cell r="EO212">
            <v>21.38</v>
          </cell>
          <cell r="FG212">
            <v>3.22</v>
          </cell>
          <cell r="FP212">
            <v>0.23</v>
          </cell>
          <cell r="FY212">
            <v>0.23</v>
          </cell>
          <cell r="GH212">
            <v>8.23</v>
          </cell>
          <cell r="GQ212">
            <v>0.23</v>
          </cell>
        </row>
        <row r="213">
          <cell r="A213">
            <v>180</v>
          </cell>
          <cell r="B213" t="str">
            <v>FG</v>
          </cell>
          <cell r="C213" t="str">
            <v>FM</v>
          </cell>
          <cell r="D213" t="str">
            <v>VEGROL C1822</v>
          </cell>
          <cell r="I213">
            <v>71.2</v>
          </cell>
          <cell r="O213">
            <v>71.2</v>
          </cell>
          <cell r="S213">
            <v>62.95</v>
          </cell>
          <cell r="AB213">
            <v>62.95</v>
          </cell>
          <cell r="AK213">
            <v>62.95</v>
          </cell>
          <cell r="AT213">
            <v>59.55</v>
          </cell>
          <cell r="BC213">
            <v>59.4</v>
          </cell>
          <cell r="BL213">
            <v>63.725000000000001</v>
          </cell>
          <cell r="BU213">
            <v>39.625</v>
          </cell>
          <cell r="CD213">
            <v>72.875</v>
          </cell>
          <cell r="CM213">
            <v>72.875</v>
          </cell>
          <cell r="CV213">
            <v>57.875</v>
          </cell>
          <cell r="DE213">
            <v>56.875</v>
          </cell>
          <cell r="DN213">
            <v>56.875</v>
          </cell>
          <cell r="DW213">
            <v>41.875</v>
          </cell>
          <cell r="EF213">
            <v>41.875</v>
          </cell>
          <cell r="EO213">
            <v>36.174999999999997</v>
          </cell>
          <cell r="FG213">
            <v>33.25</v>
          </cell>
          <cell r="FP213">
            <v>36.875</v>
          </cell>
          <cell r="FY213">
            <v>30.5</v>
          </cell>
          <cell r="GH213">
            <v>80.75</v>
          </cell>
          <cell r="GQ213">
            <v>50.75</v>
          </cell>
        </row>
        <row r="214">
          <cell r="A214">
            <v>181</v>
          </cell>
          <cell r="B214" t="str">
            <v>FG</v>
          </cell>
          <cell r="C214" t="str">
            <v>FM</v>
          </cell>
          <cell r="D214" t="str">
            <v>VEGROL C22</v>
          </cell>
          <cell r="I214">
            <v>64.572000000000003</v>
          </cell>
          <cell r="O214">
            <v>64.572000000000003</v>
          </cell>
          <cell r="S214">
            <v>32.572000000000003</v>
          </cell>
          <cell r="AB214">
            <v>123.47199999999999</v>
          </cell>
          <cell r="AK214">
            <v>126.697</v>
          </cell>
          <cell r="AT214">
            <v>112.197</v>
          </cell>
          <cell r="BC214">
            <v>87.5</v>
          </cell>
          <cell r="BL214">
            <v>25.5</v>
          </cell>
          <cell r="BU214">
            <v>20.5</v>
          </cell>
          <cell r="CD214">
            <v>0.5</v>
          </cell>
          <cell r="CM214">
            <v>0.5</v>
          </cell>
          <cell r="CV214">
            <v>0.5</v>
          </cell>
          <cell r="DE214">
            <v>71.25</v>
          </cell>
          <cell r="DN214">
            <v>70.75</v>
          </cell>
          <cell r="DW214">
            <v>70.75</v>
          </cell>
          <cell r="EF214">
            <v>143.5</v>
          </cell>
          <cell r="EO214">
            <v>151.69999999999999</v>
          </cell>
          <cell r="FG214">
            <v>54.033999999999999</v>
          </cell>
          <cell r="FP214">
            <v>173.53399999999999</v>
          </cell>
          <cell r="FY214">
            <v>149.53399999999999</v>
          </cell>
          <cell r="GH214">
            <v>190.53399999999999</v>
          </cell>
          <cell r="GQ214">
            <v>184.53399999999999</v>
          </cell>
        </row>
        <row r="215">
          <cell r="A215">
            <v>182</v>
          </cell>
          <cell r="B215" t="str">
            <v>FG</v>
          </cell>
          <cell r="C215" t="str">
            <v>FM</v>
          </cell>
          <cell r="D215" t="str">
            <v>VEGROL C2280</v>
          </cell>
          <cell r="I215">
            <v>2.75</v>
          </cell>
          <cell r="O215">
            <v>2.75</v>
          </cell>
          <cell r="S215">
            <v>16.75</v>
          </cell>
          <cell r="AB215">
            <v>16.75</v>
          </cell>
          <cell r="AK215">
            <v>16.75</v>
          </cell>
          <cell r="AT215">
            <v>16.75</v>
          </cell>
          <cell r="BC215">
            <v>16.75</v>
          </cell>
          <cell r="BL215">
            <v>16.75</v>
          </cell>
          <cell r="BU215">
            <v>16.75</v>
          </cell>
          <cell r="CD215">
            <v>16.75</v>
          </cell>
          <cell r="CM215">
            <v>16.75</v>
          </cell>
          <cell r="CV215">
            <v>16.75</v>
          </cell>
          <cell r="DE215">
            <v>16.75</v>
          </cell>
          <cell r="DN215">
            <v>16.75</v>
          </cell>
          <cell r="DW215">
            <v>16.75</v>
          </cell>
          <cell r="EF215">
            <v>16.75</v>
          </cell>
          <cell r="EO215">
            <v>16.75</v>
          </cell>
          <cell r="FG215">
            <v>52.25</v>
          </cell>
          <cell r="FP215">
            <v>17.25</v>
          </cell>
          <cell r="FY215">
            <v>75.599999999999994</v>
          </cell>
          <cell r="GH215">
            <v>122.25</v>
          </cell>
          <cell r="GQ215">
            <v>17.25</v>
          </cell>
        </row>
        <row r="216">
          <cell r="A216">
            <v>183</v>
          </cell>
          <cell r="B216" t="str">
            <v>FG</v>
          </cell>
          <cell r="C216" t="str">
            <v>FM</v>
          </cell>
          <cell r="D216" t="str">
            <v>OFF GRADE PASTILLES</v>
          </cell>
          <cell r="I216">
            <v>202</v>
          </cell>
          <cell r="O216">
            <v>202</v>
          </cell>
          <cell r="S216">
            <v>202</v>
          </cell>
          <cell r="AB216">
            <v>203</v>
          </cell>
          <cell r="AK216">
            <v>203</v>
          </cell>
          <cell r="AT216">
            <v>204</v>
          </cell>
          <cell r="BC216">
            <v>205</v>
          </cell>
          <cell r="BL216">
            <v>205</v>
          </cell>
          <cell r="BU216">
            <v>205</v>
          </cell>
          <cell r="CD216">
            <v>205</v>
          </cell>
          <cell r="CM216">
            <v>205</v>
          </cell>
          <cell r="CV216">
            <v>205</v>
          </cell>
          <cell r="DE216">
            <v>205</v>
          </cell>
          <cell r="DN216">
            <v>205</v>
          </cell>
          <cell r="DW216">
            <v>205</v>
          </cell>
          <cell r="EF216">
            <v>205</v>
          </cell>
          <cell r="EO216">
            <v>205</v>
          </cell>
          <cell r="FG216">
            <v>205</v>
          </cell>
          <cell r="FP216">
            <v>205</v>
          </cell>
          <cell r="FY216">
            <v>205</v>
          </cell>
          <cell r="GH216">
            <v>205</v>
          </cell>
          <cell r="GQ216">
            <v>205</v>
          </cell>
        </row>
        <row r="217">
          <cell r="F217">
            <v>0</v>
          </cell>
          <cell r="G217">
            <v>0</v>
          </cell>
          <cell r="H217">
            <v>0</v>
          </cell>
          <cell r="I217">
            <v>925.66700000000003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925.66700000000003</v>
          </cell>
          <cell r="P217">
            <v>0</v>
          </cell>
          <cell r="Q217">
            <v>0</v>
          </cell>
          <cell r="R217">
            <v>0</v>
          </cell>
          <cell r="S217">
            <v>867.28700000000003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920.73399999999992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939.26200000000006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898.36199999999997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934.66499999999996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734.91100000000006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672.17599999999993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645.41100000000006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693.46100000000001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576.95499999999993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782.74600000000009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826.90499999999997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669.95799999999997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699.02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635.351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484.15899999999999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656.87300000000005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697.20500000000004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>
            <v>0</v>
          </cell>
          <cell r="GG217">
            <v>0</v>
          </cell>
          <cell r="GH217">
            <v>710.26499999999999</v>
          </cell>
          <cell r="GI217">
            <v>0</v>
          </cell>
          <cell r="GJ217">
            <v>0</v>
          </cell>
          <cell r="GK217">
            <v>0</v>
          </cell>
          <cell r="GL217">
            <v>0</v>
          </cell>
          <cell r="GM217">
            <v>0</v>
          </cell>
          <cell r="GN217">
            <v>0</v>
          </cell>
          <cell r="GO217">
            <v>0</v>
          </cell>
          <cell r="GP217">
            <v>0</v>
          </cell>
          <cell r="GQ217">
            <v>585.64</v>
          </cell>
          <cell r="GR217">
            <v>0</v>
          </cell>
          <cell r="GS217">
            <v>0</v>
          </cell>
          <cell r="GT217">
            <v>0</v>
          </cell>
          <cell r="GU217">
            <v>0</v>
          </cell>
          <cell r="GV217">
            <v>0</v>
          </cell>
        </row>
        <row r="218">
          <cell r="A218" t="str">
            <v xml:space="preserve">ALCOHOL-INTERMEDIATES </v>
          </cell>
        </row>
        <row r="219">
          <cell r="A219">
            <v>184</v>
          </cell>
          <cell r="B219" t="str">
            <v>IPRM</v>
          </cell>
          <cell r="C219" t="str">
            <v>NM</v>
          </cell>
          <cell r="D219" t="str">
            <v>ALCOHOL-L/E-C-12 88%</v>
          </cell>
          <cell r="O219">
            <v>0</v>
          </cell>
        </row>
        <row r="220">
          <cell r="A220">
            <v>185</v>
          </cell>
          <cell r="B220" t="str">
            <v>IPRM</v>
          </cell>
          <cell r="C220" t="str">
            <v>NM</v>
          </cell>
          <cell r="D220" t="str">
            <v>ALCOHOL-L/E-1(1214)</v>
          </cell>
          <cell r="I220">
            <v>2.4</v>
          </cell>
          <cell r="O220">
            <v>2.4</v>
          </cell>
          <cell r="S220">
            <v>7</v>
          </cell>
          <cell r="AB220">
            <v>11.9</v>
          </cell>
          <cell r="AK220">
            <v>18.2</v>
          </cell>
          <cell r="AT220">
            <v>33.799999999999997</v>
          </cell>
          <cell r="BC220">
            <v>105.4</v>
          </cell>
          <cell r="BL220">
            <v>139.30000000000001</v>
          </cell>
          <cell r="BU220">
            <v>146.9</v>
          </cell>
          <cell r="CD220">
            <v>154.6</v>
          </cell>
          <cell r="CM220">
            <v>169.1</v>
          </cell>
          <cell r="CV220">
            <v>178.8</v>
          </cell>
          <cell r="DE220">
            <v>184.5</v>
          </cell>
          <cell r="DN220">
            <v>184.5</v>
          </cell>
          <cell r="DW220">
            <v>184.5</v>
          </cell>
          <cell r="EF220">
            <v>184.5</v>
          </cell>
          <cell r="EO220">
            <v>201.4</v>
          </cell>
          <cell r="EX220">
            <v>232.6</v>
          </cell>
          <cell r="FG220">
            <v>240</v>
          </cell>
          <cell r="FP220">
            <v>234.6</v>
          </cell>
          <cell r="FY220">
            <v>237.7</v>
          </cell>
          <cell r="GH220">
            <v>225.7</v>
          </cell>
          <cell r="GQ220">
            <v>235.32899999999998</v>
          </cell>
        </row>
        <row r="221">
          <cell r="A221">
            <v>186</v>
          </cell>
          <cell r="B221" t="str">
            <v>IPRM</v>
          </cell>
          <cell r="C221" t="str">
            <v>NM</v>
          </cell>
          <cell r="D221" t="str">
            <v>ALCOHOL-L/E-2(C12C16)</v>
          </cell>
          <cell r="O221">
            <v>0</v>
          </cell>
          <cell r="FG221">
            <v>440.79999999999995</v>
          </cell>
          <cell r="FP221">
            <v>442.3</v>
          </cell>
        </row>
        <row r="222">
          <cell r="A222">
            <v>187</v>
          </cell>
          <cell r="B222" t="str">
            <v>IPRM</v>
          </cell>
          <cell r="C222" t="str">
            <v>NM</v>
          </cell>
          <cell r="D222" t="str">
            <v>ALCOHOL-L/E-C1618,22</v>
          </cell>
          <cell r="I222">
            <v>550.6</v>
          </cell>
          <cell r="O222">
            <v>550.6</v>
          </cell>
          <cell r="S222">
            <v>550.6</v>
          </cell>
          <cell r="AK222">
            <v>174.5</v>
          </cell>
          <cell r="AT222">
            <v>174.5</v>
          </cell>
          <cell r="BC222">
            <v>174.5</v>
          </cell>
          <cell r="BL222">
            <v>174.5</v>
          </cell>
          <cell r="BU222">
            <v>174.5</v>
          </cell>
          <cell r="CD222">
            <v>174.5</v>
          </cell>
          <cell r="CM222">
            <v>174.5</v>
          </cell>
          <cell r="CV222">
            <v>174.5</v>
          </cell>
          <cell r="DE222">
            <v>230.1</v>
          </cell>
          <cell r="DN222">
            <v>231.3</v>
          </cell>
          <cell r="DW222">
            <v>437.5</v>
          </cell>
          <cell r="EF222">
            <v>475.3</v>
          </cell>
          <cell r="EO222">
            <v>475.3</v>
          </cell>
          <cell r="EX222">
            <v>475.3</v>
          </cell>
          <cell r="FG222">
            <v>244</v>
          </cell>
          <cell r="FY222">
            <v>470.59</v>
          </cell>
          <cell r="GH222">
            <v>244.04687999999999</v>
          </cell>
        </row>
        <row r="223">
          <cell r="A223">
            <v>188</v>
          </cell>
          <cell r="B223" t="str">
            <v>IPRM</v>
          </cell>
          <cell r="C223" t="str">
            <v>NM</v>
          </cell>
          <cell r="D223" t="str">
            <v>ALCOHOL-L/E-2(C12C18)</v>
          </cell>
          <cell r="I223">
            <v>201</v>
          </cell>
          <cell r="O223">
            <v>201</v>
          </cell>
        </row>
        <row r="224">
          <cell r="A224">
            <v>189</v>
          </cell>
          <cell r="B224" t="str">
            <v>IPRM</v>
          </cell>
          <cell r="C224" t="str">
            <v>NM</v>
          </cell>
          <cell r="D224" t="str">
            <v>ALCOHOL-C16RICH</v>
          </cell>
          <cell r="O224">
            <v>0</v>
          </cell>
          <cell r="FG224">
            <v>231.3</v>
          </cell>
        </row>
        <row r="225">
          <cell r="A225">
            <v>190</v>
          </cell>
          <cell r="B225" t="str">
            <v>IPRM</v>
          </cell>
          <cell r="C225" t="str">
            <v>NM</v>
          </cell>
          <cell r="D225" t="str">
            <v>ALCOHOL-CRUDE / L/E'S</v>
          </cell>
          <cell r="O225">
            <v>0</v>
          </cell>
          <cell r="DN225">
            <v>88.9</v>
          </cell>
        </row>
        <row r="226">
          <cell r="A226">
            <v>191</v>
          </cell>
          <cell r="B226" t="str">
            <v>IPRM</v>
          </cell>
          <cell r="C226" t="str">
            <v>NM</v>
          </cell>
          <cell r="D226" t="str">
            <v>L/E of ALC . 18</v>
          </cell>
          <cell r="O226">
            <v>0</v>
          </cell>
        </row>
        <row r="227">
          <cell r="A227">
            <v>192</v>
          </cell>
          <cell r="B227" t="str">
            <v>IPRM</v>
          </cell>
          <cell r="C227" t="str">
            <v>NM</v>
          </cell>
          <cell r="D227" t="str">
            <v>L.E.of C 1822</v>
          </cell>
          <cell r="O227">
            <v>0</v>
          </cell>
          <cell r="AB227">
            <v>550.6</v>
          </cell>
          <cell r="AK227">
            <v>376.1</v>
          </cell>
          <cell r="AT227">
            <v>376.1</v>
          </cell>
          <cell r="BC227">
            <v>376.1</v>
          </cell>
          <cell r="BL227">
            <v>376.1</v>
          </cell>
          <cell r="BU227">
            <v>376.1</v>
          </cell>
          <cell r="CD227">
            <v>376.1</v>
          </cell>
          <cell r="CM227">
            <v>376.1</v>
          </cell>
          <cell r="CV227">
            <v>376.1</v>
          </cell>
          <cell r="DE227">
            <v>376.1</v>
          </cell>
          <cell r="DN227">
            <v>376.1</v>
          </cell>
          <cell r="DW227">
            <v>375.2</v>
          </cell>
          <cell r="EF227">
            <v>380.1</v>
          </cell>
          <cell r="EO227">
            <v>380.1</v>
          </cell>
          <cell r="EX227">
            <v>380.1</v>
          </cell>
          <cell r="FG227">
            <v>533.29999999999995</v>
          </cell>
          <cell r="FP227">
            <v>533.31600000000003</v>
          </cell>
          <cell r="FY227">
            <v>533.29</v>
          </cell>
          <cell r="GH227">
            <v>533.31600000000003</v>
          </cell>
          <cell r="GQ227">
            <v>533.31600000000003</v>
          </cell>
        </row>
        <row r="228">
          <cell r="A228">
            <v>251</v>
          </cell>
          <cell r="B228" t="str">
            <v>IPRM</v>
          </cell>
          <cell r="C228" t="str">
            <v>NM</v>
          </cell>
          <cell r="D228" t="str">
            <v>ALCOHOL-C12/C14 (seed alc)</v>
          </cell>
          <cell r="FG228">
            <v>170</v>
          </cell>
          <cell r="FP228">
            <v>170</v>
          </cell>
          <cell r="FY228">
            <v>170</v>
          </cell>
          <cell r="GH228">
            <v>170</v>
          </cell>
        </row>
        <row r="229">
          <cell r="A229">
            <v>252</v>
          </cell>
          <cell r="B229" t="str">
            <v>IPRM</v>
          </cell>
          <cell r="C229" t="str">
            <v>NM</v>
          </cell>
          <cell r="D229" t="str">
            <v>ALCOHOL-C16 98 (seed alc)</v>
          </cell>
          <cell r="FG229">
            <v>170</v>
          </cell>
          <cell r="FP229">
            <v>163</v>
          </cell>
          <cell r="FY229">
            <v>128</v>
          </cell>
          <cell r="GH229">
            <v>128</v>
          </cell>
          <cell r="GQ229">
            <v>128</v>
          </cell>
        </row>
        <row r="230">
          <cell r="A230">
            <v>253</v>
          </cell>
          <cell r="B230" t="str">
            <v>IPRM</v>
          </cell>
          <cell r="C230" t="str">
            <v>NM</v>
          </cell>
          <cell r="D230" t="str">
            <v>ALCOHOL-C18 98 (seed alc)</v>
          </cell>
          <cell r="FG230">
            <v>102</v>
          </cell>
          <cell r="FP230">
            <v>102</v>
          </cell>
          <cell r="FY230">
            <v>99</v>
          </cell>
          <cell r="GH230">
            <v>91</v>
          </cell>
          <cell r="GQ230">
            <v>137</v>
          </cell>
        </row>
        <row r="231">
          <cell r="A231">
            <v>254</v>
          </cell>
          <cell r="B231" t="str">
            <v>IPRM</v>
          </cell>
          <cell r="C231" t="str">
            <v>NM</v>
          </cell>
          <cell r="D231" t="str">
            <v>ALCOHOL-C16/C18 TA (seed alc)</v>
          </cell>
          <cell r="FG231">
            <v>148</v>
          </cell>
          <cell r="FP231">
            <v>149</v>
          </cell>
          <cell r="FY231">
            <v>149</v>
          </cell>
          <cell r="GH231">
            <v>170</v>
          </cell>
          <cell r="GQ231">
            <v>170</v>
          </cell>
        </row>
        <row r="232">
          <cell r="A232">
            <v>193</v>
          </cell>
          <cell r="B232" t="str">
            <v>IPRM</v>
          </cell>
          <cell r="C232" t="str">
            <v>NM</v>
          </cell>
          <cell r="D232" t="str">
            <v>ALCOHOL-C16/C18 (seed alc)</v>
          </cell>
          <cell r="I232">
            <v>395.8</v>
          </cell>
          <cell r="O232">
            <v>395.8</v>
          </cell>
        </row>
        <row r="233">
          <cell r="A233">
            <v>194</v>
          </cell>
          <cell r="B233" t="str">
            <v>IPRM</v>
          </cell>
          <cell r="C233" t="str">
            <v>NM</v>
          </cell>
          <cell r="D233" t="str">
            <v>ALCOHOL-C18/C22 (seed alc)</v>
          </cell>
          <cell r="I233">
            <v>49.9</v>
          </cell>
          <cell r="O233">
            <v>49.9</v>
          </cell>
          <cell r="AB233">
            <v>431.96</v>
          </cell>
          <cell r="AK233">
            <v>439.75</v>
          </cell>
          <cell r="AT233">
            <v>439.75</v>
          </cell>
          <cell r="BC233">
            <v>439.75</v>
          </cell>
          <cell r="BL233">
            <v>437.27</v>
          </cell>
          <cell r="BU233">
            <v>440.24</v>
          </cell>
          <cell r="CD233">
            <v>440.24</v>
          </cell>
          <cell r="CM233">
            <v>438.89</v>
          </cell>
          <cell r="CV233">
            <v>439.64</v>
          </cell>
          <cell r="DE233">
            <v>439.64</v>
          </cell>
          <cell r="EF233">
            <v>144</v>
          </cell>
          <cell r="EO233">
            <v>168.8</v>
          </cell>
          <cell r="EX233">
            <v>153.30000000000001</v>
          </cell>
          <cell r="FY233">
            <v>60</v>
          </cell>
        </row>
        <row r="234">
          <cell r="A234">
            <v>256</v>
          </cell>
          <cell r="B234" t="str">
            <v>IPRM</v>
          </cell>
          <cell r="C234" t="str">
            <v>NM</v>
          </cell>
          <cell r="D234" t="str">
            <v>ALCOHOL-C22 70 (seed alc)</v>
          </cell>
          <cell r="FG234">
            <v>170</v>
          </cell>
          <cell r="FP234">
            <v>170</v>
          </cell>
          <cell r="FY234">
            <v>170</v>
          </cell>
          <cell r="GH234">
            <v>170</v>
          </cell>
          <cell r="GQ234">
            <v>170</v>
          </cell>
        </row>
        <row r="235">
          <cell r="A235">
            <v>195</v>
          </cell>
          <cell r="B235" t="str">
            <v>IPRM</v>
          </cell>
          <cell r="C235" t="str">
            <v>NM</v>
          </cell>
          <cell r="D235" t="str">
            <v>Int. Alc.20-22</v>
          </cell>
          <cell r="O235">
            <v>0</v>
          </cell>
          <cell r="S235">
            <v>435.75</v>
          </cell>
        </row>
        <row r="236">
          <cell r="A236">
            <v>196</v>
          </cell>
          <cell r="B236" t="str">
            <v>IPRM</v>
          </cell>
          <cell r="C236" t="str">
            <v>NM</v>
          </cell>
          <cell r="D236" t="str">
            <v>ALCOHOL-RESIDUE</v>
          </cell>
          <cell r="I236">
            <v>100.8</v>
          </cell>
          <cell r="M236">
            <v>5.39</v>
          </cell>
          <cell r="O236">
            <v>106.19</v>
          </cell>
          <cell r="S236">
            <v>107.8</v>
          </cell>
          <cell r="AB236">
            <v>116.7</v>
          </cell>
          <cell r="AK236">
            <v>120.2</v>
          </cell>
          <cell r="AT236">
            <v>126.7</v>
          </cell>
          <cell r="BC236">
            <v>127.9</v>
          </cell>
          <cell r="BL236">
            <v>133.30000000000001</v>
          </cell>
          <cell r="BU236">
            <v>141.1</v>
          </cell>
          <cell r="CD236">
            <v>141.9</v>
          </cell>
          <cell r="CM236">
            <v>145.80000000000001</v>
          </cell>
          <cell r="CV236">
            <v>145.80000000000001</v>
          </cell>
          <cell r="DE236">
            <v>153.5</v>
          </cell>
          <cell r="DN236">
            <v>240.3</v>
          </cell>
          <cell r="DW236">
            <v>496.3</v>
          </cell>
          <cell r="EF236">
            <v>391.7</v>
          </cell>
          <cell r="EO236">
            <v>347</v>
          </cell>
          <cell r="EX236">
            <v>246.4</v>
          </cell>
          <cell r="FG236">
            <v>231.05</v>
          </cell>
          <cell r="FP236">
            <v>189.2</v>
          </cell>
          <cell r="FY236">
            <v>189.2</v>
          </cell>
          <cell r="GH236">
            <v>188.31</v>
          </cell>
          <cell r="GQ236">
            <v>217.98</v>
          </cell>
        </row>
        <row r="237">
          <cell r="A237">
            <v>197</v>
          </cell>
          <cell r="B237" t="str">
            <v>IPRM</v>
          </cell>
          <cell r="C237" t="str">
            <v>NM</v>
          </cell>
          <cell r="D237" t="str">
            <v>ALCOHOL-HYDROCARBON</v>
          </cell>
          <cell r="O237">
            <v>0</v>
          </cell>
        </row>
        <row r="238">
          <cell r="A238">
            <v>198</v>
          </cell>
          <cell r="B238" t="str">
            <v>IPRM</v>
          </cell>
          <cell r="C238" t="str">
            <v>NM</v>
          </cell>
          <cell r="D238" t="str">
            <v>Int. Alc. V1218</v>
          </cell>
          <cell r="O238">
            <v>0</v>
          </cell>
          <cell r="DW238">
            <v>31.1</v>
          </cell>
        </row>
        <row r="239">
          <cell r="A239">
            <v>199</v>
          </cell>
          <cell r="B239" t="str">
            <v>IPRM</v>
          </cell>
          <cell r="C239" t="str">
            <v>NM</v>
          </cell>
          <cell r="D239" t="str">
            <v>Int. Alc. V1216</v>
          </cell>
          <cell r="O239">
            <v>0</v>
          </cell>
          <cell r="S239">
            <v>201</v>
          </cell>
          <cell r="AB239">
            <v>201</v>
          </cell>
          <cell r="AK239">
            <v>201</v>
          </cell>
          <cell r="AT239">
            <v>201</v>
          </cell>
          <cell r="BC239">
            <v>201</v>
          </cell>
          <cell r="BL239">
            <v>201</v>
          </cell>
          <cell r="BU239">
            <v>201</v>
          </cell>
          <cell r="CD239">
            <v>201</v>
          </cell>
          <cell r="CM239">
            <v>201</v>
          </cell>
          <cell r="CV239">
            <v>85.7</v>
          </cell>
          <cell r="DE239">
            <v>85</v>
          </cell>
          <cell r="DN239">
            <v>387</v>
          </cell>
          <cell r="DW239">
            <v>389.5</v>
          </cell>
          <cell r="EF239">
            <v>366.2</v>
          </cell>
          <cell r="EO239">
            <v>436.8</v>
          </cell>
          <cell r="EX239">
            <v>439.1</v>
          </cell>
          <cell r="FY239">
            <v>442.3</v>
          </cell>
          <cell r="GH239">
            <v>444.7</v>
          </cell>
          <cell r="GQ239">
            <v>424.9</v>
          </cell>
        </row>
        <row r="240">
          <cell r="A240">
            <v>200</v>
          </cell>
          <cell r="B240" t="str">
            <v>IPRM</v>
          </cell>
          <cell r="C240" t="str">
            <v>NM</v>
          </cell>
          <cell r="D240" t="str">
            <v>Int. Alc. V1618</v>
          </cell>
          <cell r="O240">
            <v>0</v>
          </cell>
          <cell r="S240">
            <v>412.4</v>
          </cell>
          <cell r="AB240">
            <v>412.5</v>
          </cell>
          <cell r="AK240">
            <v>412.5</v>
          </cell>
          <cell r="AT240">
            <v>422.5</v>
          </cell>
          <cell r="BC240">
            <v>424.2</v>
          </cell>
          <cell r="BL240">
            <v>435.8</v>
          </cell>
          <cell r="BU240">
            <v>435.8</v>
          </cell>
          <cell r="CD240">
            <v>435.8</v>
          </cell>
          <cell r="CM240">
            <v>435.8</v>
          </cell>
          <cell r="CV240">
            <v>435.8</v>
          </cell>
          <cell r="DE240">
            <v>422.5</v>
          </cell>
          <cell r="DN240">
            <v>75.099999999999994</v>
          </cell>
          <cell r="FG240">
            <v>1077.19</v>
          </cell>
          <cell r="FP240">
            <v>1550.1499999999999</v>
          </cell>
          <cell r="FY240">
            <v>1309.9000000000001</v>
          </cell>
          <cell r="GH240">
            <v>1303.5999999999999</v>
          </cell>
          <cell r="GQ240">
            <v>1678.4</v>
          </cell>
        </row>
        <row r="241">
          <cell r="A241">
            <v>201</v>
          </cell>
          <cell r="B241" t="str">
            <v>IPRM</v>
          </cell>
          <cell r="C241" t="str">
            <v>NM</v>
          </cell>
          <cell r="D241" t="str">
            <v>Wax ester 1214/1618</v>
          </cell>
          <cell r="I241">
            <v>23.8</v>
          </cell>
          <cell r="O241">
            <v>23.8</v>
          </cell>
          <cell r="S241">
            <v>21</v>
          </cell>
          <cell r="AB241">
            <v>21</v>
          </cell>
          <cell r="AK241">
            <v>21</v>
          </cell>
          <cell r="AT241">
            <v>21</v>
          </cell>
          <cell r="BC241">
            <v>21</v>
          </cell>
          <cell r="BL241">
            <v>21</v>
          </cell>
          <cell r="BU241">
            <v>21</v>
          </cell>
          <cell r="CD241">
            <v>21</v>
          </cell>
          <cell r="CM241">
            <v>21</v>
          </cell>
          <cell r="CV241">
            <v>21</v>
          </cell>
          <cell r="DE241">
            <v>21</v>
          </cell>
        </row>
        <row r="242">
          <cell r="A242">
            <v>202</v>
          </cell>
          <cell r="B242" t="str">
            <v>IPRM</v>
          </cell>
          <cell r="C242" t="str">
            <v>NM</v>
          </cell>
          <cell r="D242" t="str">
            <v>Wax ester 1216/1218</v>
          </cell>
          <cell r="O242">
            <v>0</v>
          </cell>
        </row>
        <row r="243">
          <cell r="A243">
            <v>203</v>
          </cell>
          <cell r="B243" t="str">
            <v>IPRM</v>
          </cell>
          <cell r="C243" t="str">
            <v>SM</v>
          </cell>
          <cell r="D243" t="str">
            <v>ALCOHOL Residue 1618</v>
          </cell>
          <cell r="O243">
            <v>0</v>
          </cell>
          <cell r="AB243">
            <v>610.1</v>
          </cell>
          <cell r="AK243">
            <v>611.4</v>
          </cell>
          <cell r="AT243">
            <v>609.79999999999995</v>
          </cell>
          <cell r="BC243">
            <v>609.79999999999995</v>
          </cell>
          <cell r="BL243">
            <v>647.1</v>
          </cell>
          <cell r="BU243">
            <v>647.1</v>
          </cell>
          <cell r="CD243">
            <v>648.29999999999995</v>
          </cell>
          <cell r="CM243">
            <v>700.6</v>
          </cell>
          <cell r="CV243">
            <v>700.6</v>
          </cell>
          <cell r="DE243">
            <v>729.3</v>
          </cell>
          <cell r="DN243">
            <v>579.6</v>
          </cell>
          <cell r="DW243">
            <v>353.2</v>
          </cell>
          <cell r="EF243">
            <v>390.4</v>
          </cell>
          <cell r="EO243">
            <v>390.4</v>
          </cell>
          <cell r="EX243">
            <v>390.4</v>
          </cell>
        </row>
        <row r="244">
          <cell r="A244">
            <v>204</v>
          </cell>
          <cell r="B244" t="str">
            <v>IPRM</v>
          </cell>
          <cell r="C244" t="str">
            <v>SM</v>
          </cell>
          <cell r="D244" t="str">
            <v>ALCOHOL Residue 1822</v>
          </cell>
          <cell r="O244">
            <v>0</v>
          </cell>
          <cell r="S244">
            <v>108.77</v>
          </cell>
        </row>
        <row r="245">
          <cell r="A245">
            <v>205</v>
          </cell>
          <cell r="B245" t="str">
            <v>IPRM</v>
          </cell>
          <cell r="C245" t="str">
            <v>SM</v>
          </cell>
          <cell r="D245" t="str">
            <v>ALCOHOL Residue 2022</v>
          </cell>
          <cell r="I245">
            <v>51</v>
          </cell>
          <cell r="O245">
            <v>51</v>
          </cell>
          <cell r="AB245">
            <v>108.75</v>
          </cell>
          <cell r="AK245">
            <v>108.75</v>
          </cell>
          <cell r="AT245">
            <v>108.75</v>
          </cell>
          <cell r="BC245">
            <v>108.75</v>
          </cell>
          <cell r="BL245">
            <v>108.75</v>
          </cell>
          <cell r="BU245">
            <v>108.75</v>
          </cell>
          <cell r="CD245">
            <v>108.75</v>
          </cell>
          <cell r="CM245">
            <v>108.75</v>
          </cell>
          <cell r="CV245">
            <v>108.75</v>
          </cell>
          <cell r="DE245">
            <v>108.75</v>
          </cell>
          <cell r="DN245">
            <v>108.75</v>
          </cell>
          <cell r="EF245">
            <v>74.510000000000005</v>
          </cell>
          <cell r="EO245">
            <v>73.319999999999993</v>
          </cell>
          <cell r="EX245">
            <v>73.319999999999993</v>
          </cell>
        </row>
        <row r="246">
          <cell r="A246">
            <v>206</v>
          </cell>
          <cell r="B246" t="str">
            <v>IPRM</v>
          </cell>
          <cell r="C246" t="str">
            <v>SM</v>
          </cell>
          <cell r="D246" t="str">
            <v>ALCOHOL B/P&gt;C18</v>
          </cell>
          <cell r="I246">
            <v>607</v>
          </cell>
          <cell r="O246">
            <v>607</v>
          </cell>
          <cell r="S246">
            <v>610.1</v>
          </cell>
        </row>
        <row r="247">
          <cell r="A247">
            <v>207</v>
          </cell>
          <cell r="B247" t="str">
            <v>IPRM</v>
          </cell>
          <cell r="C247" t="str">
            <v>SM</v>
          </cell>
          <cell r="D247" t="str">
            <v>Crude Alc. 1216</v>
          </cell>
          <cell r="O247">
            <v>0</v>
          </cell>
        </row>
        <row r="248">
          <cell r="F248">
            <v>0</v>
          </cell>
          <cell r="G248">
            <v>0</v>
          </cell>
          <cell r="H248">
            <v>0</v>
          </cell>
          <cell r="I248">
            <v>1982.3</v>
          </cell>
          <cell r="J248">
            <v>0</v>
          </cell>
          <cell r="K248">
            <v>0</v>
          </cell>
          <cell r="L248">
            <v>0</v>
          </cell>
          <cell r="M248">
            <v>5.39</v>
          </cell>
          <cell r="N248">
            <v>0</v>
          </cell>
          <cell r="O248">
            <v>1987.69</v>
          </cell>
          <cell r="P248">
            <v>0</v>
          </cell>
          <cell r="Q248">
            <v>0</v>
          </cell>
          <cell r="R248">
            <v>0</v>
          </cell>
          <cell r="S248">
            <v>2454.42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2464.5100000000002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2483.4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2513.9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2588.4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2674.12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2692.49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2702.19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2771.54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2666.69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2750.3900000000003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2271.5500000000002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2267.2999999999997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2406.7100000000005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2473.1200000000003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2390.5200000000004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3757.64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  <cell r="FO248">
            <v>0</v>
          </cell>
          <cell r="FP248">
            <v>3703.5659999999998</v>
          </cell>
          <cell r="FQ248">
            <v>0</v>
          </cell>
          <cell r="FR248">
            <v>0</v>
          </cell>
          <cell r="FS248">
            <v>0</v>
          </cell>
          <cell r="FT248">
            <v>0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3958.98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>
            <v>0</v>
          </cell>
          <cell r="GE248">
            <v>0</v>
          </cell>
          <cell r="GF248">
            <v>0</v>
          </cell>
          <cell r="GG248">
            <v>0</v>
          </cell>
          <cell r="GH248">
            <v>3668.6728799999996</v>
          </cell>
          <cell r="GI248">
            <v>0</v>
          </cell>
          <cell r="GJ248">
            <v>0</v>
          </cell>
          <cell r="GK248">
            <v>0</v>
          </cell>
          <cell r="GL248">
            <v>0</v>
          </cell>
          <cell r="GM248">
            <v>0</v>
          </cell>
          <cell r="GN248">
            <v>0</v>
          </cell>
          <cell r="GO248">
            <v>0</v>
          </cell>
          <cell r="GP248">
            <v>0</v>
          </cell>
          <cell r="GQ248">
            <v>3694.9250000000002</v>
          </cell>
          <cell r="GR248">
            <v>0</v>
          </cell>
          <cell r="GS248">
            <v>0</v>
          </cell>
          <cell r="GT248">
            <v>0</v>
          </cell>
          <cell r="GU248">
            <v>0</v>
          </cell>
          <cell r="GV248">
            <v>0</v>
          </cell>
        </row>
        <row r="249">
          <cell r="A249" t="str">
            <v>SOAP NOODLES</v>
          </cell>
        </row>
        <row r="250">
          <cell r="A250">
            <v>208</v>
          </cell>
          <cell r="B250" t="str">
            <v>FG</v>
          </cell>
          <cell r="C250" t="str">
            <v>FM</v>
          </cell>
          <cell r="D250" t="str">
            <v>DETTOL</v>
          </cell>
          <cell r="E250" t="str">
            <v>AL</v>
          </cell>
          <cell r="I250">
            <v>69.25</v>
          </cell>
          <cell r="J250">
            <v>1.7250000000000001</v>
          </cell>
          <cell r="N250">
            <v>103.3</v>
          </cell>
          <cell r="O250">
            <v>174.27499999999998</v>
          </cell>
          <cell r="S250">
            <v>126.75</v>
          </cell>
          <cell r="T250">
            <v>1.7250000000000001</v>
          </cell>
          <cell r="X250">
            <v>60.55</v>
          </cell>
          <cell r="AB250">
            <v>64</v>
          </cell>
          <cell r="AC250">
            <v>1.7250000000000001</v>
          </cell>
          <cell r="AG250">
            <v>57.55</v>
          </cell>
          <cell r="AK250">
            <v>4</v>
          </cell>
          <cell r="AL250">
            <v>1.7250000000000001</v>
          </cell>
          <cell r="AP250">
            <v>57.55</v>
          </cell>
          <cell r="AT250">
            <v>51.5</v>
          </cell>
          <cell r="AY250">
            <v>86.68</v>
          </cell>
          <cell r="BC250">
            <v>144</v>
          </cell>
          <cell r="BD250">
            <v>1.7250000000000001</v>
          </cell>
          <cell r="BG250">
            <v>32</v>
          </cell>
          <cell r="BH250">
            <v>86.674999999999997</v>
          </cell>
          <cell r="BL250">
            <v>16</v>
          </cell>
          <cell r="BM250">
            <v>1.7250000000000001</v>
          </cell>
          <cell r="BQ250">
            <v>100.3</v>
          </cell>
          <cell r="BU250">
            <v>16</v>
          </cell>
          <cell r="BV250">
            <v>1.7250000000000001</v>
          </cell>
          <cell r="BZ250">
            <v>63.15</v>
          </cell>
          <cell r="CD250">
            <v>94.5</v>
          </cell>
          <cell r="CI250">
            <v>36.89</v>
          </cell>
          <cell r="CM250">
            <v>134</v>
          </cell>
          <cell r="CN250">
            <v>1.7250000000000001</v>
          </cell>
          <cell r="CR250">
            <v>36.89</v>
          </cell>
          <cell r="CV250">
            <v>53.5</v>
          </cell>
          <cell r="CW250">
            <v>1.7250000000000001</v>
          </cell>
          <cell r="CZ250">
            <v>60</v>
          </cell>
          <cell r="DA250">
            <v>36.89</v>
          </cell>
          <cell r="DE250">
            <v>0</v>
          </cell>
          <cell r="DF250">
            <v>1.7250000000000001</v>
          </cell>
          <cell r="DJ250">
            <v>100.49</v>
          </cell>
          <cell r="DN250">
            <v>6.6</v>
          </cell>
          <cell r="DO250">
            <v>1.7250000000000001</v>
          </cell>
          <cell r="DR250">
            <v>48.4</v>
          </cell>
          <cell r="DS250">
            <v>38.24</v>
          </cell>
          <cell r="DW250">
            <v>104.2</v>
          </cell>
          <cell r="DX250">
            <v>1.7250000000000001</v>
          </cell>
          <cell r="EA250">
            <v>8.4</v>
          </cell>
          <cell r="EB250">
            <v>42.02</v>
          </cell>
          <cell r="EF250">
            <v>6</v>
          </cell>
          <cell r="EJ250">
            <v>7.2</v>
          </cell>
          <cell r="EK250">
            <v>50.42</v>
          </cell>
          <cell r="EO250">
            <v>0</v>
          </cell>
          <cell r="ET250">
            <v>56.17</v>
          </cell>
          <cell r="FC250">
            <v>8.9149999999999991</v>
          </cell>
          <cell r="FG250">
            <v>5</v>
          </cell>
          <cell r="FL250">
            <v>8.92</v>
          </cell>
          <cell r="FP250">
            <v>142.5</v>
          </cell>
          <cell r="FU250">
            <v>8.92</v>
          </cell>
          <cell r="FY250">
            <v>61.5</v>
          </cell>
          <cell r="GD250">
            <v>8.92</v>
          </cell>
          <cell r="GH250">
            <v>117.1</v>
          </cell>
          <cell r="GL250">
            <v>64.400000000000006</v>
          </cell>
          <cell r="GM250">
            <v>24.92</v>
          </cell>
          <cell r="GQ250">
            <v>27.1</v>
          </cell>
          <cell r="GV250">
            <v>109.32</v>
          </cell>
        </row>
        <row r="251">
          <cell r="A251">
            <v>209</v>
          </cell>
          <cell r="B251" t="str">
            <v>FG</v>
          </cell>
          <cell r="C251" t="str">
            <v>FM</v>
          </cell>
          <cell r="D251" t="str">
            <v>DETTOL SKINCARE</v>
          </cell>
          <cell r="I251">
            <v>119.8</v>
          </cell>
          <cell r="N251">
            <v>7.5</v>
          </cell>
          <cell r="O251">
            <v>127.3</v>
          </cell>
          <cell r="S251">
            <v>119.8</v>
          </cell>
          <cell r="X251">
            <v>7.5</v>
          </cell>
          <cell r="AB251">
            <v>114</v>
          </cell>
          <cell r="AG251">
            <v>7.5</v>
          </cell>
          <cell r="AK251">
            <v>93</v>
          </cell>
          <cell r="AP251">
            <v>7.5</v>
          </cell>
          <cell r="AT251">
            <v>93</v>
          </cell>
          <cell r="AY251">
            <v>7.5</v>
          </cell>
          <cell r="BC251">
            <v>93</v>
          </cell>
          <cell r="BH251">
            <v>7.5</v>
          </cell>
          <cell r="BL251">
            <v>93</v>
          </cell>
          <cell r="BQ251">
            <v>7.5</v>
          </cell>
          <cell r="BU251">
            <v>93</v>
          </cell>
          <cell r="BZ251">
            <v>7.5</v>
          </cell>
          <cell r="CD251">
            <v>93</v>
          </cell>
          <cell r="CI251">
            <v>7.5</v>
          </cell>
          <cell r="CM251">
            <v>93</v>
          </cell>
          <cell r="CR251">
            <v>7.5</v>
          </cell>
          <cell r="CV251">
            <v>93</v>
          </cell>
          <cell r="DA251">
            <v>7.5</v>
          </cell>
          <cell r="DE251">
            <v>93</v>
          </cell>
          <cell r="DJ251">
            <v>7.5</v>
          </cell>
          <cell r="DN251">
            <v>80.7</v>
          </cell>
          <cell r="DS251">
            <v>7.5</v>
          </cell>
          <cell r="DW251">
            <v>80.400000000000006</v>
          </cell>
          <cell r="EB251">
            <v>7.5</v>
          </cell>
          <cell r="EF251">
            <v>64.680000000000007</v>
          </cell>
          <cell r="EK251">
            <v>7.5</v>
          </cell>
          <cell r="EO251">
            <v>86</v>
          </cell>
          <cell r="ET251">
            <v>7.5</v>
          </cell>
          <cell r="FC251">
            <v>7.5</v>
          </cell>
          <cell r="FG251">
            <v>36</v>
          </cell>
          <cell r="FL251">
            <v>7.5</v>
          </cell>
          <cell r="FP251">
            <v>0</v>
          </cell>
          <cell r="FU251">
            <v>7.5</v>
          </cell>
          <cell r="FY251">
            <v>0</v>
          </cell>
          <cell r="GD251">
            <v>7.5</v>
          </cell>
          <cell r="GH251">
            <v>0</v>
          </cell>
          <cell r="GM251">
            <v>7.5</v>
          </cell>
          <cell r="GQ251">
            <v>0</v>
          </cell>
          <cell r="GV251">
            <v>7.5</v>
          </cell>
        </row>
        <row r="252">
          <cell r="A252">
            <v>210</v>
          </cell>
          <cell r="B252" t="str">
            <v>FG</v>
          </cell>
          <cell r="C252" t="str">
            <v>FM</v>
          </cell>
          <cell r="D252" t="str">
            <v>JBMS 40:60</v>
          </cell>
          <cell r="E252" t="str">
            <v>W</v>
          </cell>
          <cell r="I252">
            <v>6</v>
          </cell>
          <cell r="M252">
            <v>448</v>
          </cell>
          <cell r="N252">
            <v>396.1</v>
          </cell>
          <cell r="O252">
            <v>850.1</v>
          </cell>
          <cell r="S252">
            <v>6</v>
          </cell>
          <cell r="X252">
            <v>584.9</v>
          </cell>
          <cell r="AB252">
            <v>6</v>
          </cell>
          <cell r="AG252">
            <v>382.9</v>
          </cell>
          <cell r="AK252">
            <v>0</v>
          </cell>
          <cell r="AP252">
            <v>174.5</v>
          </cell>
          <cell r="AT252">
            <v>3.5999999999999943</v>
          </cell>
          <cell r="AX252">
            <v>152</v>
          </cell>
          <cell r="AY252">
            <v>82.9</v>
          </cell>
          <cell r="BC252">
            <v>3.5999999999999943</v>
          </cell>
          <cell r="BH252">
            <v>136.5</v>
          </cell>
          <cell r="BL252">
            <v>0</v>
          </cell>
          <cell r="BP252">
            <v>92.8</v>
          </cell>
          <cell r="BQ252">
            <v>226.9</v>
          </cell>
          <cell r="BU252">
            <v>4.2</v>
          </cell>
          <cell r="BZ252">
            <v>201.3</v>
          </cell>
          <cell r="CD252">
            <v>95</v>
          </cell>
          <cell r="CH252">
            <v>90</v>
          </cell>
          <cell r="CM252">
            <v>89.6</v>
          </cell>
          <cell r="CQ252">
            <v>140.4</v>
          </cell>
          <cell r="CV252">
            <v>1.5999999999999943</v>
          </cell>
          <cell r="CZ252">
            <v>104.4</v>
          </cell>
          <cell r="DE252">
            <v>0</v>
          </cell>
          <cell r="DI252">
            <v>209.2</v>
          </cell>
          <cell r="DJ252">
            <v>84.4</v>
          </cell>
          <cell r="DN252">
            <v>5.4000000000000057</v>
          </cell>
          <cell r="DR252">
            <v>227.6</v>
          </cell>
          <cell r="DS252">
            <v>135.6</v>
          </cell>
          <cell r="DW252">
            <v>41</v>
          </cell>
          <cell r="DX252">
            <v>32</v>
          </cell>
          <cell r="EB252">
            <v>208.4</v>
          </cell>
          <cell r="EF252">
            <v>45.8</v>
          </cell>
          <cell r="EG252">
            <v>32</v>
          </cell>
          <cell r="EJ252">
            <v>97.2</v>
          </cell>
          <cell r="EK252">
            <v>237.6</v>
          </cell>
          <cell r="EO252">
            <v>34</v>
          </cell>
          <cell r="EP252">
            <v>40.4</v>
          </cell>
          <cell r="ES252">
            <v>264</v>
          </cell>
          <cell r="ET252">
            <v>167.6</v>
          </cell>
          <cell r="EY252">
            <v>48</v>
          </cell>
          <cell r="FC252">
            <v>278.8</v>
          </cell>
          <cell r="FG252">
            <v>17</v>
          </cell>
          <cell r="FH252">
            <v>48</v>
          </cell>
          <cell r="FL252">
            <v>235.6</v>
          </cell>
          <cell r="FP252">
            <v>0</v>
          </cell>
          <cell r="FQ252">
            <v>48</v>
          </cell>
          <cell r="FT252">
            <v>86</v>
          </cell>
          <cell r="FU252">
            <v>326.8</v>
          </cell>
          <cell r="FY252">
            <v>0</v>
          </cell>
          <cell r="FZ252">
            <v>48</v>
          </cell>
          <cell r="GC252">
            <v>36.4</v>
          </cell>
          <cell r="GD252">
            <v>293.60000000000002</v>
          </cell>
          <cell r="GH252">
            <v>0</v>
          </cell>
          <cell r="GI252">
            <v>34.799999999999997</v>
          </cell>
          <cell r="GM252">
            <v>181.2</v>
          </cell>
          <cell r="GQ252">
            <v>0</v>
          </cell>
          <cell r="GR252">
            <v>6.4</v>
          </cell>
          <cell r="GU252">
            <v>64</v>
          </cell>
          <cell r="GV252">
            <v>89.6</v>
          </cell>
        </row>
        <row r="253">
          <cell r="A253">
            <v>211</v>
          </cell>
          <cell r="B253" t="str">
            <v>FG</v>
          </cell>
          <cell r="C253" t="str">
            <v>FM</v>
          </cell>
          <cell r="D253" t="str">
            <v>JNC 99</v>
          </cell>
          <cell r="E253">
            <v>99</v>
          </cell>
          <cell r="I253">
            <v>0</v>
          </cell>
          <cell r="J253">
            <v>6.0119999999999854</v>
          </cell>
          <cell r="N253">
            <v>167.81</v>
          </cell>
          <cell r="O253">
            <v>173.82199999999997</v>
          </cell>
          <cell r="S253">
            <v>0</v>
          </cell>
          <cell r="T253">
            <v>6.0119999999999854</v>
          </cell>
          <cell r="X253">
            <v>167.81</v>
          </cell>
          <cell r="AB253">
            <v>0</v>
          </cell>
          <cell r="AC253">
            <v>6.0119999999999854</v>
          </cell>
          <cell r="AG253">
            <v>147.01</v>
          </cell>
          <cell r="AK253">
            <v>0</v>
          </cell>
          <cell r="AL253">
            <v>54.011999999999986</v>
          </cell>
          <cell r="AO253">
            <v>8</v>
          </cell>
          <cell r="AP253">
            <v>96.61</v>
          </cell>
          <cell r="AT253">
            <v>2.2000000000000002</v>
          </cell>
          <cell r="AU253">
            <v>54.011999999999986</v>
          </cell>
          <cell r="AX253">
            <v>80.8</v>
          </cell>
          <cell r="AY253">
            <v>103.81</v>
          </cell>
          <cell r="BC253">
            <v>2.2000000000000002</v>
          </cell>
          <cell r="BD253">
            <v>54.011999999999986</v>
          </cell>
          <cell r="BH253">
            <v>106.01</v>
          </cell>
          <cell r="BL253">
            <v>20</v>
          </cell>
          <cell r="BM253">
            <v>20.01199999999999</v>
          </cell>
          <cell r="BQ253">
            <v>34.409999999999997</v>
          </cell>
          <cell r="BU253">
            <v>0</v>
          </cell>
          <cell r="BV253">
            <v>7.9999999999999893</v>
          </cell>
          <cell r="BZ253">
            <v>34.409999999999997</v>
          </cell>
          <cell r="CD253">
            <v>82</v>
          </cell>
          <cell r="CE253">
            <v>7.9999999999999893</v>
          </cell>
          <cell r="CI253">
            <v>34.409999999999997</v>
          </cell>
          <cell r="CM253">
            <v>21</v>
          </cell>
          <cell r="CN253">
            <v>7.9999999999999893</v>
          </cell>
          <cell r="CQ253">
            <v>82.4</v>
          </cell>
          <cell r="CR253">
            <v>34.409999999999997</v>
          </cell>
          <cell r="CV253">
            <v>14</v>
          </cell>
          <cell r="CW253">
            <v>7.9999999999999893</v>
          </cell>
          <cell r="DA253">
            <v>116.81</v>
          </cell>
          <cell r="DE253">
            <v>10.8</v>
          </cell>
          <cell r="DF253">
            <v>59.2</v>
          </cell>
          <cell r="DJ253">
            <v>106.41</v>
          </cell>
          <cell r="DN253">
            <v>88.85</v>
          </cell>
          <cell r="DO253">
            <v>23.3</v>
          </cell>
          <cell r="DS253">
            <v>115.21</v>
          </cell>
          <cell r="DW253">
            <v>11.95</v>
          </cell>
          <cell r="DX253">
            <v>68.5</v>
          </cell>
          <cell r="EB253">
            <v>106.41</v>
          </cell>
          <cell r="EF253">
            <v>2</v>
          </cell>
          <cell r="EG253">
            <v>26.1</v>
          </cell>
          <cell r="EK253">
            <v>100.01</v>
          </cell>
          <cell r="EO253">
            <v>2</v>
          </cell>
          <cell r="EP253">
            <v>24.9</v>
          </cell>
          <cell r="ET253">
            <v>68.41</v>
          </cell>
          <cell r="EY253">
            <v>5.3</v>
          </cell>
          <cell r="FC253">
            <v>35.61</v>
          </cell>
          <cell r="FG253">
            <v>10.6</v>
          </cell>
          <cell r="FH253">
            <v>5.3</v>
          </cell>
          <cell r="FL253">
            <v>140.01</v>
          </cell>
          <cell r="FP253">
            <v>2</v>
          </cell>
          <cell r="FQ253">
            <v>5.3</v>
          </cell>
          <cell r="FU253">
            <v>87.61</v>
          </cell>
          <cell r="FY253">
            <v>2</v>
          </cell>
          <cell r="GD253">
            <v>87.61</v>
          </cell>
          <cell r="GH253">
            <v>2</v>
          </cell>
          <cell r="GI253">
            <v>5.3</v>
          </cell>
          <cell r="GM253">
            <v>60.01</v>
          </cell>
          <cell r="GQ253">
            <v>0</v>
          </cell>
          <cell r="GR253">
            <v>5.3</v>
          </cell>
          <cell r="GU253">
            <v>16</v>
          </cell>
          <cell r="GV253">
            <v>93.61</v>
          </cell>
        </row>
        <row r="254">
          <cell r="A254">
            <v>212</v>
          </cell>
          <cell r="B254" t="str">
            <v>FG</v>
          </cell>
          <cell r="C254" t="str">
            <v>FM</v>
          </cell>
          <cell r="D254" t="str">
            <v>JO TF 70%</v>
          </cell>
          <cell r="E254" t="str">
            <v>TF</v>
          </cell>
          <cell r="I254">
            <v>0</v>
          </cell>
          <cell r="J254">
            <v>51.363999999999997</v>
          </cell>
          <cell r="M254">
            <v>96.6</v>
          </cell>
          <cell r="N254">
            <v>79.37</v>
          </cell>
          <cell r="O254">
            <v>227.334</v>
          </cell>
          <cell r="S254">
            <v>69.400000000000006</v>
          </cell>
          <cell r="T254">
            <v>449.98899999999998</v>
          </cell>
          <cell r="W254">
            <v>129.6</v>
          </cell>
          <cell r="X254">
            <v>50.99</v>
          </cell>
          <cell r="AB254">
            <v>0</v>
          </cell>
          <cell r="AC254">
            <v>306.68899999999996</v>
          </cell>
          <cell r="AF254">
            <v>16.5</v>
          </cell>
          <cell r="AG254">
            <v>306.58999999999997</v>
          </cell>
          <cell r="AK254">
            <v>1.5999999999999943</v>
          </cell>
          <cell r="AL254">
            <v>170.68900000000002</v>
          </cell>
          <cell r="AO254">
            <v>262.39999999999998</v>
          </cell>
          <cell r="AP254">
            <v>95</v>
          </cell>
          <cell r="AT254">
            <v>48.2</v>
          </cell>
          <cell r="AU254">
            <v>228.41400000000002</v>
          </cell>
          <cell r="AX254">
            <v>8.8000000000000007</v>
          </cell>
          <cell r="AY254">
            <v>299.8</v>
          </cell>
          <cell r="BC254">
            <v>30.8</v>
          </cell>
          <cell r="BD254">
            <v>249.43899999999999</v>
          </cell>
          <cell r="BG254">
            <v>275.2</v>
          </cell>
          <cell r="BH254">
            <v>170.19499999999999</v>
          </cell>
          <cell r="BL254">
            <v>0</v>
          </cell>
          <cell r="BM254">
            <v>516.03899999999999</v>
          </cell>
          <cell r="BQ254">
            <v>227.8</v>
          </cell>
          <cell r="BU254">
            <v>0</v>
          </cell>
          <cell r="BV254">
            <v>405.63900000000001</v>
          </cell>
          <cell r="BZ254">
            <v>176.2</v>
          </cell>
          <cell r="CD254">
            <v>47</v>
          </cell>
          <cell r="CE254">
            <v>376.43899999999996</v>
          </cell>
          <cell r="CH254">
            <v>32</v>
          </cell>
          <cell r="CI254">
            <v>78.194999999999993</v>
          </cell>
          <cell r="CM254">
            <v>0</v>
          </cell>
          <cell r="CN254">
            <v>334.839</v>
          </cell>
          <cell r="CQ254">
            <v>21.2</v>
          </cell>
          <cell r="CR254">
            <v>20.6</v>
          </cell>
          <cell r="CV254">
            <v>0</v>
          </cell>
          <cell r="CW254">
            <v>294.63900000000001</v>
          </cell>
          <cell r="DE254">
            <v>127</v>
          </cell>
          <cell r="DF254">
            <v>196.239</v>
          </cell>
          <cell r="DI254">
            <v>194</v>
          </cell>
          <cell r="DN254">
            <v>0</v>
          </cell>
          <cell r="DO254">
            <v>178.239</v>
          </cell>
          <cell r="DS254">
            <v>229.6</v>
          </cell>
          <cell r="DW254">
            <v>0</v>
          </cell>
          <cell r="DX254">
            <v>113.43899999999999</v>
          </cell>
          <cell r="EA254">
            <v>80</v>
          </cell>
          <cell r="EB254">
            <v>88.4</v>
          </cell>
          <cell r="EF254">
            <v>14</v>
          </cell>
          <cell r="EG254">
            <v>48.963999999999999</v>
          </cell>
          <cell r="EK254">
            <v>42</v>
          </cell>
          <cell r="EO254">
            <v>0</v>
          </cell>
          <cell r="EP254">
            <v>112.964</v>
          </cell>
          <cell r="ES254">
            <v>242.4</v>
          </cell>
          <cell r="ET254">
            <v>63.2</v>
          </cell>
          <cell r="EY254">
            <v>244.26400000000001</v>
          </cell>
          <cell r="FC254">
            <v>35.6</v>
          </cell>
          <cell r="FG254">
            <v>153.19999999999999</v>
          </cell>
          <cell r="FH254">
            <v>215.864</v>
          </cell>
          <cell r="FK254">
            <v>16</v>
          </cell>
          <cell r="FL254">
            <v>227.6</v>
          </cell>
          <cell r="FP254">
            <v>16</v>
          </cell>
          <cell r="FQ254">
            <v>179.16399999999999</v>
          </cell>
          <cell r="FT254">
            <v>86</v>
          </cell>
          <cell r="FU254">
            <v>150.80000000000001</v>
          </cell>
          <cell r="FY254">
            <v>132</v>
          </cell>
          <cell r="FZ254">
            <v>165.76400000000001</v>
          </cell>
          <cell r="GC254">
            <v>5.2</v>
          </cell>
          <cell r="GD254">
            <v>154</v>
          </cell>
          <cell r="GH254">
            <v>19.2</v>
          </cell>
          <cell r="GI254">
            <v>274.81399999999996</v>
          </cell>
          <cell r="GL254">
            <v>261.60000000000002</v>
          </cell>
          <cell r="GM254">
            <v>94</v>
          </cell>
          <cell r="GQ254">
            <v>0</v>
          </cell>
          <cell r="GR254">
            <v>284.21099999999996</v>
          </cell>
          <cell r="GV254">
            <v>142.4</v>
          </cell>
        </row>
        <row r="255">
          <cell r="A255">
            <v>213</v>
          </cell>
          <cell r="B255" t="str">
            <v>FG</v>
          </cell>
          <cell r="C255" t="str">
            <v>FM</v>
          </cell>
          <cell r="D255" t="str">
            <v>DR TF 70%</v>
          </cell>
          <cell r="E255" t="str">
            <v>TF D</v>
          </cell>
          <cell r="I255">
            <v>0</v>
          </cell>
          <cell r="M255">
            <v>196.8</v>
          </cell>
          <cell r="N255">
            <v>429</v>
          </cell>
          <cell r="O255">
            <v>625.79999999999995</v>
          </cell>
          <cell r="S255">
            <v>0</v>
          </cell>
          <cell r="X255">
            <v>302.60000000000002</v>
          </cell>
          <cell r="AB255">
            <v>88.2</v>
          </cell>
          <cell r="AG255">
            <v>152.19999999999999</v>
          </cell>
          <cell r="AK255">
            <v>0</v>
          </cell>
          <cell r="AO255">
            <v>120.8</v>
          </cell>
          <cell r="AP255">
            <v>208.2</v>
          </cell>
          <cell r="AT255">
            <v>0</v>
          </cell>
          <cell r="AU255">
            <v>1.7250000000000001</v>
          </cell>
          <cell r="AY255">
            <v>169.8</v>
          </cell>
          <cell r="BC255">
            <v>3</v>
          </cell>
          <cell r="BG255">
            <v>177.6</v>
          </cell>
          <cell r="BH255">
            <v>101.8</v>
          </cell>
          <cell r="BL255">
            <v>0</v>
          </cell>
          <cell r="BQ255">
            <v>141</v>
          </cell>
          <cell r="BU255">
            <v>15.4</v>
          </cell>
          <cell r="BY255">
            <v>64.400000000000006</v>
          </cell>
          <cell r="BZ255">
            <v>86.6</v>
          </cell>
          <cell r="CD255">
            <v>0</v>
          </cell>
          <cell r="CE255">
            <v>1.7250000000000001</v>
          </cell>
          <cell r="CI255">
            <v>273.8</v>
          </cell>
          <cell r="CM255">
            <v>0</v>
          </cell>
          <cell r="CR255">
            <v>259</v>
          </cell>
          <cell r="CV255">
            <v>0</v>
          </cell>
          <cell r="DA255">
            <v>91.4</v>
          </cell>
          <cell r="DE255">
            <v>0</v>
          </cell>
          <cell r="DI255">
            <v>64</v>
          </cell>
          <cell r="DJ255">
            <v>86</v>
          </cell>
          <cell r="DN255">
            <v>0</v>
          </cell>
          <cell r="DR255">
            <v>16.8</v>
          </cell>
          <cell r="DS255">
            <v>167.2</v>
          </cell>
          <cell r="DW255">
            <v>0</v>
          </cell>
          <cell r="EA255">
            <v>90.4</v>
          </cell>
          <cell r="EB255">
            <v>38.799999999999997</v>
          </cell>
          <cell r="EF255">
            <v>0</v>
          </cell>
          <cell r="EJ255">
            <v>33.6</v>
          </cell>
          <cell r="EK255">
            <v>18.8</v>
          </cell>
          <cell r="EO255">
            <v>0</v>
          </cell>
          <cell r="FG255">
            <v>0</v>
          </cell>
          <cell r="FL255">
            <v>102.8</v>
          </cell>
          <cell r="FP255">
            <v>67.599999999999994</v>
          </cell>
          <cell r="FT255">
            <v>111.2</v>
          </cell>
          <cell r="FU255">
            <v>15.2</v>
          </cell>
          <cell r="FY255">
            <v>51.8</v>
          </cell>
          <cell r="GC255">
            <v>62.4</v>
          </cell>
          <cell r="GD255">
            <v>42</v>
          </cell>
          <cell r="GH255">
            <v>5.8000000000000114</v>
          </cell>
          <cell r="GL255">
            <v>312</v>
          </cell>
          <cell r="GM255">
            <v>110.8</v>
          </cell>
          <cell r="GQ255">
            <v>0</v>
          </cell>
          <cell r="GU255">
            <v>127.6</v>
          </cell>
          <cell r="GV255">
            <v>227.6</v>
          </cell>
        </row>
        <row r="256">
          <cell r="A256">
            <v>214</v>
          </cell>
          <cell r="B256" t="str">
            <v>FG</v>
          </cell>
          <cell r="C256" t="str">
            <v>FM</v>
          </cell>
          <cell r="D256" t="str">
            <v>JO ALMOND W TF 70%</v>
          </cell>
          <cell r="E256" t="str">
            <v>VITAVON W TF</v>
          </cell>
          <cell r="I256">
            <v>0</v>
          </cell>
          <cell r="J256">
            <v>389.22500000000002</v>
          </cell>
          <cell r="N256">
            <v>211.2</v>
          </cell>
          <cell r="O256">
            <v>600.42499999999995</v>
          </cell>
          <cell r="S256">
            <v>0</v>
          </cell>
          <cell r="X256">
            <v>181.2</v>
          </cell>
          <cell r="AB256">
            <v>0</v>
          </cell>
          <cell r="AG256">
            <v>78.400000000000006</v>
          </cell>
          <cell r="AK256">
            <v>6.8000000000000114</v>
          </cell>
          <cell r="AL256">
            <v>96</v>
          </cell>
          <cell r="AO256">
            <v>79.2</v>
          </cell>
          <cell r="AP256">
            <v>208</v>
          </cell>
          <cell r="AT256">
            <v>6.8000000000000114</v>
          </cell>
          <cell r="AU256">
            <v>128</v>
          </cell>
          <cell r="BC256">
            <v>6.8000000000000114</v>
          </cell>
          <cell r="BD256">
            <v>128</v>
          </cell>
          <cell r="BL256">
            <v>0</v>
          </cell>
          <cell r="BM256">
            <v>128</v>
          </cell>
          <cell r="BU256">
            <v>9.3999999999999773</v>
          </cell>
          <cell r="BV256">
            <v>128</v>
          </cell>
          <cell r="CD256">
            <v>6.1999999999999771</v>
          </cell>
          <cell r="CE256">
            <v>128</v>
          </cell>
          <cell r="CI256">
            <v>192</v>
          </cell>
          <cell r="CM256">
            <v>6.1999999999999771</v>
          </cell>
          <cell r="CN256">
            <v>128</v>
          </cell>
          <cell r="CR256">
            <v>143.6</v>
          </cell>
          <cell r="CV256">
            <v>0</v>
          </cell>
          <cell r="CW256">
            <v>91.2</v>
          </cell>
          <cell r="DA256">
            <v>122.4</v>
          </cell>
          <cell r="DE256">
            <v>0</v>
          </cell>
          <cell r="DJ256">
            <v>34.799999999999997</v>
          </cell>
          <cell r="DN256">
            <v>0</v>
          </cell>
          <cell r="DS256">
            <v>10</v>
          </cell>
          <cell r="DW256">
            <v>0</v>
          </cell>
          <cell r="DX256">
            <v>193.6</v>
          </cell>
          <cell r="EA256">
            <v>81.2</v>
          </cell>
          <cell r="EB256">
            <v>152.80000000000001</v>
          </cell>
          <cell r="EF256">
            <v>0</v>
          </cell>
          <cell r="EG256">
            <v>156.80000000000001</v>
          </cell>
          <cell r="EK256">
            <v>189.6</v>
          </cell>
          <cell r="EO256">
            <v>0</v>
          </cell>
          <cell r="EP256">
            <v>64.8</v>
          </cell>
          <cell r="ET256">
            <v>136</v>
          </cell>
          <cell r="EY256">
            <v>62</v>
          </cell>
          <cell r="FC256">
            <v>48.8</v>
          </cell>
          <cell r="FG256">
            <v>0</v>
          </cell>
          <cell r="FH256">
            <v>99.2</v>
          </cell>
          <cell r="FK256">
            <v>48.8</v>
          </cell>
          <cell r="FL256">
            <v>73.599999999999994</v>
          </cell>
          <cell r="FP256">
            <v>0</v>
          </cell>
          <cell r="FQ256">
            <v>63.6</v>
          </cell>
          <cell r="FU256">
            <v>141.19999999999999</v>
          </cell>
          <cell r="FY256">
            <v>0</v>
          </cell>
          <cell r="FZ256">
            <v>63.6</v>
          </cell>
          <cell r="GD256">
            <v>78.8</v>
          </cell>
          <cell r="GH256">
            <v>0</v>
          </cell>
          <cell r="GI256">
            <v>16</v>
          </cell>
          <cell r="GM256">
            <v>3.2</v>
          </cell>
          <cell r="GQ256">
            <v>99.2</v>
          </cell>
          <cell r="GU256">
            <v>35.200000000000003</v>
          </cell>
          <cell r="GV256">
            <v>3.2</v>
          </cell>
        </row>
        <row r="257">
          <cell r="A257">
            <v>215</v>
          </cell>
          <cell r="B257" t="str">
            <v>FG</v>
          </cell>
          <cell r="C257" t="str">
            <v>FM</v>
          </cell>
          <cell r="D257" t="str">
            <v>AMWAY</v>
          </cell>
          <cell r="I257">
            <v>0</v>
          </cell>
          <cell r="N257">
            <v>132.19999999999999</v>
          </cell>
          <cell r="O257">
            <v>132.19999999999999</v>
          </cell>
          <cell r="S257">
            <v>0</v>
          </cell>
          <cell r="X257">
            <v>103</v>
          </cell>
          <cell r="AB257">
            <v>0</v>
          </cell>
          <cell r="AG257">
            <v>43</v>
          </cell>
          <cell r="AK257">
            <v>0</v>
          </cell>
          <cell r="AP257">
            <v>43</v>
          </cell>
          <cell r="AT257">
            <v>0</v>
          </cell>
          <cell r="AY257">
            <v>43</v>
          </cell>
          <cell r="BC257">
            <v>0</v>
          </cell>
          <cell r="BH257">
            <v>43</v>
          </cell>
          <cell r="BL257">
            <v>8.5999999999999943</v>
          </cell>
          <cell r="BP257">
            <v>102.4</v>
          </cell>
          <cell r="BQ257">
            <v>43</v>
          </cell>
          <cell r="BU257">
            <v>0</v>
          </cell>
          <cell r="BZ257">
            <v>142.6</v>
          </cell>
          <cell r="CD257">
            <v>0</v>
          </cell>
          <cell r="CI257">
            <v>61</v>
          </cell>
          <cell r="CM257">
            <v>0</v>
          </cell>
          <cell r="CR257">
            <v>34.200000000000003</v>
          </cell>
          <cell r="CV257">
            <v>0</v>
          </cell>
          <cell r="CZ257">
            <v>97.6</v>
          </cell>
          <cell r="DA257">
            <v>34.200000000000003</v>
          </cell>
          <cell r="DE257">
            <v>0</v>
          </cell>
          <cell r="DJ257">
            <v>102.6</v>
          </cell>
          <cell r="DN257">
            <v>0</v>
          </cell>
          <cell r="DS257">
            <v>102.6</v>
          </cell>
          <cell r="DW257">
            <v>0</v>
          </cell>
          <cell r="EB257">
            <v>60.2</v>
          </cell>
          <cell r="EF257">
            <v>0</v>
          </cell>
          <cell r="EJ257">
            <v>154.80000000000001</v>
          </cell>
          <cell r="EK257">
            <v>61.4</v>
          </cell>
          <cell r="EO257">
            <v>0</v>
          </cell>
          <cell r="ET257">
            <v>145</v>
          </cell>
          <cell r="FC257">
            <v>120.2</v>
          </cell>
          <cell r="FG257">
            <v>0</v>
          </cell>
          <cell r="FL257">
            <v>106.6</v>
          </cell>
          <cell r="FP257">
            <v>0</v>
          </cell>
          <cell r="FU257">
            <v>75</v>
          </cell>
          <cell r="FY257">
            <v>0</v>
          </cell>
          <cell r="GD257">
            <v>75</v>
          </cell>
          <cell r="GH257">
            <v>0</v>
          </cell>
          <cell r="GM257">
            <v>75</v>
          </cell>
          <cell r="GQ257">
            <v>0</v>
          </cell>
          <cell r="GU257">
            <v>49.2</v>
          </cell>
          <cell r="GV257">
            <v>168.2</v>
          </cell>
        </row>
        <row r="258">
          <cell r="A258">
            <v>216</v>
          </cell>
          <cell r="B258" t="str">
            <v>FG</v>
          </cell>
          <cell r="C258" t="str">
            <v>FM</v>
          </cell>
          <cell r="D258" t="str">
            <v>FA SAUDI</v>
          </cell>
          <cell r="I258">
            <v>210</v>
          </cell>
          <cell r="J258">
            <v>29.2</v>
          </cell>
          <cell r="O258">
            <v>239.2</v>
          </cell>
          <cell r="S258">
            <v>10</v>
          </cell>
          <cell r="T258">
            <v>29.2</v>
          </cell>
          <cell r="AB258">
            <v>10</v>
          </cell>
          <cell r="AC258">
            <v>29.2</v>
          </cell>
          <cell r="AK258">
            <v>10</v>
          </cell>
          <cell r="AL258">
            <v>29.2</v>
          </cell>
          <cell r="AT258">
            <v>10</v>
          </cell>
          <cell r="AU258">
            <v>29.2</v>
          </cell>
          <cell r="BC258">
            <v>10</v>
          </cell>
          <cell r="BD258">
            <v>29.2</v>
          </cell>
          <cell r="BL258">
            <v>10</v>
          </cell>
          <cell r="BU258">
            <v>167</v>
          </cell>
          <cell r="BV258">
            <v>29.2</v>
          </cell>
          <cell r="CD258">
            <v>5.3</v>
          </cell>
          <cell r="CE258">
            <v>29.2</v>
          </cell>
          <cell r="CM258">
            <v>5.3</v>
          </cell>
          <cell r="CN258">
            <v>29.2</v>
          </cell>
          <cell r="CV258">
            <v>5.3</v>
          </cell>
          <cell r="CW258">
            <v>29.2</v>
          </cell>
          <cell r="DE258">
            <v>33.299999999999997</v>
          </cell>
          <cell r="DF258">
            <v>29.2</v>
          </cell>
          <cell r="DN258">
            <v>22.3</v>
          </cell>
          <cell r="DO258">
            <v>29.2</v>
          </cell>
          <cell r="DW258">
            <v>22.3</v>
          </cell>
          <cell r="DX258">
            <v>29.2</v>
          </cell>
          <cell r="EF258">
            <v>22.3</v>
          </cell>
          <cell r="EG258">
            <v>29.2</v>
          </cell>
          <cell r="EO258">
            <v>22.3</v>
          </cell>
          <cell r="EP258">
            <v>29.2</v>
          </cell>
          <cell r="EY258">
            <v>29.2</v>
          </cell>
          <cell r="FG258">
            <v>14.3</v>
          </cell>
          <cell r="FH258">
            <v>29.2</v>
          </cell>
          <cell r="FP258">
            <v>14.3</v>
          </cell>
          <cell r="FQ258">
            <v>29.2</v>
          </cell>
          <cell r="FY258">
            <v>14.3</v>
          </cell>
          <cell r="FZ258">
            <v>29.2</v>
          </cell>
          <cell r="GH258">
            <v>14.3</v>
          </cell>
          <cell r="GQ258">
            <v>14.3</v>
          </cell>
          <cell r="GR258">
            <v>29.2</v>
          </cell>
        </row>
        <row r="259">
          <cell r="A259">
            <v>217</v>
          </cell>
          <cell r="B259" t="str">
            <v>FG</v>
          </cell>
          <cell r="C259" t="str">
            <v>FM</v>
          </cell>
          <cell r="D259" t="str">
            <v>LE CHAT</v>
          </cell>
          <cell r="I259">
            <v>23</v>
          </cell>
          <cell r="O259">
            <v>23</v>
          </cell>
          <cell r="S259">
            <v>23</v>
          </cell>
          <cell r="AB259">
            <v>23</v>
          </cell>
          <cell r="AK259">
            <v>23</v>
          </cell>
          <cell r="AT259">
            <v>23</v>
          </cell>
          <cell r="BC259">
            <v>23</v>
          </cell>
          <cell r="BL259">
            <v>23</v>
          </cell>
          <cell r="BU259">
            <v>23</v>
          </cell>
          <cell r="CD259">
            <v>23</v>
          </cell>
          <cell r="CM259">
            <v>23</v>
          </cell>
          <cell r="CV259">
            <v>23</v>
          </cell>
          <cell r="DE259">
            <v>23</v>
          </cell>
          <cell r="DN259">
            <v>23</v>
          </cell>
          <cell r="DW259">
            <v>23</v>
          </cell>
          <cell r="EF259">
            <v>23</v>
          </cell>
          <cell r="EO259">
            <v>23</v>
          </cell>
          <cell r="FG259">
            <v>23</v>
          </cell>
          <cell r="FP259">
            <v>23</v>
          </cell>
          <cell r="FY259">
            <v>23</v>
          </cell>
          <cell r="GH259">
            <v>23</v>
          </cell>
          <cell r="GQ259">
            <v>23</v>
          </cell>
        </row>
        <row r="260">
          <cell r="A260">
            <v>218</v>
          </cell>
          <cell r="B260" t="str">
            <v>FG</v>
          </cell>
          <cell r="C260" t="str">
            <v>FM</v>
          </cell>
          <cell r="D260" t="str">
            <v>SDM NOODLES</v>
          </cell>
          <cell r="I260">
            <v>26</v>
          </cell>
          <cell r="O260">
            <v>26</v>
          </cell>
          <cell r="S260">
            <v>26</v>
          </cell>
          <cell r="AB260">
            <v>26</v>
          </cell>
          <cell r="AK260">
            <v>26</v>
          </cell>
          <cell r="AT260">
            <v>26</v>
          </cell>
          <cell r="BC260">
            <v>26</v>
          </cell>
          <cell r="BL260">
            <v>26</v>
          </cell>
          <cell r="BU260">
            <v>26</v>
          </cell>
          <cell r="CD260">
            <v>26</v>
          </cell>
          <cell r="CM260">
            <v>26</v>
          </cell>
          <cell r="CV260">
            <v>26</v>
          </cell>
          <cell r="DE260">
            <v>26</v>
          </cell>
          <cell r="DN260">
            <v>26</v>
          </cell>
          <cell r="DW260">
            <v>26</v>
          </cell>
          <cell r="EF260">
            <v>26</v>
          </cell>
          <cell r="EO260">
            <v>26</v>
          </cell>
          <cell r="FG260">
            <v>26</v>
          </cell>
          <cell r="FP260">
            <v>26</v>
          </cell>
          <cell r="FY260">
            <v>26</v>
          </cell>
          <cell r="GH260">
            <v>26</v>
          </cell>
          <cell r="GQ260">
            <v>26</v>
          </cell>
        </row>
        <row r="261">
          <cell r="A261">
            <v>219</v>
          </cell>
          <cell r="B261" t="str">
            <v>FG</v>
          </cell>
          <cell r="C261" t="str">
            <v>FM</v>
          </cell>
          <cell r="D261" t="str">
            <v>ITC</v>
          </cell>
          <cell r="I261">
            <v>0</v>
          </cell>
          <cell r="J261">
            <v>169.3</v>
          </cell>
          <cell r="O261">
            <v>169.3</v>
          </cell>
          <cell r="S261">
            <v>0</v>
          </cell>
          <cell r="T261">
            <v>211.9</v>
          </cell>
          <cell r="AB261">
            <v>0</v>
          </cell>
          <cell r="AC261">
            <v>219.1</v>
          </cell>
          <cell r="AK261">
            <v>252</v>
          </cell>
          <cell r="AL261">
            <v>161.5</v>
          </cell>
          <cell r="AT261">
            <v>87</v>
          </cell>
          <cell r="AU261">
            <v>446.7</v>
          </cell>
          <cell r="BC261">
            <v>0</v>
          </cell>
          <cell r="BD261">
            <v>547.5</v>
          </cell>
          <cell r="BG261">
            <v>32</v>
          </cell>
          <cell r="BL261">
            <v>0</v>
          </cell>
          <cell r="BM261">
            <v>551.5</v>
          </cell>
          <cell r="BU261">
            <v>0</v>
          </cell>
          <cell r="BV261">
            <v>431.1</v>
          </cell>
          <cell r="CD261">
            <v>0</v>
          </cell>
          <cell r="CE261">
            <v>305.10000000000002</v>
          </cell>
          <cell r="CM261">
            <v>0</v>
          </cell>
          <cell r="CN261">
            <v>227.1</v>
          </cell>
          <cell r="CV261">
            <v>137.19999999999999</v>
          </cell>
          <cell r="CW261">
            <v>169.1</v>
          </cell>
          <cell r="DE261">
            <v>0</v>
          </cell>
          <cell r="DF261">
            <v>371.5</v>
          </cell>
          <cell r="DN261">
            <v>0</v>
          </cell>
          <cell r="DO261">
            <v>229.1</v>
          </cell>
          <cell r="DW261">
            <v>0</v>
          </cell>
          <cell r="DX261">
            <v>200.7</v>
          </cell>
          <cell r="EF261">
            <v>0</v>
          </cell>
          <cell r="EG261">
            <v>230.3</v>
          </cell>
          <cell r="EO261">
            <v>0</v>
          </cell>
          <cell r="EP261">
            <v>421.9</v>
          </cell>
          <cell r="EY261">
            <v>334.7</v>
          </cell>
          <cell r="FG261">
            <v>0</v>
          </cell>
          <cell r="FH261">
            <v>273.10000000000002</v>
          </cell>
          <cell r="FP261">
            <v>0</v>
          </cell>
          <cell r="FQ261">
            <v>308.5</v>
          </cell>
          <cell r="FY261">
            <v>0</v>
          </cell>
          <cell r="FZ261">
            <v>281.3</v>
          </cell>
          <cell r="GH261">
            <v>0</v>
          </cell>
          <cell r="GI261">
            <v>224.1</v>
          </cell>
          <cell r="GQ261">
            <v>0</v>
          </cell>
          <cell r="GR261">
            <v>138.1</v>
          </cell>
        </row>
        <row r="262">
          <cell r="A262">
            <v>220</v>
          </cell>
          <cell r="B262" t="str">
            <v>FG</v>
          </cell>
          <cell r="C262" t="str">
            <v>FM</v>
          </cell>
          <cell r="D262" t="str">
            <v>GENERAL NOODLES</v>
          </cell>
          <cell r="I262">
            <v>4.8</v>
          </cell>
          <cell r="O262">
            <v>4.8</v>
          </cell>
          <cell r="S262">
            <v>4.8</v>
          </cell>
          <cell r="AB262">
            <v>4.8</v>
          </cell>
          <cell r="AK262">
            <v>4.8</v>
          </cell>
          <cell r="AT262">
            <v>4.8</v>
          </cell>
          <cell r="BC262">
            <v>4.8</v>
          </cell>
          <cell r="BL262">
            <v>32.799999999999997</v>
          </cell>
          <cell r="BU262">
            <v>29</v>
          </cell>
          <cell r="CD262">
            <v>18</v>
          </cell>
          <cell r="CM262">
            <v>11.4</v>
          </cell>
          <cell r="CV262">
            <v>15.7</v>
          </cell>
          <cell r="DE262">
            <v>4.3</v>
          </cell>
          <cell r="DN262">
            <v>4.7249999999999996</v>
          </cell>
          <cell r="DW262">
            <v>4.7249999999999996</v>
          </cell>
          <cell r="EF262">
            <v>4.7249999999999996</v>
          </cell>
          <cell r="EO262">
            <v>2.4</v>
          </cell>
          <cell r="FG262">
            <v>2.4</v>
          </cell>
          <cell r="FP262">
            <v>38.200000000000003</v>
          </cell>
          <cell r="FY262">
            <v>38.200000000000003</v>
          </cell>
          <cell r="GH262">
            <v>38.200000000000003</v>
          </cell>
          <cell r="GQ262">
            <v>25</v>
          </cell>
        </row>
        <row r="263">
          <cell r="A263">
            <v>221</v>
          </cell>
          <cell r="B263" t="str">
            <v>FG</v>
          </cell>
          <cell r="C263" t="str">
            <v>FM</v>
          </cell>
          <cell r="D263" t="str">
            <v>NEAT SCRAP SOAP</v>
          </cell>
          <cell r="I263">
            <v>33</v>
          </cell>
          <cell r="O263">
            <v>33</v>
          </cell>
          <cell r="S263">
            <v>33</v>
          </cell>
          <cell r="AB263">
            <v>15</v>
          </cell>
          <cell r="AK263">
            <v>15</v>
          </cell>
          <cell r="AT263">
            <v>12</v>
          </cell>
          <cell r="BC263">
            <v>14</v>
          </cell>
          <cell r="BL263">
            <v>15</v>
          </cell>
          <cell r="BU263">
            <v>15</v>
          </cell>
          <cell r="CD263">
            <v>15</v>
          </cell>
          <cell r="CM263">
            <v>15</v>
          </cell>
          <cell r="CV263">
            <v>20</v>
          </cell>
          <cell r="DE263">
            <v>20</v>
          </cell>
          <cell r="DN263">
            <v>20</v>
          </cell>
          <cell r="DW263">
            <v>29</v>
          </cell>
          <cell r="EF263">
            <v>29</v>
          </cell>
          <cell r="EO263">
            <v>29</v>
          </cell>
          <cell r="FG263">
            <v>29</v>
          </cell>
          <cell r="FP263">
            <v>30</v>
          </cell>
          <cell r="FY263">
            <v>30</v>
          </cell>
          <cell r="GH263">
            <v>30</v>
          </cell>
          <cell r="GQ263">
            <v>30</v>
          </cell>
        </row>
        <row r="264">
          <cell r="A264">
            <v>222</v>
          </cell>
          <cell r="B264" t="str">
            <v>FG</v>
          </cell>
          <cell r="C264" t="str">
            <v>FM</v>
          </cell>
          <cell r="D264" t="str">
            <v>DAVID OPEC</v>
          </cell>
          <cell r="J264">
            <v>0.8</v>
          </cell>
          <cell r="O264">
            <v>0.8</v>
          </cell>
          <cell r="T264">
            <v>0.8</v>
          </cell>
          <cell r="AC264">
            <v>0.8</v>
          </cell>
          <cell r="AL264">
            <v>0.8</v>
          </cell>
          <cell r="AU264">
            <v>0.8</v>
          </cell>
          <cell r="BD264">
            <v>0.8</v>
          </cell>
          <cell r="BM264">
            <v>0.8</v>
          </cell>
          <cell r="BV264">
            <v>0.8</v>
          </cell>
          <cell r="CE264">
            <v>0.8</v>
          </cell>
          <cell r="CN264">
            <v>0.8</v>
          </cell>
          <cell r="CW264">
            <v>0.8</v>
          </cell>
          <cell r="DF264">
            <v>0.8</v>
          </cell>
          <cell r="DO264">
            <v>0.8</v>
          </cell>
          <cell r="DX264">
            <v>0.8</v>
          </cell>
          <cell r="EG264">
            <v>0.8</v>
          </cell>
          <cell r="EP264">
            <v>0.8</v>
          </cell>
          <cell r="EY264">
            <v>0.8</v>
          </cell>
          <cell r="FH264">
            <v>0.8</v>
          </cell>
          <cell r="FQ264">
            <v>0.8</v>
          </cell>
          <cell r="FZ264">
            <v>0.8</v>
          </cell>
          <cell r="GI264">
            <v>0.8</v>
          </cell>
        </row>
        <row r="265">
          <cell r="A265">
            <v>223</v>
          </cell>
          <cell r="B265" t="str">
            <v>FG</v>
          </cell>
          <cell r="C265" t="str">
            <v>FM</v>
          </cell>
          <cell r="D265" t="str">
            <v>DABUR VATICA</v>
          </cell>
          <cell r="J265">
            <v>1.756</v>
          </cell>
          <cell r="O265">
            <v>1.756</v>
          </cell>
          <cell r="T265">
            <v>1.756</v>
          </cell>
          <cell r="AC265">
            <v>1.756</v>
          </cell>
          <cell r="AL265">
            <v>1.756</v>
          </cell>
          <cell r="AU265">
            <v>1.756</v>
          </cell>
          <cell r="BD265">
            <v>1.756</v>
          </cell>
          <cell r="BM265">
            <v>1.756</v>
          </cell>
          <cell r="BV265">
            <v>1.756</v>
          </cell>
          <cell r="CE265">
            <v>1.756</v>
          </cell>
          <cell r="CN265">
            <v>1.756</v>
          </cell>
          <cell r="CW265">
            <v>1.756</v>
          </cell>
          <cell r="DF265">
            <v>1.756</v>
          </cell>
          <cell r="DO265">
            <v>1.756</v>
          </cell>
          <cell r="DX265">
            <v>1.756</v>
          </cell>
        </row>
        <row r="266">
          <cell r="A266">
            <v>224</v>
          </cell>
          <cell r="B266" t="str">
            <v>FG</v>
          </cell>
          <cell r="C266" t="str">
            <v>FM</v>
          </cell>
          <cell r="D266" t="str">
            <v>MARGO</v>
          </cell>
          <cell r="J266">
            <v>198.80099999999999</v>
          </cell>
          <cell r="O266">
            <v>198.80099999999999</v>
          </cell>
          <cell r="T266">
            <v>347.351</v>
          </cell>
          <cell r="AC266">
            <v>610.30100000000004</v>
          </cell>
          <cell r="AL266">
            <v>702.65099999999995</v>
          </cell>
          <cell r="AU266">
            <v>599.50099999999998</v>
          </cell>
          <cell r="BD266">
            <v>494.70100000000002</v>
          </cell>
          <cell r="BM266">
            <v>350.30099999999999</v>
          </cell>
          <cell r="BV266">
            <v>253.3</v>
          </cell>
          <cell r="CE266">
            <v>291.8</v>
          </cell>
          <cell r="CN266">
            <v>295.95</v>
          </cell>
          <cell r="CW266">
            <v>242.75</v>
          </cell>
          <cell r="DF266">
            <v>182.65</v>
          </cell>
          <cell r="DO266">
            <v>150.65</v>
          </cell>
          <cell r="DX266">
            <v>134.65</v>
          </cell>
          <cell r="EG266">
            <v>273.3</v>
          </cell>
          <cell r="EP266">
            <v>341.35</v>
          </cell>
          <cell r="EY266">
            <v>353.65</v>
          </cell>
          <cell r="FH266">
            <v>289.64999999999998</v>
          </cell>
          <cell r="FQ266">
            <v>257.64999999999998</v>
          </cell>
          <cell r="FZ266">
            <v>241.65</v>
          </cell>
          <cell r="GI266">
            <v>209.65</v>
          </cell>
          <cell r="GR266">
            <v>209.65</v>
          </cell>
        </row>
        <row r="267">
          <cell r="A267">
            <v>225</v>
          </cell>
          <cell r="B267" t="str">
            <v>FG</v>
          </cell>
          <cell r="C267" t="str">
            <v>FM</v>
          </cell>
          <cell r="D267" t="str">
            <v>OIL BASED NOODLES</v>
          </cell>
          <cell r="O267">
            <v>0</v>
          </cell>
        </row>
        <row r="268">
          <cell r="A268">
            <v>226</v>
          </cell>
          <cell r="B268" t="str">
            <v>FG</v>
          </cell>
          <cell r="C268" t="str">
            <v>SM</v>
          </cell>
          <cell r="D268" t="str">
            <v>TRANSLUCENT</v>
          </cell>
          <cell r="J268">
            <v>33.173000000000002</v>
          </cell>
          <cell r="N268">
            <v>221.6</v>
          </cell>
          <cell r="O268">
            <v>254.773</v>
          </cell>
          <cell r="T268">
            <v>93.923000000000002</v>
          </cell>
          <cell r="X268">
            <v>203</v>
          </cell>
          <cell r="AC268">
            <v>93.923000000000002</v>
          </cell>
          <cell r="AG268">
            <v>203</v>
          </cell>
          <cell r="AL268">
            <v>93.697999999999993</v>
          </cell>
          <cell r="AP268">
            <v>182.6</v>
          </cell>
          <cell r="AU268">
            <v>44.423000000000002</v>
          </cell>
          <cell r="AX268">
            <v>33.075000000000003</v>
          </cell>
          <cell r="AY268">
            <v>121.41</v>
          </cell>
          <cell r="BD268">
            <v>121.373</v>
          </cell>
          <cell r="BG268">
            <v>16.2</v>
          </cell>
          <cell r="BH268">
            <v>92.120999999999881</v>
          </cell>
          <cell r="BM268">
            <v>88.522999999999996</v>
          </cell>
          <cell r="BP268">
            <v>97.2</v>
          </cell>
          <cell r="BQ268">
            <v>67.12</v>
          </cell>
          <cell r="BV268">
            <v>191.24799999999999</v>
          </cell>
          <cell r="BY268">
            <v>95.9</v>
          </cell>
          <cell r="BZ268">
            <v>94.07</v>
          </cell>
          <cell r="CE268">
            <v>148.59800000000001</v>
          </cell>
          <cell r="CH268">
            <v>64</v>
          </cell>
          <cell r="CI268">
            <v>100.64</v>
          </cell>
          <cell r="CN268">
            <v>116.598</v>
          </cell>
          <cell r="CR268">
            <v>110.77</v>
          </cell>
          <cell r="CW268">
            <v>130.84800000000001</v>
          </cell>
          <cell r="CZ268">
            <v>81</v>
          </cell>
          <cell r="DA268">
            <v>38.17</v>
          </cell>
          <cell r="DF268">
            <v>151.673</v>
          </cell>
          <cell r="DI268">
            <v>129.25</v>
          </cell>
          <cell r="DJ268">
            <v>57.47</v>
          </cell>
          <cell r="DO268">
            <v>113.69799999999999</v>
          </cell>
          <cell r="DR268">
            <v>82.125</v>
          </cell>
          <cell r="DS268">
            <v>144.4</v>
          </cell>
          <cell r="DX268">
            <v>317.923</v>
          </cell>
          <cell r="EA268">
            <v>81.7</v>
          </cell>
          <cell r="EB268">
            <v>176.67</v>
          </cell>
          <cell r="EG268">
            <v>256.82299999999998</v>
          </cell>
          <cell r="EJ268">
            <v>16</v>
          </cell>
          <cell r="EK268">
            <v>175.02</v>
          </cell>
          <cell r="EP268">
            <v>162.048</v>
          </cell>
          <cell r="ET268">
            <v>108.02</v>
          </cell>
          <cell r="EY268">
            <v>42.472999999999999</v>
          </cell>
          <cell r="FC268">
            <v>84.65</v>
          </cell>
          <cell r="FH268">
            <v>164.71799999999999</v>
          </cell>
          <cell r="FK268">
            <v>35.055</v>
          </cell>
          <cell r="FL268">
            <v>62.74</v>
          </cell>
          <cell r="FQ268">
            <v>170.44300000000001</v>
          </cell>
          <cell r="FT268">
            <v>75.25</v>
          </cell>
          <cell r="FU268">
            <v>45.83</v>
          </cell>
          <cell r="FZ268">
            <v>151.74299999999999</v>
          </cell>
          <cell r="GC268">
            <v>15.75</v>
          </cell>
          <cell r="GD268">
            <v>81.91</v>
          </cell>
          <cell r="GI268">
            <v>34.542999999999999</v>
          </cell>
          <cell r="GL268">
            <v>63.674999999999997</v>
          </cell>
          <cell r="GM268">
            <v>78.94</v>
          </cell>
          <cell r="GR268">
            <v>80.13</v>
          </cell>
          <cell r="GU268">
            <v>15.975</v>
          </cell>
          <cell r="GV268">
            <v>26.31</v>
          </cell>
        </row>
        <row r="269">
          <cell r="A269">
            <v>227</v>
          </cell>
          <cell r="B269" t="str">
            <v>FG</v>
          </cell>
          <cell r="C269" t="str">
            <v>SM</v>
          </cell>
          <cell r="D269" t="str">
            <v>TETMOSOL</v>
          </cell>
          <cell r="O269">
            <v>0</v>
          </cell>
        </row>
        <row r="270">
          <cell r="A270">
            <v>228</v>
          </cell>
          <cell r="B270" t="str">
            <v>FG</v>
          </cell>
          <cell r="C270" t="str">
            <v>FM</v>
          </cell>
          <cell r="D270" t="str">
            <v xml:space="preserve">J &amp; J </v>
          </cell>
          <cell r="J270">
            <v>0.8</v>
          </cell>
          <cell r="O270">
            <v>0.8</v>
          </cell>
          <cell r="T270">
            <v>0.8</v>
          </cell>
          <cell r="AC270">
            <v>0.8</v>
          </cell>
          <cell r="AL270">
            <v>0.8</v>
          </cell>
          <cell r="AU270">
            <v>0.8</v>
          </cell>
          <cell r="BD270">
            <v>0.8</v>
          </cell>
          <cell r="BM270">
            <v>0.8</v>
          </cell>
          <cell r="BV270">
            <v>0.8</v>
          </cell>
          <cell r="CE270">
            <v>0.8</v>
          </cell>
          <cell r="CN270">
            <v>0.8</v>
          </cell>
          <cell r="CW270">
            <v>0.8</v>
          </cell>
          <cell r="DF270">
            <v>0.8</v>
          </cell>
          <cell r="DO270">
            <v>0.8</v>
          </cell>
          <cell r="DX270">
            <v>0.8</v>
          </cell>
          <cell r="EG270">
            <v>0.8</v>
          </cell>
          <cell r="EP270">
            <v>0.8</v>
          </cell>
          <cell r="EY270">
            <v>0.8</v>
          </cell>
          <cell r="FH270">
            <v>0.8</v>
          </cell>
          <cell r="FQ270">
            <v>0.8</v>
          </cell>
          <cell r="FZ270">
            <v>0.8</v>
          </cell>
          <cell r="GI270">
            <v>0.8</v>
          </cell>
        </row>
        <row r="271">
          <cell r="A271">
            <v>229</v>
          </cell>
          <cell r="B271" t="str">
            <v>FG</v>
          </cell>
          <cell r="C271" t="str">
            <v>FM</v>
          </cell>
          <cell r="D271" t="str">
            <v>JBS 80:20</v>
          </cell>
          <cell r="O271">
            <v>0</v>
          </cell>
        </row>
        <row r="272">
          <cell r="A272">
            <v>230</v>
          </cell>
          <cell r="B272" t="str">
            <v>FG</v>
          </cell>
          <cell r="C272" t="str">
            <v>FM</v>
          </cell>
          <cell r="D272" t="str">
            <v>IMPORTED NOODLES</v>
          </cell>
          <cell r="J272">
            <v>332.8</v>
          </cell>
          <cell r="N272">
            <v>52</v>
          </cell>
          <cell r="O272">
            <v>384.8</v>
          </cell>
          <cell r="T272">
            <v>244.8</v>
          </cell>
          <cell r="X272">
            <v>52</v>
          </cell>
          <cell r="AC272">
            <v>216.8</v>
          </cell>
          <cell r="AG272">
            <v>52</v>
          </cell>
          <cell r="AL272">
            <v>194</v>
          </cell>
          <cell r="AP272">
            <v>52</v>
          </cell>
          <cell r="AU272">
            <v>168</v>
          </cell>
          <cell r="AY272">
            <v>52</v>
          </cell>
          <cell r="BD272">
            <v>64.8</v>
          </cell>
          <cell r="BH272">
            <v>52</v>
          </cell>
          <cell r="BQ272">
            <v>52</v>
          </cell>
          <cell r="BZ272">
            <v>52</v>
          </cell>
          <cell r="CI272">
            <v>52</v>
          </cell>
          <cell r="CR272">
            <v>52</v>
          </cell>
          <cell r="DA272">
            <v>52</v>
          </cell>
          <cell r="DJ272">
            <v>52</v>
          </cell>
          <cell r="DS272">
            <v>52</v>
          </cell>
          <cell r="EB272">
            <v>52</v>
          </cell>
          <cell r="EK272">
            <v>52</v>
          </cell>
          <cell r="ET272">
            <v>52</v>
          </cell>
          <cell r="FC272">
            <v>52</v>
          </cell>
          <cell r="FL272">
            <v>52</v>
          </cell>
          <cell r="FU272">
            <v>52</v>
          </cell>
          <cell r="GD272">
            <v>52</v>
          </cell>
          <cell r="GM272">
            <v>52</v>
          </cell>
          <cell r="GV272">
            <v>52</v>
          </cell>
        </row>
        <row r="273">
          <cell r="A273">
            <v>231</v>
          </cell>
          <cell r="B273" t="str">
            <v>FG</v>
          </cell>
          <cell r="C273" t="str">
            <v>FM</v>
          </cell>
          <cell r="D273" t="str">
            <v>HAWAI SYNDAATE BASE REGULER</v>
          </cell>
          <cell r="O273">
            <v>0</v>
          </cell>
        </row>
        <row r="274">
          <cell r="F274">
            <v>0</v>
          </cell>
          <cell r="G274">
            <v>0</v>
          </cell>
          <cell r="H274">
            <v>0</v>
          </cell>
          <cell r="I274">
            <v>491.85</v>
          </cell>
          <cell r="J274">
            <v>1214.9559999999999</v>
          </cell>
          <cell r="K274">
            <v>0</v>
          </cell>
          <cell r="L274">
            <v>0</v>
          </cell>
          <cell r="M274">
            <v>741.40000000000009</v>
          </cell>
          <cell r="N274">
            <v>1800.08</v>
          </cell>
          <cell r="O274">
            <v>4248.2860000000001</v>
          </cell>
          <cell r="P274">
            <v>0</v>
          </cell>
          <cell r="Q274">
            <v>0</v>
          </cell>
          <cell r="R274">
            <v>0</v>
          </cell>
          <cell r="S274">
            <v>418.75000000000006</v>
          </cell>
          <cell r="T274">
            <v>1388.2559999999996</v>
          </cell>
          <cell r="U274">
            <v>0</v>
          </cell>
          <cell r="V274">
            <v>0</v>
          </cell>
          <cell r="W274">
            <v>129.6</v>
          </cell>
          <cell r="X274">
            <v>1713.55</v>
          </cell>
          <cell r="Y274">
            <v>0</v>
          </cell>
          <cell r="Z274">
            <v>0</v>
          </cell>
          <cell r="AA274">
            <v>0</v>
          </cell>
          <cell r="AB274">
            <v>351</v>
          </cell>
          <cell r="AC274">
            <v>1487.1059999999998</v>
          </cell>
          <cell r="AD274">
            <v>0</v>
          </cell>
          <cell r="AE274">
            <v>0</v>
          </cell>
          <cell r="AF274">
            <v>16.5</v>
          </cell>
          <cell r="AG274">
            <v>1430.15</v>
          </cell>
          <cell r="AH274">
            <v>0</v>
          </cell>
          <cell r="AI274">
            <v>0</v>
          </cell>
          <cell r="AJ274">
            <v>0</v>
          </cell>
          <cell r="AK274">
            <v>436.2</v>
          </cell>
          <cell r="AL274">
            <v>1506.8309999999999</v>
          </cell>
          <cell r="AM274">
            <v>0</v>
          </cell>
          <cell r="AN274">
            <v>0</v>
          </cell>
          <cell r="AO274">
            <v>470.4</v>
          </cell>
          <cell r="AP274">
            <v>1124.96</v>
          </cell>
          <cell r="AQ274">
            <v>0</v>
          </cell>
          <cell r="AR274">
            <v>0</v>
          </cell>
          <cell r="AS274">
            <v>0</v>
          </cell>
          <cell r="AT274">
            <v>368.1</v>
          </cell>
          <cell r="AU274">
            <v>1703.3309999999997</v>
          </cell>
          <cell r="AV274">
            <v>0</v>
          </cell>
          <cell r="AW274">
            <v>0</v>
          </cell>
          <cell r="AX274">
            <v>274.67500000000001</v>
          </cell>
          <cell r="AY274">
            <v>966.9</v>
          </cell>
          <cell r="AZ274">
            <v>0</v>
          </cell>
          <cell r="BA274">
            <v>0</v>
          </cell>
          <cell r="BB274">
            <v>0</v>
          </cell>
          <cell r="BC274">
            <v>361.2</v>
          </cell>
          <cell r="BD274">
            <v>1694.1059999999998</v>
          </cell>
          <cell r="BE274">
            <v>0</v>
          </cell>
          <cell r="BF274">
            <v>0</v>
          </cell>
          <cell r="BG274">
            <v>533</v>
          </cell>
          <cell r="BH274">
            <v>795.80099999999982</v>
          </cell>
          <cell r="BI274">
            <v>0</v>
          </cell>
          <cell r="BJ274">
            <v>0</v>
          </cell>
          <cell r="BK274">
            <v>0</v>
          </cell>
          <cell r="BL274">
            <v>244.39999999999998</v>
          </cell>
          <cell r="BM274">
            <v>1659.4559999999997</v>
          </cell>
          <cell r="BN274">
            <v>0</v>
          </cell>
          <cell r="BO274">
            <v>0</v>
          </cell>
          <cell r="BP274">
            <v>292.39999999999998</v>
          </cell>
          <cell r="BQ274">
            <v>900.03000000000009</v>
          </cell>
          <cell r="BR274">
            <v>0</v>
          </cell>
          <cell r="BS274">
            <v>0</v>
          </cell>
          <cell r="BT274">
            <v>0</v>
          </cell>
          <cell r="BU274">
            <v>398</v>
          </cell>
          <cell r="BV274">
            <v>1451.568</v>
          </cell>
          <cell r="BW274">
            <v>0</v>
          </cell>
          <cell r="BX274">
            <v>0</v>
          </cell>
          <cell r="BY274">
            <v>160.30000000000001</v>
          </cell>
          <cell r="BZ274">
            <v>857.82999999999993</v>
          </cell>
          <cell r="CA274">
            <v>0</v>
          </cell>
          <cell r="CB274">
            <v>0</v>
          </cell>
          <cell r="CC274">
            <v>0</v>
          </cell>
          <cell r="CD274">
            <v>505</v>
          </cell>
          <cell r="CE274">
            <v>1292.2179999999998</v>
          </cell>
          <cell r="CF274">
            <v>0</v>
          </cell>
          <cell r="CG274">
            <v>0</v>
          </cell>
          <cell r="CH274">
            <v>186</v>
          </cell>
          <cell r="CI274">
            <v>836.43500000000006</v>
          </cell>
          <cell r="CJ274">
            <v>0</v>
          </cell>
          <cell r="CK274">
            <v>0</v>
          </cell>
          <cell r="CL274">
            <v>0</v>
          </cell>
          <cell r="CM274">
            <v>424.5</v>
          </cell>
          <cell r="CN274">
            <v>1144.7679999999998</v>
          </cell>
          <cell r="CO274">
            <v>0</v>
          </cell>
          <cell r="CP274">
            <v>0</v>
          </cell>
          <cell r="CQ274">
            <v>244</v>
          </cell>
          <cell r="CR274">
            <v>698.97</v>
          </cell>
          <cell r="CS274">
            <v>0</v>
          </cell>
          <cell r="CT274">
            <v>0</v>
          </cell>
          <cell r="CU274">
            <v>0</v>
          </cell>
          <cell r="CV274">
            <v>389.3</v>
          </cell>
          <cell r="CW274">
            <v>970.81799999999976</v>
          </cell>
          <cell r="CX274">
            <v>0</v>
          </cell>
          <cell r="CY274">
            <v>0</v>
          </cell>
          <cell r="CZ274">
            <v>343</v>
          </cell>
          <cell r="DA274">
            <v>499.37</v>
          </cell>
          <cell r="DB274">
            <v>0</v>
          </cell>
          <cell r="DC274">
            <v>0</v>
          </cell>
          <cell r="DD274">
            <v>0</v>
          </cell>
          <cell r="DE274">
            <v>337.40000000000003</v>
          </cell>
          <cell r="DF274">
            <v>995.54299999999989</v>
          </cell>
          <cell r="DG274">
            <v>0</v>
          </cell>
          <cell r="DH274">
            <v>0</v>
          </cell>
          <cell r="DI274">
            <v>596.45000000000005</v>
          </cell>
          <cell r="DJ274">
            <v>631.66999999999996</v>
          </cell>
          <cell r="DK274">
            <v>0</v>
          </cell>
          <cell r="DL274">
            <v>0</v>
          </cell>
          <cell r="DM274">
            <v>0</v>
          </cell>
          <cell r="DN274">
            <v>277.57500000000005</v>
          </cell>
          <cell r="DO274">
            <v>729.26799999999992</v>
          </cell>
          <cell r="DP274">
            <v>0</v>
          </cell>
          <cell r="DQ274">
            <v>0</v>
          </cell>
          <cell r="DR274">
            <v>374.92500000000001</v>
          </cell>
          <cell r="DS274">
            <v>1002.3499999999999</v>
          </cell>
          <cell r="DT274">
            <v>0</v>
          </cell>
          <cell r="DU274">
            <v>0</v>
          </cell>
          <cell r="DV274">
            <v>0</v>
          </cell>
          <cell r="DW274">
            <v>342.57500000000005</v>
          </cell>
          <cell r="DX274">
            <v>1095.0929999999998</v>
          </cell>
          <cell r="DY274">
            <v>0</v>
          </cell>
          <cell r="DZ274">
            <v>0</v>
          </cell>
          <cell r="EA274">
            <v>341.7</v>
          </cell>
          <cell r="EB274">
            <v>933.2</v>
          </cell>
          <cell r="EC274">
            <v>0</v>
          </cell>
          <cell r="ED274">
            <v>0</v>
          </cell>
          <cell r="EE274">
            <v>0</v>
          </cell>
          <cell r="EF274">
            <v>237.50500000000002</v>
          </cell>
          <cell r="EG274">
            <v>1055.0869999999998</v>
          </cell>
          <cell r="EH274">
            <v>0</v>
          </cell>
          <cell r="EI274">
            <v>0</v>
          </cell>
          <cell r="EJ274">
            <v>308.8</v>
          </cell>
          <cell r="EK274">
            <v>934.34999999999991</v>
          </cell>
          <cell r="EL274">
            <v>0</v>
          </cell>
          <cell r="EM274">
            <v>0</v>
          </cell>
          <cell r="EN274">
            <v>0</v>
          </cell>
          <cell r="EO274">
            <v>224.70000000000002</v>
          </cell>
          <cell r="EP274">
            <v>1199.1619999999998</v>
          </cell>
          <cell r="EQ274">
            <v>0</v>
          </cell>
          <cell r="ER274">
            <v>0</v>
          </cell>
          <cell r="ES274">
            <v>506.4</v>
          </cell>
          <cell r="ET274">
            <v>803.89999999999986</v>
          </cell>
          <cell r="EU274">
            <v>0</v>
          </cell>
          <cell r="EV274">
            <v>0</v>
          </cell>
          <cell r="EW274">
            <v>0</v>
          </cell>
          <cell r="EX274">
            <v>0</v>
          </cell>
          <cell r="EY274">
            <v>1121.1869999999997</v>
          </cell>
          <cell r="EZ274">
            <v>0</v>
          </cell>
          <cell r="FA274">
            <v>0</v>
          </cell>
          <cell r="FB274">
            <v>0</v>
          </cell>
          <cell r="FC274">
            <v>672.07500000000005</v>
          </cell>
          <cell r="FD274">
            <v>0</v>
          </cell>
          <cell r="FE274">
            <v>0</v>
          </cell>
          <cell r="FF274">
            <v>0</v>
          </cell>
          <cell r="FG274">
            <v>316.5</v>
          </cell>
          <cell r="FH274">
            <v>1126.6319999999998</v>
          </cell>
          <cell r="FI274">
            <v>0</v>
          </cell>
          <cell r="FJ274">
            <v>0</v>
          </cell>
          <cell r="FK274">
            <v>99.85499999999999</v>
          </cell>
          <cell r="FL274">
            <v>1017.37</v>
          </cell>
          <cell r="FM274">
            <v>0</v>
          </cell>
          <cell r="FN274">
            <v>0</v>
          </cell>
          <cell r="FO274">
            <v>0</v>
          </cell>
          <cell r="FP274">
            <v>359.59999999999997</v>
          </cell>
          <cell r="FQ274">
            <v>1063.4569999999999</v>
          </cell>
          <cell r="FR274">
            <v>0</v>
          </cell>
          <cell r="FS274">
            <v>0</v>
          </cell>
          <cell r="FT274">
            <v>358.45</v>
          </cell>
          <cell r="FU274">
            <v>910.86000000000024</v>
          </cell>
          <cell r="FV274">
            <v>0</v>
          </cell>
          <cell r="FW274">
            <v>0</v>
          </cell>
          <cell r="FX274">
            <v>0</v>
          </cell>
          <cell r="FY274">
            <v>378.8</v>
          </cell>
          <cell r="FZ274">
            <v>982.85699999999997</v>
          </cell>
          <cell r="GA274">
            <v>0</v>
          </cell>
          <cell r="GB274">
            <v>0</v>
          </cell>
          <cell r="GC274">
            <v>119.75</v>
          </cell>
          <cell r="GD274">
            <v>881.34</v>
          </cell>
          <cell r="GE274">
            <v>0</v>
          </cell>
          <cell r="GF274">
            <v>0</v>
          </cell>
          <cell r="GG274">
            <v>0</v>
          </cell>
          <cell r="GH274">
            <v>275.60000000000002</v>
          </cell>
          <cell r="GI274">
            <v>800.8069999999999</v>
          </cell>
          <cell r="GJ274">
            <v>0</v>
          </cell>
          <cell r="GK274">
            <v>0</v>
          </cell>
          <cell r="GL274">
            <v>701.67499999999995</v>
          </cell>
          <cell r="GM274">
            <v>687.56999999999994</v>
          </cell>
          <cell r="GN274">
            <v>0</v>
          </cell>
          <cell r="GO274">
            <v>0</v>
          </cell>
          <cell r="GP274">
            <v>0</v>
          </cell>
          <cell r="GQ274">
            <v>244.60000000000002</v>
          </cell>
          <cell r="GR274">
            <v>752.99099999999987</v>
          </cell>
          <cell r="GS274">
            <v>0</v>
          </cell>
          <cell r="GT274">
            <v>0</v>
          </cell>
          <cell r="GU274">
            <v>307.97500000000002</v>
          </cell>
          <cell r="GV274">
            <v>919.74</v>
          </cell>
        </row>
        <row r="275">
          <cell r="F275">
            <v>2501.5605</v>
          </cell>
          <cell r="G275">
            <v>9768.6310424000003</v>
          </cell>
          <cell r="H275">
            <v>11089.055</v>
          </cell>
          <cell r="I275">
            <v>14056.962000000003</v>
          </cell>
          <cell r="J275">
            <v>2039.8239999999996</v>
          </cell>
          <cell r="K275">
            <v>7565.1100000000006</v>
          </cell>
          <cell r="L275">
            <v>1994.7180000000001</v>
          </cell>
          <cell r="M275">
            <v>6538.7459999999992</v>
          </cell>
          <cell r="N275">
            <v>1800.08</v>
          </cell>
          <cell r="O275">
            <v>57362.686542399999</v>
          </cell>
          <cell r="P275">
            <v>2467.2209699999999</v>
          </cell>
          <cell r="Q275">
            <v>8658.5618600000016</v>
          </cell>
          <cell r="R275">
            <v>8831.1999999999989</v>
          </cell>
          <cell r="S275">
            <v>13822.912000000002</v>
          </cell>
          <cell r="T275">
            <v>1947.7939999999999</v>
          </cell>
          <cell r="U275">
            <v>8733.1479999999992</v>
          </cell>
          <cell r="V275">
            <v>3139.0440000000003</v>
          </cell>
          <cell r="W275">
            <v>5027.0300000000007</v>
          </cell>
          <cell r="X275">
            <v>1713.55</v>
          </cell>
          <cell r="Y275">
            <v>2578.26757</v>
          </cell>
          <cell r="Z275">
            <v>9228.7527624000013</v>
          </cell>
          <cell r="AA275">
            <v>7279.6059999999998</v>
          </cell>
          <cell r="AB275">
            <v>14788.573999999999</v>
          </cell>
          <cell r="AC275">
            <v>2385.627</v>
          </cell>
          <cell r="AD275">
            <v>5719.4500000000007</v>
          </cell>
          <cell r="AE275">
            <v>2540.1000000000004</v>
          </cell>
          <cell r="AF275">
            <v>10349.871000000001</v>
          </cell>
          <cell r="AG275">
            <v>1430.15</v>
          </cell>
          <cell r="AH275">
            <v>2801.3251379999997</v>
          </cell>
          <cell r="AI275">
            <v>8975.8935023999984</v>
          </cell>
          <cell r="AJ275">
            <v>8266.7200000000012</v>
          </cell>
          <cell r="AK275">
            <v>15036.241999999998</v>
          </cell>
          <cell r="AL275">
            <v>2629.4539999999997</v>
          </cell>
          <cell r="AM275">
            <v>4994.4879999999994</v>
          </cell>
          <cell r="AN275">
            <v>9346.2900000000009</v>
          </cell>
          <cell r="AO275">
            <v>1686.23</v>
          </cell>
          <cell r="AP275">
            <v>1124.96</v>
          </cell>
          <cell r="AQ275">
            <v>2356.4056880000003</v>
          </cell>
          <cell r="AR275">
            <v>9893.067482399998</v>
          </cell>
          <cell r="AS275">
            <v>8375.8000000000011</v>
          </cell>
          <cell r="AT275">
            <v>13930.267</v>
          </cell>
          <cell r="AU275">
            <v>3129.1919999999996</v>
          </cell>
          <cell r="AV275">
            <v>7703.8439999999991</v>
          </cell>
          <cell r="AW275">
            <v>5056.7650000000003</v>
          </cell>
          <cell r="AX275">
            <v>1573.4349999999999</v>
          </cell>
          <cell r="AY275">
            <v>966.9</v>
          </cell>
          <cell r="AZ275">
            <v>3280.4619680000001</v>
          </cell>
          <cell r="BA275">
            <v>9471.4639823999987</v>
          </cell>
          <cell r="BB275">
            <v>7960.0959999999995</v>
          </cell>
          <cell r="BC275">
            <v>14692.03</v>
          </cell>
          <cell r="BD275">
            <v>3184.4559999999992</v>
          </cell>
          <cell r="BE275">
            <v>8099.9210000000003</v>
          </cell>
          <cell r="BF275">
            <v>2713.8150000000001</v>
          </cell>
          <cell r="BG275">
            <v>4911.28</v>
          </cell>
          <cell r="BH275">
            <v>795.80099999999982</v>
          </cell>
          <cell r="BI275">
            <v>3164.3590000000004</v>
          </cell>
          <cell r="BJ275">
            <v>9385.5611823999989</v>
          </cell>
          <cell r="BK275">
            <v>5665.7259999999997</v>
          </cell>
          <cell r="BL275">
            <v>14451.046000000002</v>
          </cell>
          <cell r="BM275">
            <v>3214.0829999999996</v>
          </cell>
          <cell r="BN275">
            <v>7347.0190000000002</v>
          </cell>
          <cell r="BO275">
            <v>3881.4340000000002</v>
          </cell>
          <cell r="BP275">
            <v>1493.42</v>
          </cell>
          <cell r="BQ275">
            <v>900.03000000000009</v>
          </cell>
          <cell r="BR275">
            <v>3073.8474500000002</v>
          </cell>
          <cell r="BS275">
            <v>9864.4455423999989</v>
          </cell>
          <cell r="BT275">
            <v>6028.8760000000002</v>
          </cell>
          <cell r="BU275">
            <v>13780.081000000002</v>
          </cell>
          <cell r="BV275">
            <v>2873.9849999999997</v>
          </cell>
          <cell r="BW275">
            <v>7344.0569999999998</v>
          </cell>
          <cell r="BX275">
            <v>2545.1840000000002</v>
          </cell>
          <cell r="BY275">
            <v>1417.1999999999998</v>
          </cell>
          <cell r="BZ275">
            <v>857.82999999999993</v>
          </cell>
          <cell r="CA275">
            <v>2932.7787700000003</v>
          </cell>
          <cell r="CB275">
            <v>9736.4843423999992</v>
          </cell>
          <cell r="CC275">
            <v>5961.1759999999995</v>
          </cell>
          <cell r="CD275">
            <v>14736.666000000001</v>
          </cell>
          <cell r="CE275">
            <v>2872.1</v>
          </cell>
          <cell r="CF275">
            <v>7254.6840000000002</v>
          </cell>
          <cell r="CG275">
            <v>0</v>
          </cell>
          <cell r="CH275">
            <v>6559.32</v>
          </cell>
          <cell r="CI275">
            <v>836.43500000000006</v>
          </cell>
          <cell r="CJ275">
            <v>2539.52187</v>
          </cell>
          <cell r="CK275">
            <v>9365.244452400002</v>
          </cell>
          <cell r="CL275">
            <v>6086.9560000000001</v>
          </cell>
          <cell r="CM275">
            <v>15235.316000000001</v>
          </cell>
          <cell r="CN275">
            <v>2755.6639999999998</v>
          </cell>
          <cell r="CO275">
            <v>6064.7909999999993</v>
          </cell>
          <cell r="CP275">
            <v>1881.0540000000001</v>
          </cell>
          <cell r="CQ275">
            <v>6706.7439999999997</v>
          </cell>
          <cell r="CR275">
            <v>698.97</v>
          </cell>
          <cell r="CS275">
            <v>2314.2072480000002</v>
          </cell>
          <cell r="CT275">
            <v>8989.758752400001</v>
          </cell>
          <cell r="CU275">
            <v>6427.6860000000006</v>
          </cell>
          <cell r="CV275">
            <v>14656.890000000001</v>
          </cell>
          <cell r="CW275">
            <v>2532.4809999999998</v>
          </cell>
          <cell r="CX275">
            <v>5631.485999999999</v>
          </cell>
          <cell r="CY275">
            <v>1478.704</v>
          </cell>
          <cell r="CZ275">
            <v>6750.75</v>
          </cell>
          <cell r="DA275">
            <v>499.37</v>
          </cell>
          <cell r="DB275">
            <v>2132.3150179999998</v>
          </cell>
          <cell r="DC275">
            <v>8163.8750524000025</v>
          </cell>
          <cell r="DD275">
            <v>5767.1779999999999</v>
          </cell>
          <cell r="DE275">
            <v>13953.720999999998</v>
          </cell>
          <cell r="DF275">
            <v>2541.3049999999998</v>
          </cell>
          <cell r="DG275">
            <v>6889.93</v>
          </cell>
          <cell r="DH275">
            <v>3913.7179999999998</v>
          </cell>
          <cell r="DI275">
            <v>8706.01</v>
          </cell>
          <cell r="DJ275">
            <v>631.66999999999996</v>
          </cell>
          <cell r="DK275">
            <v>1740.6131799999998</v>
          </cell>
          <cell r="DL275">
            <v>7473.6084524000007</v>
          </cell>
          <cell r="DM275">
            <v>5961.1459999999997</v>
          </cell>
          <cell r="DN275">
            <v>13615.684999999999</v>
          </cell>
          <cell r="DO275">
            <v>2296.5429999999997</v>
          </cell>
          <cell r="DP275">
            <v>8051.244999999999</v>
          </cell>
          <cell r="DQ275">
            <v>960.80400000000009</v>
          </cell>
          <cell r="DR275">
            <v>10852.404999999999</v>
          </cell>
          <cell r="DS275">
            <v>1002.3499999999999</v>
          </cell>
          <cell r="DT275">
            <v>1951.99468</v>
          </cell>
          <cell r="DU275">
            <v>7478.6731523999988</v>
          </cell>
          <cell r="DV275">
            <v>6164.9460000000008</v>
          </cell>
          <cell r="DW275">
            <v>13290.407999999999</v>
          </cell>
          <cell r="DX275">
            <v>2424.6970000000001</v>
          </cell>
          <cell r="DY275">
            <v>8439.7740000000013</v>
          </cell>
          <cell r="DZ275">
            <v>7127.2830000000004</v>
          </cell>
          <cell r="EA275">
            <v>1342.25</v>
          </cell>
          <cell r="EB275">
            <v>933.2</v>
          </cell>
          <cell r="EC275">
            <v>2354.1805300000001</v>
          </cell>
          <cell r="ED275">
            <v>7438.4816523999998</v>
          </cell>
          <cell r="EE275">
            <v>7158.5759999999991</v>
          </cell>
          <cell r="EF275">
            <v>13313.650000000001</v>
          </cell>
          <cell r="EG275">
            <v>2306.5059999999994</v>
          </cell>
          <cell r="EH275">
            <v>9356.1519999999982</v>
          </cell>
          <cell r="EI275">
            <v>4954.9129999999996</v>
          </cell>
          <cell r="EJ275">
            <v>4144.53</v>
          </cell>
          <cell r="EK275">
            <v>934.34999999999991</v>
          </cell>
          <cell r="EL275">
            <v>2478.8063499999998</v>
          </cell>
          <cell r="EM275">
            <v>6069.6082523999994</v>
          </cell>
          <cell r="EN275">
            <v>6895.9960000000001</v>
          </cell>
          <cell r="EO275">
            <v>13955.941000000003</v>
          </cell>
          <cell r="EP275">
            <v>2801.4109999999996</v>
          </cell>
          <cell r="EQ275">
            <v>9509.1869999999999</v>
          </cell>
          <cell r="ER275">
            <v>2548.31</v>
          </cell>
          <cell r="ES275">
            <v>4822.2389999999996</v>
          </cell>
          <cell r="ET275">
            <v>803.89999999999986</v>
          </cell>
          <cell r="EU275">
            <v>2608.3906499999998</v>
          </cell>
          <cell r="EV275">
            <v>6421.6038049000008</v>
          </cell>
          <cell r="EW275">
            <v>6611.4559999999992</v>
          </cell>
          <cell r="EX275">
            <v>12157.329999999998</v>
          </cell>
          <cell r="EY275">
            <v>2857.8289999999997</v>
          </cell>
          <cell r="EZ275">
            <v>9475.893</v>
          </cell>
          <cell r="FA275">
            <v>3036.6689999999999</v>
          </cell>
          <cell r="FB275">
            <v>1077.49</v>
          </cell>
          <cell r="FC275">
            <v>672.07500000000005</v>
          </cell>
          <cell r="FD275">
            <v>1974.83725</v>
          </cell>
          <cell r="FE275">
            <v>6950.0324524000007</v>
          </cell>
          <cell r="FF275">
            <v>7047.1059999999998</v>
          </cell>
          <cell r="FG275">
            <v>13428.520999999999</v>
          </cell>
          <cell r="FH275">
            <v>2625.5360000000001</v>
          </cell>
          <cell r="FI275">
            <v>6899.1119999999992</v>
          </cell>
          <cell r="FJ275">
            <v>2657.8090000000002</v>
          </cell>
          <cell r="FK275">
            <v>1799.7850000000001</v>
          </cell>
          <cell r="FL275">
            <v>1017.37</v>
          </cell>
          <cell r="FM275">
            <v>2632.3622299999997</v>
          </cell>
          <cell r="FN275">
            <v>6399.8248049000013</v>
          </cell>
          <cell r="FO275">
            <v>6811.3509999999987</v>
          </cell>
          <cell r="FP275">
            <v>13643.711235714287</v>
          </cell>
          <cell r="FQ275">
            <v>2704.7749999999996</v>
          </cell>
          <cell r="FR275">
            <v>7695.8760000000002</v>
          </cell>
          <cell r="FS275">
            <v>7701.96</v>
          </cell>
          <cell r="FT275">
            <v>2175.0500000000002</v>
          </cell>
          <cell r="FU275">
            <v>910.86000000000024</v>
          </cell>
          <cell r="FV275">
            <v>2800.7691500000001</v>
          </cell>
          <cell r="FW275">
            <v>6205.5501049000004</v>
          </cell>
          <cell r="FX275">
            <v>5881.8909999999996</v>
          </cell>
          <cell r="FY275">
            <v>14156.003007142857</v>
          </cell>
          <cell r="FZ275">
            <v>2651.7759999999998</v>
          </cell>
          <cell r="GA275">
            <v>8226.8649999999998</v>
          </cell>
          <cell r="GB275">
            <v>6380.99</v>
          </cell>
          <cell r="GC275">
            <v>1994.21</v>
          </cell>
          <cell r="GD275">
            <v>881.34</v>
          </cell>
          <cell r="GE275">
            <v>2278.2832679999997</v>
          </cell>
          <cell r="GF275">
            <v>5920.4696049000004</v>
          </cell>
          <cell r="GG275">
            <v>5519.5059999999994</v>
          </cell>
          <cell r="GH275">
            <v>14339.381551428574</v>
          </cell>
          <cell r="GI275">
            <v>2394.8310000000001</v>
          </cell>
          <cell r="GJ275">
            <v>8034.85</v>
          </cell>
          <cell r="GK275">
            <v>7642.259</v>
          </cell>
          <cell r="GL275">
            <v>2612.2549999999997</v>
          </cell>
          <cell r="GM275">
            <v>687.56999999999994</v>
          </cell>
          <cell r="GN275">
            <v>1613.254688</v>
          </cell>
          <cell r="GO275">
            <v>6521.3964049000006</v>
          </cell>
          <cell r="GP275">
            <v>7633.0110000000004</v>
          </cell>
          <cell r="GQ275">
            <v>14642.102982142855</v>
          </cell>
          <cell r="GR275">
            <v>2437.4830000000002</v>
          </cell>
          <cell r="GS275">
            <v>7741.7900000000009</v>
          </cell>
          <cell r="GT275">
            <v>5314.9740000000002</v>
          </cell>
          <cell r="GU275">
            <v>2537.8250000000003</v>
          </cell>
          <cell r="GV275">
            <v>919.74</v>
          </cell>
        </row>
        <row r="276">
          <cell r="O276">
            <v>57354.686542400006</v>
          </cell>
        </row>
      </sheetData>
      <sheetData sheetId="3">
        <row r="606">
          <cell r="A606" t="str">
            <v>NO: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"/>
      <sheetName val="SYN Prepaid 2008"/>
      <sheetName val="TATA AIG"/>
      <sheetName val="MIEL"/>
      <sheetName val=" Aircon"/>
      <sheetName val="Open Items-311208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v"/>
      <sheetName val="details"/>
    </sheetNames>
    <sheetDataSet>
      <sheetData sheetId="0" refreshError="1"/>
      <sheetData sheetId="1" refreshError="1">
        <row r="3">
          <cell r="AP3">
            <v>464950</v>
          </cell>
        </row>
        <row r="4">
          <cell r="AP4">
            <v>302430</v>
          </cell>
        </row>
        <row r="5">
          <cell r="AP5">
            <v>452200</v>
          </cell>
        </row>
        <row r="6">
          <cell r="AP6">
            <v>418370</v>
          </cell>
        </row>
        <row r="7">
          <cell r="AP7">
            <v>390490</v>
          </cell>
        </row>
        <row r="8">
          <cell r="AP8">
            <v>416670</v>
          </cell>
        </row>
        <row r="9">
          <cell r="AP9">
            <v>287470</v>
          </cell>
        </row>
        <row r="10">
          <cell r="AP10">
            <v>449990</v>
          </cell>
        </row>
        <row r="11">
          <cell r="AP11">
            <v>451690</v>
          </cell>
        </row>
        <row r="12">
          <cell r="AP12">
            <v>269280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ld"/>
      <sheetName val="New"/>
      <sheetName val="Difference"/>
      <sheetName val="Summary"/>
      <sheetName val="HO_SSC_SYN Details"/>
      <sheetName val="Provisions"/>
      <sheetName val="HO Prepaid Schedule 2008"/>
      <sheetName val="SSC Prepaid 2008"/>
      <sheetName val="SYN Prepaid 2008"/>
      <sheetName val="Expense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p"/>
      <sheetName val="Raw Zcontractlist (2)"/>
      <sheetName val="Raw Zcontractli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LD bALANCING"/>
      <sheetName val="Goa Gate Buying"/>
      <sheetName val="Inventory Norms"/>
      <sheetName val="nEW bALANCING"/>
      <sheetName val="Analysis of Sales - 2"/>
      <sheetName val="Analysis of Sales"/>
      <sheetName val="Filling Estimate"/>
      <sheetName val="Long Position Material Balncing"/>
      <sheetName val="Without Long position"/>
      <sheetName val="Rough Workings"/>
      <sheetName val="Depot opening"/>
      <sheetName val="Reco"/>
      <sheetName val="Sept Position Building"/>
      <sheetName val="Summary"/>
      <sheetName val="Goods-in-Transit"/>
    </sheetNames>
    <sheetDataSet>
      <sheetData sheetId="0" refreshError="1">
        <row r="29">
          <cell r="A29" t="str">
            <v>RIGIDS SALE</v>
          </cell>
        </row>
        <row r="83">
          <cell r="A83" t="str">
            <v>Kerala Sale</v>
          </cell>
        </row>
        <row r="165">
          <cell r="A165" t="str">
            <v>KKD</v>
          </cell>
        </row>
        <row r="190">
          <cell r="A190" t="str">
            <v>COPRA CAKE</v>
          </cell>
        </row>
        <row r="208">
          <cell r="A208" t="str">
            <v>LOOSE OIL</v>
          </cell>
        </row>
        <row r="261">
          <cell r="A261" t="str">
            <v>PACKED OIL</v>
          </cell>
        </row>
        <row r="325">
          <cell r="A325" t="str">
            <v>LOOSE OIL</v>
          </cell>
        </row>
        <row r="380">
          <cell r="A380" t="str">
            <v>RIGIDS</v>
          </cell>
        </row>
        <row r="441">
          <cell r="A441" t="str">
            <v>LOOSE OIL</v>
          </cell>
        </row>
        <row r="494">
          <cell r="A494" t="str">
            <v>PACKED OIL</v>
          </cell>
        </row>
        <row r="681">
          <cell r="A681" t="str">
            <v>OK Oil Mill</v>
          </cell>
        </row>
        <row r="858">
          <cell r="A858" t="str">
            <v>LOOSE OIL</v>
          </cell>
        </row>
        <row r="911">
          <cell r="A911" t="str">
            <v>RIGIDS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VF Oleo costing model"/>
      <sheetName val="Upside &amp; downside"/>
      <sheetName val="Assumption"/>
      <sheetName val="Input-output (ABP 2011-12)"/>
      <sheetName val="Yield Impact"/>
      <sheetName val="Production"/>
      <sheetName val="Yield"/>
      <sheetName val="Summary P&amp;L"/>
      <sheetName val="P&amp;L"/>
      <sheetName val="Oleo P&amp;L"/>
      <sheetName val="Input-output"/>
      <sheetName val="2.2 Landed RM cost"/>
      <sheetName val="Service charges"/>
      <sheetName val="By product summary-1"/>
      <sheetName val="By-product balance sheet"/>
      <sheetName val="Cycle Time Assumptions"/>
      <sheetName val="I-Credits"/>
      <sheetName val="1.9. Direct overheads"/>
      <sheetName val="1.5. Indirect overheads"/>
      <sheetName val="1.6 S&amp;M overheads"/>
      <sheetName val="1.3. Location &amp; Resource"/>
      <sheetName val="PKFAD processing cost"/>
      <sheetName val="1.19. Processing cost summary"/>
      <sheetName val="1.14 PKO Processing cost"/>
      <sheetName val="1.18. Processing Time"/>
      <sheetName val="2.22 Resource wise cost"/>
      <sheetName val="2.12 Cost computation-PFAD"/>
      <sheetName val="1.17 Mustard processing cost"/>
      <sheetName val="1.15. PFAD processing cost"/>
      <sheetName val="1.16. RBDPS processing cost"/>
      <sheetName val="2.24 Alcohol process"/>
      <sheetName val="2.14. Cost computation - MO"/>
      <sheetName val="2.25 Mustard residue Process"/>
      <sheetName val="2.26 PKO Residue Process"/>
      <sheetName val="2.23  Mixed  residue Process"/>
      <sheetName val="1.13. CPS processing cost"/>
      <sheetName val="1.14 CNO Processing cost"/>
      <sheetName val="MIX RESIDUE processing cost"/>
      <sheetName val="PKO Reco Sheet"/>
      <sheetName val="Mustard Reco Sheet"/>
      <sheetName val="PFAD Reco Sheet"/>
      <sheetName val="Hydrgen Gas BOM"/>
      <sheetName val="FO &amp; Naptha"/>
      <sheetName val="1.7.Additives sheet"/>
      <sheetName val="CNO-Final"/>
      <sheetName val="Split Fatty Acid V12 14"/>
      <sheetName val="2.17.Cost computation PKO V1214"/>
      <sheetName val="2.15.Cost computation PKO V1216"/>
      <sheetName val="2.17.Cost computation PKFAD"/>
      <sheetName val="2.1x.Cost computation PKO Laur"/>
      <sheetName val="2.13. Cost computation-CPS"/>
      <sheetName val="2.19 Cost computation-RBDPS"/>
      <sheetName val="2.18.Cost computation CNO V1214"/>
      <sheetName val="2.16.Cost computation CNO V1216"/>
      <sheetName val="1.8. Logistics cost"/>
      <sheetName val="2.1 Logistics cost"/>
      <sheetName val="2.4. Seweree Direct overheads"/>
      <sheetName val="2.3.Kutch-2 Direct overheads"/>
      <sheetName val="2.5. Taloja Direct overheads"/>
      <sheetName val="2.6 Sion Direct overheads"/>
      <sheetName val="2.7 Kutch-1 Direct overheads"/>
      <sheetName val="Interest"/>
      <sheetName val="2.8. Process wise depreciation"/>
      <sheetName val="2.9Process wise Direct overhead"/>
      <sheetName val="2.10 Indirect overheads"/>
      <sheetName val="PCP Sales "/>
      <sheetName val="2.11 S&amp;M overhead"/>
      <sheetName val="2.20. Substitutable values"/>
      <sheetName val="2.21.Substitutable value comp"/>
      <sheetName val="Input output sheet-MCT"/>
      <sheetName val="MCT Processing cost"/>
      <sheetName val="MCT computation"/>
      <sheetName val="PM"/>
      <sheetName val="10. Data 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>
        <row r="5">
          <cell r="B5" t="str">
            <v>Taloja Lurgi</v>
          </cell>
          <cell r="D5" t="str">
            <v>Sion K1-K2</v>
          </cell>
          <cell r="E5" t="str">
            <v>Kutch-1 DG</v>
          </cell>
        </row>
        <row r="6">
          <cell r="B6" t="str">
            <v>Baddi W&amp;S</v>
          </cell>
          <cell r="D6" t="str">
            <v>Sion K1-K3</v>
          </cell>
          <cell r="E6" t="str">
            <v>Sion DG</v>
          </cell>
        </row>
        <row r="7">
          <cell r="B7" t="str">
            <v>Kutch-2 Splitter 1</v>
          </cell>
          <cell r="D7" t="str">
            <v>Sion K3</v>
          </cell>
        </row>
        <row r="8">
          <cell r="B8" t="str">
            <v>Kutch-2 Splitter 2</v>
          </cell>
          <cell r="D8" t="str">
            <v>Section 3</v>
          </cell>
        </row>
        <row r="9">
          <cell r="D9" t="str">
            <v>Section 4</v>
          </cell>
        </row>
        <row r="10">
          <cell r="D10" t="str">
            <v>Section 5</v>
          </cell>
        </row>
        <row r="11">
          <cell r="D11" t="str">
            <v>Sion distill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ycle of NCA Product"/>
      <sheetName val="De Calcining"/>
      <sheetName val="Status update"/>
      <sheetName val="Ass.Sheet"/>
      <sheetName val="Syndicated"/>
      <sheetName val="Rough"/>
      <sheetName val="FBD 2 + 3  fan "/>
      <sheetName val="Desuperheater120# for ejector"/>
      <sheetName val="Desuperheater120# for dryer"/>
      <sheetName val="CT fan to Hollow FRP"/>
      <sheetName val="Raw water W.O"/>
      <sheetName val="120# condensate flashing to Cal"/>
      <sheetName val="Flashing of B2 to B3"/>
      <sheetName val="Circulator"/>
      <sheetName val="Preheater at B.E. (2)"/>
      <sheetName val="Magma Tank for MUW I and II"/>
      <sheetName val="P-500 tail liquor"/>
      <sheetName val="Gas washer pump"/>
      <sheetName val="Salt recovery from FB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"/>
      <sheetName val="MASTERS"/>
      <sheetName val="NEW EMPLOYEE MASTER"/>
      <sheetName val="LIVE EMPLOYEE SALARY CHANGE"/>
      <sheetName val="LEAVE DATA"/>
      <sheetName val="SEPARATION"/>
      <sheetName val="Bank Account numbers Details"/>
      <sheetName val="HEADS"/>
      <sheetName val="MONTHLY ADJUSTMENT"/>
      <sheetName val="FIXED ADJUSTMENT"/>
      <sheetName val="INVESTMENT"/>
      <sheetName val="OTHER INFORMATION"/>
    </sheetNames>
    <sheetDataSet>
      <sheetData sheetId="0" refreshError="1"/>
      <sheetData sheetId="1">
        <row r="1">
          <cell r="A1" t="str">
            <v>TKTNO</v>
          </cell>
          <cell r="B1" t="str">
            <v>NAME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st quarter"/>
      <sheetName val="2nd quarter"/>
      <sheetName val="3rd quarter"/>
      <sheetName val="DATA"/>
    </sheetNames>
    <sheetDataSet>
      <sheetData sheetId="0" refreshError="1"/>
      <sheetData sheetId="1" refreshError="1"/>
      <sheetData sheetId="2" refreshError="1"/>
      <sheetData sheetId="3" refreshError="1">
        <row r="606">
          <cell r="A606" t="str">
            <v>NO:</v>
          </cell>
          <cell r="D606" t="str">
            <v>MATERIAL</v>
          </cell>
          <cell r="F606">
            <v>109</v>
          </cell>
          <cell r="G606" t="str">
            <v>109 B</v>
          </cell>
          <cell r="H606" t="str">
            <v>SEWREE</v>
          </cell>
          <cell r="I606" t="str">
            <v>TALOJA</v>
          </cell>
          <cell r="J606" t="str">
            <v>KUTCH-1</v>
          </cell>
          <cell r="K606" t="str">
            <v>KUTCH-2</v>
          </cell>
          <cell r="L606" t="str">
            <v>KUTCH-O</v>
          </cell>
          <cell r="M606" t="str">
            <v>GIT</v>
          </cell>
          <cell r="N606" t="str">
            <v>BADDI</v>
          </cell>
          <cell r="O606">
            <v>109</v>
          </cell>
          <cell r="P606" t="str">
            <v>109 B</v>
          </cell>
          <cell r="Q606" t="str">
            <v>SEWREE</v>
          </cell>
          <cell r="R606" t="str">
            <v>TALOJA</v>
          </cell>
          <cell r="S606" t="str">
            <v>KUTCH-1</v>
          </cell>
          <cell r="T606" t="str">
            <v>KUTCH-2</v>
          </cell>
          <cell r="U606" t="str">
            <v>KUTCH-O</v>
          </cell>
          <cell r="V606" t="str">
            <v>GIT</v>
          </cell>
          <cell r="W606" t="str">
            <v>BADDI</v>
          </cell>
          <cell r="X606">
            <v>109</v>
          </cell>
          <cell r="Y606" t="str">
            <v>109 B</v>
          </cell>
          <cell r="Z606" t="str">
            <v>SEWREE</v>
          </cell>
          <cell r="AA606" t="str">
            <v>TALOJA</v>
          </cell>
          <cell r="AB606" t="str">
            <v>KUTCH-1</v>
          </cell>
          <cell r="AC606" t="str">
            <v>KUTCH-2</v>
          </cell>
          <cell r="AD606" t="str">
            <v>KUTCH-O</v>
          </cell>
          <cell r="AE606" t="str">
            <v>GIT</v>
          </cell>
          <cell r="AF606" t="str">
            <v>BADDI</v>
          </cell>
          <cell r="AG606">
            <v>109</v>
          </cell>
          <cell r="AH606" t="str">
            <v>109 B</v>
          </cell>
          <cell r="AI606" t="str">
            <v>SEWREE</v>
          </cell>
          <cell r="AJ606" t="str">
            <v>TALOJA</v>
          </cell>
          <cell r="AK606" t="str">
            <v>KUTCH-1</v>
          </cell>
          <cell r="AL606" t="str">
            <v>KUTCH-2</v>
          </cell>
          <cell r="AM606" t="str">
            <v>KUTCH-O</v>
          </cell>
          <cell r="AN606" t="str">
            <v>GIT</v>
          </cell>
          <cell r="AO606" t="str">
            <v>BADDI</v>
          </cell>
          <cell r="AP606">
            <v>109</v>
          </cell>
          <cell r="AQ606" t="str">
            <v>109 B</v>
          </cell>
          <cell r="AR606" t="str">
            <v>SEWREE</v>
          </cell>
          <cell r="AS606" t="str">
            <v>TALOJA</v>
          </cell>
          <cell r="AT606" t="str">
            <v>KUTCH-1</v>
          </cell>
          <cell r="AU606" t="str">
            <v>KUTCH-2</v>
          </cell>
          <cell r="AV606" t="str">
            <v>KUTCH-O</v>
          </cell>
          <cell r="AW606" t="str">
            <v>GIT</v>
          </cell>
          <cell r="AX606" t="str">
            <v>BADDI</v>
          </cell>
          <cell r="AY606">
            <v>109</v>
          </cell>
          <cell r="AZ606" t="str">
            <v>109 B</v>
          </cell>
          <cell r="BA606" t="str">
            <v>SEWREE</v>
          </cell>
          <cell r="BB606" t="str">
            <v>TALOJA</v>
          </cell>
          <cell r="BC606" t="str">
            <v>KUTCH-1</v>
          </cell>
          <cell r="BD606" t="str">
            <v>KUTCH-2</v>
          </cell>
          <cell r="BE606" t="str">
            <v>KUTCH-O</v>
          </cell>
          <cell r="BF606" t="str">
            <v>GIT</v>
          </cell>
          <cell r="BG606" t="str">
            <v>BADDI</v>
          </cell>
          <cell r="BH606">
            <v>109</v>
          </cell>
          <cell r="BI606" t="str">
            <v>109 B</v>
          </cell>
          <cell r="BJ606" t="str">
            <v>SEWREE</v>
          </cell>
          <cell r="BK606" t="str">
            <v>TALOJA</v>
          </cell>
          <cell r="BL606" t="str">
            <v>KUTCH-1</v>
          </cell>
          <cell r="BM606" t="str">
            <v>KUTCH-2</v>
          </cell>
          <cell r="BN606" t="str">
            <v>KUTCH-O</v>
          </cell>
          <cell r="BO606" t="str">
            <v>GIT</v>
          </cell>
          <cell r="BP606" t="str">
            <v>BADDI</v>
          </cell>
          <cell r="BQ606">
            <v>109</v>
          </cell>
          <cell r="BR606" t="str">
            <v>109 B</v>
          </cell>
          <cell r="BS606" t="str">
            <v>SEWREE</v>
          </cell>
          <cell r="BT606" t="str">
            <v>TALOJA</v>
          </cell>
          <cell r="BU606" t="str">
            <v>KUTCH-1</v>
          </cell>
          <cell r="BV606" t="str">
            <v>KUTCH-2</v>
          </cell>
          <cell r="BW606" t="str">
            <v>KUTCH-O</v>
          </cell>
          <cell r="BX606" t="str">
            <v>GIT</v>
          </cell>
          <cell r="BY606" t="str">
            <v>BADDI</v>
          </cell>
          <cell r="BZ606">
            <v>109</v>
          </cell>
          <cell r="CA606" t="str">
            <v>109 B</v>
          </cell>
          <cell r="CB606" t="str">
            <v>SEWREE</v>
          </cell>
          <cell r="CC606" t="str">
            <v>TALOJA</v>
          </cell>
          <cell r="CD606" t="str">
            <v>KUTCH-1</v>
          </cell>
          <cell r="CE606" t="str">
            <v>KUTCH-2</v>
          </cell>
          <cell r="CF606" t="str">
            <v>KUTCH-O</v>
          </cell>
          <cell r="CG606" t="str">
            <v>GIT</v>
          </cell>
          <cell r="CH606" t="str">
            <v>BADDI</v>
          </cell>
          <cell r="CI606">
            <v>109</v>
          </cell>
          <cell r="CJ606" t="str">
            <v>109 B</v>
          </cell>
          <cell r="CK606" t="str">
            <v>SEWREE</v>
          </cell>
          <cell r="CL606" t="str">
            <v>TALOJA</v>
          </cell>
          <cell r="CM606" t="str">
            <v>KUTCH-1</v>
          </cell>
          <cell r="CN606" t="str">
            <v>KUTCH-2</v>
          </cell>
          <cell r="CO606" t="str">
            <v>KUTCH-O</v>
          </cell>
          <cell r="CP606" t="str">
            <v>GIT</v>
          </cell>
          <cell r="CQ606" t="str">
            <v>BADDI</v>
          </cell>
          <cell r="CR606">
            <v>109</v>
          </cell>
          <cell r="CS606" t="str">
            <v>109 B</v>
          </cell>
          <cell r="CT606" t="str">
            <v>SEWREE</v>
          </cell>
          <cell r="CU606" t="str">
            <v>TALOJA</v>
          </cell>
          <cell r="CV606" t="str">
            <v>KUTCH-1</v>
          </cell>
          <cell r="CW606" t="str">
            <v>KUTCH-2</v>
          </cell>
          <cell r="CX606" t="str">
            <v>KUTCH-O</v>
          </cell>
          <cell r="CY606" t="str">
            <v>GIT</v>
          </cell>
          <cell r="CZ606" t="str">
            <v>BADDI</v>
          </cell>
          <cell r="DA606">
            <v>109</v>
          </cell>
          <cell r="DB606" t="str">
            <v>109 B</v>
          </cell>
          <cell r="DC606" t="str">
            <v>SEWREE</v>
          </cell>
          <cell r="DD606" t="str">
            <v>TALOJA</v>
          </cell>
          <cell r="DE606" t="str">
            <v>KUTCH-1</v>
          </cell>
          <cell r="DF606" t="str">
            <v>KUTCH-2</v>
          </cell>
          <cell r="DG606" t="str">
            <v>KUTCH-O</v>
          </cell>
          <cell r="DH606" t="str">
            <v>GIT</v>
          </cell>
          <cell r="DI606" t="str">
            <v>BADDI</v>
          </cell>
          <cell r="DJ606">
            <v>109</v>
          </cell>
          <cell r="DK606" t="str">
            <v>109 B</v>
          </cell>
          <cell r="DL606" t="str">
            <v>SEWREE</v>
          </cell>
          <cell r="DM606" t="str">
            <v>TALOJA</v>
          </cell>
          <cell r="DN606" t="str">
            <v>KUTCH-1</v>
          </cell>
          <cell r="DO606" t="str">
            <v>KUTCH-2</v>
          </cell>
          <cell r="DP606" t="str">
            <v>KUTCH-O</v>
          </cell>
          <cell r="DQ606" t="str">
            <v>GIT</v>
          </cell>
          <cell r="DR606" t="str">
            <v>BADDI</v>
          </cell>
          <cell r="DS606">
            <v>109</v>
          </cell>
          <cell r="DT606" t="str">
            <v>109 B</v>
          </cell>
          <cell r="DU606" t="str">
            <v>SEWREE</v>
          </cell>
          <cell r="DV606" t="str">
            <v>TALOJA</v>
          </cell>
          <cell r="DW606" t="str">
            <v>KUTCH-1</v>
          </cell>
          <cell r="DX606" t="str">
            <v>KUTCH-2</v>
          </cell>
          <cell r="DY606" t="str">
            <v>KUTCH-O</v>
          </cell>
          <cell r="DZ606" t="str">
            <v>GIT</v>
          </cell>
          <cell r="EA606" t="str">
            <v>BADDI</v>
          </cell>
          <cell r="EB606">
            <v>109</v>
          </cell>
          <cell r="EC606" t="str">
            <v>109 B</v>
          </cell>
          <cell r="ED606" t="str">
            <v>SEWREE</v>
          </cell>
          <cell r="EE606" t="str">
            <v>TALOJA</v>
          </cell>
          <cell r="EF606" t="str">
            <v>KUTCH-1</v>
          </cell>
          <cell r="EG606" t="str">
            <v>KUTCH-2</v>
          </cell>
          <cell r="EH606" t="str">
            <v>KUTCH-O</v>
          </cell>
          <cell r="EI606" t="str">
            <v>GIT</v>
          </cell>
          <cell r="EJ606" t="str">
            <v>BADDI</v>
          </cell>
          <cell r="EK606">
            <v>109</v>
          </cell>
          <cell r="EL606" t="str">
            <v>109 B</v>
          </cell>
          <cell r="EM606" t="str">
            <v>SEWREE</v>
          </cell>
          <cell r="EN606" t="str">
            <v>TALOJA</v>
          </cell>
          <cell r="EO606" t="str">
            <v>KUTCH-1</v>
          </cell>
          <cell r="EP606" t="str">
            <v>KUTCH-2</v>
          </cell>
          <cell r="EQ606" t="str">
            <v>KUTCH-O</v>
          </cell>
          <cell r="ER606" t="str">
            <v>GIT</v>
          </cell>
          <cell r="ES606" t="str">
            <v>BADDI</v>
          </cell>
        </row>
        <row r="607">
          <cell r="A607" t="str">
            <v>RAW MATERIALS</v>
          </cell>
        </row>
        <row r="608">
          <cell r="A608">
            <v>1</v>
          </cell>
          <cell r="B608" t="str">
            <v>RM</v>
          </cell>
          <cell r="C608" t="str">
            <v>FM</v>
          </cell>
          <cell r="D608" t="str">
            <v>CPKO-5%</v>
          </cell>
          <cell r="E608" t="str">
            <v>CPKO-5%</v>
          </cell>
          <cell r="K608">
            <v>5184.5559999999996</v>
          </cell>
          <cell r="L608">
            <v>1453.3019999999999</v>
          </cell>
          <cell r="M608">
            <v>19.48</v>
          </cell>
          <cell r="T608">
            <v>5316.28</v>
          </cell>
          <cell r="U608">
            <v>554.56200000000001</v>
          </cell>
          <cell r="V608">
            <v>19.48</v>
          </cell>
          <cell r="AC608">
            <v>3317.4169999999999</v>
          </cell>
          <cell r="AE608">
            <v>19.48</v>
          </cell>
          <cell r="AL608">
            <v>63.314999999999998</v>
          </cell>
          <cell r="AM608">
            <v>1991.81</v>
          </cell>
          <cell r="AN608">
            <v>19.48</v>
          </cell>
          <cell r="AU608">
            <v>689.61500000000001</v>
          </cell>
          <cell r="AV608">
            <v>521.16</v>
          </cell>
          <cell r="AW608">
            <v>19.48</v>
          </cell>
          <cell r="BD608">
            <v>78.691000000000003</v>
          </cell>
          <cell r="BF608">
            <v>19.48</v>
          </cell>
          <cell r="BM608">
            <v>78.691000000000003</v>
          </cell>
          <cell r="BO608">
            <v>3019.48</v>
          </cell>
          <cell r="BV608">
            <v>78.691000000000003</v>
          </cell>
          <cell r="BW608">
            <v>2985.8</v>
          </cell>
          <cell r="BX608">
            <v>19.48</v>
          </cell>
          <cell r="CE608">
            <v>301.74</v>
          </cell>
          <cell r="CF608">
            <v>591.14</v>
          </cell>
          <cell r="CG608">
            <v>3019.48</v>
          </cell>
          <cell r="CN608">
            <v>1692.319</v>
          </cell>
          <cell r="CO608">
            <v>1237.95</v>
          </cell>
          <cell r="CP608">
            <v>6019.48</v>
          </cell>
          <cell r="CW608">
            <v>1325.0920000000001</v>
          </cell>
          <cell r="CX608">
            <v>683.36</v>
          </cell>
          <cell r="CY608">
            <v>6019.48</v>
          </cell>
          <cell r="DF608">
            <v>905.03200000000004</v>
          </cell>
          <cell r="DG608">
            <v>5682.6809999999996</v>
          </cell>
          <cell r="DH608">
            <v>6019.48</v>
          </cell>
          <cell r="DO608">
            <v>189.94399999999999</v>
          </cell>
          <cell r="DP608">
            <v>5076.3140000000003</v>
          </cell>
          <cell r="DQ608">
            <v>2019.48</v>
          </cell>
          <cell r="DX608">
            <v>1803.8689999999999</v>
          </cell>
          <cell r="DY608">
            <v>1337.644</v>
          </cell>
          <cell r="DZ608">
            <v>19.48</v>
          </cell>
          <cell r="EG608">
            <v>2425.4079999999999</v>
          </cell>
          <cell r="EI608">
            <v>2019.5140000000001</v>
          </cell>
          <cell r="EP608">
            <v>1379.807</v>
          </cell>
          <cell r="EQ608">
            <v>1990.2180000000001</v>
          </cell>
          <cell r="ER608">
            <v>2000.0340000000001</v>
          </cell>
        </row>
        <row r="609">
          <cell r="A609">
            <v>2</v>
          </cell>
          <cell r="B609" t="str">
            <v>RM</v>
          </cell>
          <cell r="C609" t="str">
            <v>FM</v>
          </cell>
          <cell r="D609" t="str">
            <v>CPKO-23%</v>
          </cell>
          <cell r="E609" t="str">
            <v>CPKO-23%</v>
          </cell>
          <cell r="AW609">
            <v>999.96500000000003</v>
          </cell>
          <cell r="BF609">
            <v>999.96500000000003</v>
          </cell>
          <cell r="BN609">
            <v>986.03800000000001</v>
          </cell>
          <cell r="BO609">
            <v>999.96500000000003</v>
          </cell>
          <cell r="BW609">
            <v>986.03800000000001</v>
          </cell>
          <cell r="CF609">
            <v>986.03800000000001</v>
          </cell>
          <cell r="CN609">
            <v>7.77</v>
          </cell>
          <cell r="CW609">
            <v>7.77</v>
          </cell>
          <cell r="DF609">
            <v>7.77</v>
          </cell>
          <cell r="DK609">
            <v>602.82000000000005</v>
          </cell>
          <cell r="DO609">
            <v>7.77</v>
          </cell>
          <cell r="DT609">
            <v>272.33999999999997</v>
          </cell>
          <cell r="DX609">
            <v>7.77</v>
          </cell>
          <cell r="EC609">
            <v>272.33999999999997</v>
          </cell>
          <cell r="EG609">
            <v>7.77</v>
          </cell>
          <cell r="EL609">
            <v>290.7</v>
          </cell>
          <cell r="EP609">
            <v>7.77</v>
          </cell>
        </row>
        <row r="610">
          <cell r="A610">
            <v>3</v>
          </cell>
          <cell r="B610" t="str">
            <v>RM</v>
          </cell>
          <cell r="C610" t="str">
            <v>FM</v>
          </cell>
          <cell r="D610" t="str">
            <v>CNO-C</v>
          </cell>
          <cell r="E610" t="str">
            <v>CNO-C</v>
          </cell>
        </row>
        <row r="611">
          <cell r="A611">
            <v>4</v>
          </cell>
          <cell r="B611" t="str">
            <v>RM</v>
          </cell>
          <cell r="C611" t="str">
            <v>FM</v>
          </cell>
          <cell r="D611" t="str">
            <v>CNO-R</v>
          </cell>
          <cell r="E611" t="str">
            <v>CNO-R</v>
          </cell>
        </row>
        <row r="612">
          <cell r="A612">
            <v>5</v>
          </cell>
          <cell r="B612" t="str">
            <v>RM</v>
          </cell>
          <cell r="C612" t="str">
            <v>FM</v>
          </cell>
          <cell r="D612" t="str">
            <v>PKFAD</v>
          </cell>
          <cell r="E612" t="str">
            <v>PKFAD</v>
          </cell>
        </row>
        <row r="613">
          <cell r="A613">
            <v>6</v>
          </cell>
          <cell r="B613" t="str">
            <v>RM</v>
          </cell>
          <cell r="C613" t="str">
            <v>FM</v>
          </cell>
          <cell r="D613" t="str">
            <v>RBDPS</v>
          </cell>
          <cell r="E613" t="str">
            <v>RBDPS</v>
          </cell>
          <cell r="H613">
            <v>462.142</v>
          </cell>
          <cell r="Q613">
            <v>462.142</v>
          </cell>
          <cell r="Y613">
            <v>3.80592</v>
          </cell>
          <cell r="Z613">
            <v>70.911999999999992</v>
          </cell>
          <cell r="AE613">
            <v>1000</v>
          </cell>
          <cell r="AH613">
            <v>444.02400000000006</v>
          </cell>
          <cell r="AI613">
            <v>492.77</v>
          </cell>
          <cell r="BA613">
            <v>3.59</v>
          </cell>
          <cell r="BF613">
            <v>1500</v>
          </cell>
          <cell r="BJ613">
            <v>3.59</v>
          </cell>
          <cell r="BO613">
            <v>1500</v>
          </cell>
          <cell r="BR613">
            <v>352.04760000000005</v>
          </cell>
          <cell r="BS613">
            <v>106.87</v>
          </cell>
          <cell r="CA613">
            <v>33.3018</v>
          </cell>
          <cell r="CB613">
            <v>106.87</v>
          </cell>
          <cell r="CJ613">
            <v>502.69860000000006</v>
          </cell>
          <cell r="CK613">
            <v>496.44600000000003</v>
          </cell>
          <cell r="CS613">
            <v>501.11280000000005</v>
          </cell>
          <cell r="CT613">
            <v>352.416</v>
          </cell>
          <cell r="CU613">
            <v>127</v>
          </cell>
          <cell r="DB613">
            <v>501.11280000000005</v>
          </cell>
          <cell r="DC613">
            <v>208.09599999999998</v>
          </cell>
          <cell r="DD613">
            <v>212</v>
          </cell>
          <cell r="DK613">
            <v>509.8347</v>
          </cell>
          <cell r="DL613">
            <v>202.92599999999999</v>
          </cell>
          <cell r="DM613">
            <v>81</v>
          </cell>
          <cell r="DT613">
            <v>507.45600000000007</v>
          </cell>
          <cell r="DU613">
            <v>202.92599999999999</v>
          </cell>
          <cell r="EC613">
            <v>508.24890000000005</v>
          </cell>
          <cell r="ED613">
            <v>202.92599999999999</v>
          </cell>
          <cell r="EE613">
            <v>22.4</v>
          </cell>
          <cell r="EL613">
            <v>507.45600000000007</v>
          </cell>
          <cell r="EM613">
            <v>184.226</v>
          </cell>
          <cell r="EN613">
            <v>365</v>
          </cell>
          <cell r="EP613">
            <v>115.8</v>
          </cell>
          <cell r="ER613">
            <v>158.18</v>
          </cell>
        </row>
        <row r="614">
          <cell r="A614">
            <v>7</v>
          </cell>
          <cell r="B614" t="str">
            <v>RM</v>
          </cell>
          <cell r="C614" t="str">
            <v>FM</v>
          </cell>
          <cell r="D614" t="str">
            <v>CPS-5%</v>
          </cell>
          <cell r="E614" t="str">
            <v>CPS-5%</v>
          </cell>
        </row>
        <row r="615">
          <cell r="A615">
            <v>8</v>
          </cell>
          <cell r="B615" t="str">
            <v>RM</v>
          </cell>
          <cell r="C615" t="str">
            <v>FM</v>
          </cell>
          <cell r="D615" t="str">
            <v>CPS-20%</v>
          </cell>
          <cell r="E615" t="str">
            <v>CPS-20%</v>
          </cell>
        </row>
        <row r="616">
          <cell r="A616">
            <v>9</v>
          </cell>
          <cell r="B616" t="str">
            <v>RM</v>
          </cell>
          <cell r="C616" t="str">
            <v>FM</v>
          </cell>
          <cell r="D616" t="str">
            <v>CPS-23%-HLL</v>
          </cell>
          <cell r="E616" t="str">
            <v>CPS-23%-HLL</v>
          </cell>
        </row>
        <row r="617">
          <cell r="A617">
            <v>10</v>
          </cell>
          <cell r="B617" t="str">
            <v>RM</v>
          </cell>
          <cell r="C617" t="str">
            <v>FM</v>
          </cell>
          <cell r="D617" t="str">
            <v>CPO</v>
          </cell>
          <cell r="E617" t="str">
            <v>CPO</v>
          </cell>
        </row>
        <row r="618">
          <cell r="A618">
            <v>11</v>
          </cell>
          <cell r="B618" t="str">
            <v>RM</v>
          </cell>
          <cell r="C618" t="str">
            <v>FM</v>
          </cell>
          <cell r="D618" t="str">
            <v>RBDPN</v>
          </cell>
          <cell r="E618" t="str">
            <v>RBDPN</v>
          </cell>
          <cell r="H618">
            <v>4054.9060000000004</v>
          </cell>
          <cell r="L618">
            <v>1985.451</v>
          </cell>
          <cell r="Q618">
            <v>3776.8510000000001</v>
          </cell>
          <cell r="U618">
            <v>1985.451</v>
          </cell>
          <cell r="Z618">
            <v>3319.0210000000002</v>
          </cell>
          <cell r="AD618">
            <v>1449.3109999999999</v>
          </cell>
          <cell r="AI618">
            <v>2351.2780000000002</v>
          </cell>
          <cell r="AM618">
            <v>261.64100000000002</v>
          </cell>
          <cell r="AR618">
            <v>1782.5120000000002</v>
          </cell>
          <cell r="AV618">
            <v>38.261000000000003</v>
          </cell>
          <cell r="BA618">
            <v>1182.8319999999999</v>
          </cell>
          <cell r="BE618">
            <v>6.9610000000000003</v>
          </cell>
          <cell r="BJ618">
            <v>867.43599999999992</v>
          </cell>
          <cell r="BS618">
            <v>577.11799999999994</v>
          </cell>
          <cell r="CB618">
            <v>388.714</v>
          </cell>
          <cell r="CK618">
            <v>359.64400000000001</v>
          </cell>
          <cell r="CT618">
            <v>359.64400000000001</v>
          </cell>
          <cell r="DC618">
            <v>334.65100000000001</v>
          </cell>
          <cell r="DL618">
            <v>334.65100000000001</v>
          </cell>
          <cell r="DU618">
            <v>219.44399999999999</v>
          </cell>
          <cell r="ED618">
            <v>141.584</v>
          </cell>
          <cell r="EM618">
            <v>62.774000000000001</v>
          </cell>
        </row>
        <row r="619">
          <cell r="A619">
            <v>12</v>
          </cell>
          <cell r="B619" t="str">
            <v>RM</v>
          </cell>
          <cell r="C619" t="str">
            <v>FM</v>
          </cell>
          <cell r="D619" t="str">
            <v>PFAD</v>
          </cell>
          <cell r="E619" t="str">
            <v>PFAD</v>
          </cell>
          <cell r="G619">
            <v>1519.49</v>
          </cell>
          <cell r="H619">
            <v>2164.6030000000001</v>
          </cell>
          <cell r="M619">
            <v>224.15</v>
          </cell>
          <cell r="P619">
            <v>1391.02</v>
          </cell>
          <cell r="Q619">
            <v>1989.4960000000001</v>
          </cell>
          <cell r="Y619">
            <v>1018.9</v>
          </cell>
          <cell r="Z619">
            <v>1989.4960000000001</v>
          </cell>
          <cell r="AE619">
            <v>5000</v>
          </cell>
          <cell r="AH619">
            <v>1244.83</v>
          </cell>
          <cell r="AI619">
            <v>5748.0940000000001</v>
          </cell>
          <cell r="AQ619">
            <v>1508.415</v>
          </cell>
          <cell r="AR619">
            <v>5011.4340000000002</v>
          </cell>
          <cell r="AZ619">
            <v>1499.5550000000001</v>
          </cell>
          <cell r="BA619">
            <v>4466.9740000000002</v>
          </cell>
          <cell r="BI619">
            <v>1590.37</v>
          </cell>
          <cell r="BJ619">
            <v>3496.5930000000008</v>
          </cell>
          <cell r="BR619">
            <v>1687.83</v>
          </cell>
          <cell r="BS619">
            <v>2680.6360000000004</v>
          </cell>
          <cell r="CA619">
            <v>1674.54</v>
          </cell>
          <cell r="CB619">
            <v>2239.13</v>
          </cell>
          <cell r="CJ619">
            <v>1399.88</v>
          </cell>
          <cell r="CK619">
            <v>3993.76</v>
          </cell>
          <cell r="CS619">
            <v>1612.52</v>
          </cell>
          <cell r="CT619">
            <v>6224.6710000000003</v>
          </cell>
          <cell r="DB619">
            <v>1608.09</v>
          </cell>
          <cell r="DC619">
            <v>5653.5109999999995</v>
          </cell>
          <cell r="DK619">
            <v>1322.355</v>
          </cell>
          <cell r="DL619">
            <v>5143.4709999999995</v>
          </cell>
          <cell r="DQ619">
            <v>999.95799999999997</v>
          </cell>
          <cell r="DT619">
            <v>1138.51</v>
          </cell>
          <cell r="DU619">
            <v>5210.2749999999996</v>
          </cell>
          <cell r="EC619">
            <v>1266.98</v>
          </cell>
          <cell r="ED619">
            <v>4115.2650000000003</v>
          </cell>
          <cell r="EI619">
            <v>2999.9319999999998</v>
          </cell>
          <cell r="EL619">
            <v>1151.8</v>
          </cell>
          <cell r="EM619">
            <v>3831.55</v>
          </cell>
          <cell r="ER619">
            <v>2999.9319999999998</v>
          </cell>
        </row>
        <row r="620">
          <cell r="A620">
            <v>13</v>
          </cell>
          <cell r="B620" t="str">
            <v>RM</v>
          </cell>
          <cell r="C620" t="str">
            <v>FM</v>
          </cell>
          <cell r="D620" t="str">
            <v>MUSTARD OIL-EXPELLER</v>
          </cell>
          <cell r="E620" t="str">
            <v>MUSTARD OIL-EXPELLER</v>
          </cell>
          <cell r="K620">
            <v>9.16</v>
          </cell>
          <cell r="T620">
            <v>9.16</v>
          </cell>
          <cell r="AC620">
            <v>9.16</v>
          </cell>
          <cell r="AL620">
            <v>9.16</v>
          </cell>
          <cell r="AU620">
            <v>9.16</v>
          </cell>
          <cell r="BD620">
            <v>9.16</v>
          </cell>
          <cell r="BM620">
            <v>9.16</v>
          </cell>
          <cell r="BV620">
            <v>90.96</v>
          </cell>
          <cell r="CE620">
            <v>491.38</v>
          </cell>
          <cell r="CN620">
            <v>669.22</v>
          </cell>
          <cell r="CW620">
            <v>42.28</v>
          </cell>
          <cell r="CX620">
            <v>752.24</v>
          </cell>
          <cell r="DF620">
            <v>105.61</v>
          </cell>
          <cell r="DO620">
            <v>273.33999999999997</v>
          </cell>
          <cell r="DP620">
            <v>1014.735</v>
          </cell>
          <cell r="DX620">
            <v>676.86</v>
          </cell>
          <cell r="EG620">
            <v>358.06</v>
          </cell>
          <cell r="EP620">
            <v>813.96</v>
          </cell>
        </row>
        <row r="621">
          <cell r="A621">
            <v>14</v>
          </cell>
          <cell r="B621" t="str">
            <v>RM</v>
          </cell>
          <cell r="C621" t="str">
            <v>FM</v>
          </cell>
          <cell r="D621" t="str">
            <v>MUSTARD OIL-REFINED</v>
          </cell>
          <cell r="E621" t="str">
            <v>MUSTARD OIL-REFINED</v>
          </cell>
          <cell r="DX621">
            <v>292.41000000000003</v>
          </cell>
          <cell r="DY621">
            <v>698.101</v>
          </cell>
          <cell r="EC621">
            <v>301.11876000000001</v>
          </cell>
          <cell r="EG621">
            <v>368.37600000000003</v>
          </cell>
          <cell r="EH621">
            <v>602.90200000000004</v>
          </cell>
          <cell r="EI621">
            <v>332.6</v>
          </cell>
          <cell r="EL621">
            <v>214.55136000000002</v>
          </cell>
          <cell r="EP621">
            <v>113.003</v>
          </cell>
          <cell r="ER621">
            <v>180.9</v>
          </cell>
        </row>
        <row r="622">
          <cell r="A622">
            <v>15</v>
          </cell>
          <cell r="B622" t="str">
            <v>RM</v>
          </cell>
          <cell r="C622" t="str">
            <v>FM</v>
          </cell>
          <cell r="D622" t="str">
            <v>CRUDE GLYCERINE</v>
          </cell>
          <cell r="E622" t="str">
            <v>CRUDE GLYCERINE</v>
          </cell>
          <cell r="F622">
            <v>95.63</v>
          </cell>
          <cell r="H622">
            <v>493.62</v>
          </cell>
          <cell r="J622">
            <v>56.838000000000001</v>
          </cell>
          <cell r="K622">
            <v>112.17</v>
          </cell>
          <cell r="L622">
            <v>400</v>
          </cell>
          <cell r="O622">
            <v>56.33</v>
          </cell>
          <cell r="Q622">
            <v>493.62</v>
          </cell>
          <cell r="S622">
            <v>116.458</v>
          </cell>
          <cell r="U622">
            <v>116.157</v>
          </cell>
          <cell r="V622">
            <v>400</v>
          </cell>
          <cell r="X622">
            <v>144.1</v>
          </cell>
          <cell r="Z622">
            <v>493.62</v>
          </cell>
          <cell r="AB622">
            <v>177.42500000000001</v>
          </cell>
          <cell r="AC622">
            <v>252.768</v>
          </cell>
          <cell r="AE622">
            <v>500</v>
          </cell>
          <cell r="AG622">
            <v>115.94</v>
          </cell>
          <cell r="AL622">
            <v>314.83</v>
          </cell>
          <cell r="AN622">
            <v>400</v>
          </cell>
          <cell r="AP622">
            <v>199.12</v>
          </cell>
          <cell r="AR622">
            <v>401.72</v>
          </cell>
          <cell r="AU622">
            <v>244.01599999999999</v>
          </cell>
          <cell r="AV622">
            <v>162.84800000000001</v>
          </cell>
          <cell r="AY622">
            <v>166.37</v>
          </cell>
          <cell r="BA622">
            <v>366.18</v>
          </cell>
          <cell r="BC622">
            <v>58.881</v>
          </cell>
          <cell r="BD622">
            <v>677.07500000000005</v>
          </cell>
          <cell r="BH622">
            <v>140.16999999999999</v>
          </cell>
          <cell r="BJ622">
            <v>336.01</v>
          </cell>
          <cell r="BL622">
            <v>180.07599999999999</v>
          </cell>
          <cell r="BM622">
            <v>269.18599999999998</v>
          </cell>
          <cell r="BQ622">
            <v>37.99</v>
          </cell>
          <cell r="BS622">
            <v>336.01</v>
          </cell>
          <cell r="BU622">
            <v>307.38499999999999</v>
          </cell>
          <cell r="BW622">
            <v>25.556000000000001</v>
          </cell>
          <cell r="BZ622">
            <v>107.42</v>
          </cell>
          <cell r="CB622">
            <v>336.01</v>
          </cell>
          <cell r="CD622">
            <v>178.05600000000001</v>
          </cell>
          <cell r="CE622">
            <v>274.84699999999998</v>
          </cell>
          <cell r="CI622">
            <v>233.18</v>
          </cell>
          <cell r="CK622">
            <v>322.77999999999997</v>
          </cell>
          <cell r="CM622">
            <v>293.63299999999998</v>
          </cell>
          <cell r="CN622">
            <v>111.602</v>
          </cell>
          <cell r="CP622">
            <v>400</v>
          </cell>
          <cell r="CR622">
            <v>241.04</v>
          </cell>
          <cell r="CT622">
            <v>293.27999999999997</v>
          </cell>
          <cell r="CV622">
            <v>125.468</v>
          </cell>
          <cell r="CW622">
            <v>260.78500000000003</v>
          </cell>
          <cell r="CY622">
            <v>400</v>
          </cell>
          <cell r="DA622">
            <v>201.74</v>
          </cell>
          <cell r="DC622">
            <v>248.42</v>
          </cell>
          <cell r="DE622">
            <v>329.37900000000002</v>
          </cell>
          <cell r="DF622">
            <v>194.16499999999999</v>
          </cell>
          <cell r="DH622">
            <v>400</v>
          </cell>
          <cell r="DJ622">
            <v>179.47</v>
          </cell>
          <cell r="DL622">
            <v>217.36</v>
          </cell>
          <cell r="DN622">
            <v>362.77800000000002</v>
          </cell>
          <cell r="DO622">
            <v>204.98400000000001</v>
          </cell>
          <cell r="DQ622">
            <v>488.13</v>
          </cell>
          <cell r="DS622">
            <v>276.41000000000003</v>
          </cell>
          <cell r="DU622">
            <v>217.36</v>
          </cell>
          <cell r="DW622">
            <v>543.75099999999998</v>
          </cell>
          <cell r="DX622">
            <v>267.69299999999998</v>
          </cell>
          <cell r="EB622">
            <v>220.74</v>
          </cell>
          <cell r="ED622">
            <v>203.41</v>
          </cell>
          <cell r="EF622">
            <v>639.17499999999995</v>
          </cell>
          <cell r="EG622">
            <v>702.85500000000002</v>
          </cell>
          <cell r="EK622">
            <v>193.23</v>
          </cell>
          <cell r="EM622">
            <v>203.41</v>
          </cell>
          <cell r="EO622">
            <v>392.11200000000002</v>
          </cell>
          <cell r="EP622">
            <v>974.226</v>
          </cell>
        </row>
        <row r="623">
          <cell r="A623">
            <v>16</v>
          </cell>
          <cell r="B623" t="str">
            <v>RM</v>
          </cell>
          <cell r="C623" t="str">
            <v>FM</v>
          </cell>
          <cell r="D623" t="str">
            <v>CAUSTIC SODA</v>
          </cell>
          <cell r="E623" t="str">
            <v>CAUSTIC SODA</v>
          </cell>
          <cell r="I623">
            <v>383.7</v>
          </cell>
          <cell r="J623">
            <v>32.323999999999998</v>
          </cell>
          <cell r="R623">
            <v>326</v>
          </cell>
          <cell r="S623">
            <v>34.723999999999997</v>
          </cell>
          <cell r="V623">
            <v>30</v>
          </cell>
          <cell r="AA623">
            <v>282</v>
          </cell>
          <cell r="AB623">
            <v>51.706000000000003</v>
          </cell>
          <cell r="AE623">
            <v>48.1</v>
          </cell>
          <cell r="AI623">
            <v>462.97</v>
          </cell>
          <cell r="AJ623">
            <v>401.3</v>
          </cell>
          <cell r="AS623">
            <v>425.2</v>
          </cell>
          <cell r="AT623">
            <v>220.79900000000001</v>
          </cell>
          <cell r="BB623">
            <v>419.8</v>
          </cell>
          <cell r="BC623">
            <v>307.678</v>
          </cell>
          <cell r="BK623">
            <v>541.20000000000005</v>
          </cell>
          <cell r="BL623">
            <v>285.39400000000001</v>
          </cell>
          <cell r="BO623">
            <v>15</v>
          </cell>
          <cell r="BT623">
            <v>677</v>
          </cell>
          <cell r="BU623">
            <v>254.75399999999999</v>
          </cell>
          <cell r="BX623">
            <v>29.82</v>
          </cell>
          <cell r="CC623">
            <v>913</v>
          </cell>
          <cell r="CD623">
            <v>235.648</v>
          </cell>
          <cell r="CL623">
            <v>1117</v>
          </cell>
          <cell r="CM623">
            <v>214.941</v>
          </cell>
          <cell r="CU623">
            <v>1016</v>
          </cell>
          <cell r="CV623">
            <v>214.941</v>
          </cell>
          <cell r="DD623">
            <v>1061</v>
          </cell>
          <cell r="DE623">
            <v>196.923</v>
          </cell>
          <cell r="DH623">
            <v>40.14</v>
          </cell>
          <cell r="DM623">
            <v>1022</v>
          </cell>
          <cell r="DN623">
            <v>165.87299999999999</v>
          </cell>
          <cell r="DQ623">
            <v>31.52</v>
          </cell>
          <cell r="DV623">
            <v>944</v>
          </cell>
          <cell r="DW623">
            <v>131.47900000000001</v>
          </cell>
          <cell r="EE623">
            <v>648.1</v>
          </cell>
          <cell r="EF623">
            <v>98.316999999999993</v>
          </cell>
          <cell r="EN623">
            <v>461</v>
          </cell>
          <cell r="EO623">
            <v>76.197000000000003</v>
          </cell>
        </row>
        <row r="624">
          <cell r="A624">
            <v>17</v>
          </cell>
          <cell r="B624" t="str">
            <v>RM</v>
          </cell>
          <cell r="C624" t="str">
            <v>FM</v>
          </cell>
          <cell r="D624" t="str">
            <v>MINERAL OIL(SAVANOL-82)</v>
          </cell>
          <cell r="E624" t="str">
            <v>MINERAL OIL(SAVANOL-82)</v>
          </cell>
        </row>
        <row r="625">
          <cell r="A625">
            <v>237</v>
          </cell>
          <cell r="B625" t="str">
            <v>RM</v>
          </cell>
          <cell r="C625" t="str">
            <v>FM</v>
          </cell>
          <cell r="D625" t="str">
            <v>NEEM OIL</v>
          </cell>
          <cell r="E625" t="str">
            <v>NEEM OIL</v>
          </cell>
          <cell r="DW625">
            <v>9</v>
          </cell>
          <cell r="EF625">
            <v>8</v>
          </cell>
          <cell r="EO625">
            <v>8</v>
          </cell>
        </row>
        <row r="626">
          <cell r="D626" t="str">
            <v>RM TOTAL</v>
          </cell>
          <cell r="E626" t="str">
            <v>RM TOTAL</v>
          </cell>
          <cell r="F626">
            <v>95.63</v>
          </cell>
          <cell r="G626">
            <v>1519.49</v>
          </cell>
          <cell r="H626">
            <v>7175.2710000000006</v>
          </cell>
          <cell r="I626">
            <v>383.7</v>
          </cell>
          <cell r="J626">
            <v>89.162000000000006</v>
          </cell>
          <cell r="K626">
            <v>5305.8859999999995</v>
          </cell>
          <cell r="L626">
            <v>3838.7529999999997</v>
          </cell>
          <cell r="M626">
            <v>243.63</v>
          </cell>
          <cell r="N626">
            <v>0</v>
          </cell>
          <cell r="O626">
            <v>56.33</v>
          </cell>
          <cell r="P626">
            <v>1391.02</v>
          </cell>
          <cell r="Q626">
            <v>6722.1090000000004</v>
          </cell>
          <cell r="R626">
            <v>326</v>
          </cell>
          <cell r="S626">
            <v>151.18199999999999</v>
          </cell>
          <cell r="T626">
            <v>5325.44</v>
          </cell>
          <cell r="U626">
            <v>2656.17</v>
          </cell>
          <cell r="V626">
            <v>449.48</v>
          </cell>
          <cell r="W626">
            <v>0</v>
          </cell>
          <cell r="X626">
            <v>144.1</v>
          </cell>
          <cell r="Y626">
            <v>1022.70592</v>
          </cell>
          <cell r="Z626">
            <v>5873.049</v>
          </cell>
          <cell r="AA626">
            <v>282</v>
          </cell>
          <cell r="AB626">
            <v>229.13100000000003</v>
          </cell>
          <cell r="AC626">
            <v>3579.3449999999998</v>
          </cell>
          <cell r="AD626">
            <v>1449.3109999999999</v>
          </cell>
          <cell r="AE626">
            <v>6567.58</v>
          </cell>
          <cell r="AF626">
            <v>0</v>
          </cell>
          <cell r="AG626">
            <v>115.94</v>
          </cell>
          <cell r="AH626">
            <v>1688.854</v>
          </cell>
          <cell r="AI626">
            <v>9055.1119999999992</v>
          </cell>
          <cell r="AJ626">
            <v>401.3</v>
          </cell>
          <cell r="AK626">
            <v>0</v>
          </cell>
          <cell r="AL626">
            <v>387.30499999999995</v>
          </cell>
          <cell r="AM626">
            <v>2253.451</v>
          </cell>
          <cell r="AN626">
            <v>419.48</v>
          </cell>
          <cell r="AO626">
            <v>0</v>
          </cell>
          <cell r="AP626">
            <v>199.12</v>
          </cell>
          <cell r="AQ626">
            <v>1508.415</v>
          </cell>
          <cell r="AR626">
            <v>7195.6660000000002</v>
          </cell>
          <cell r="AS626">
            <v>425.2</v>
          </cell>
          <cell r="AT626">
            <v>220.79900000000001</v>
          </cell>
          <cell r="AU626">
            <v>942.79099999999994</v>
          </cell>
          <cell r="AV626">
            <v>722.26900000000001</v>
          </cell>
          <cell r="AW626">
            <v>1019.4450000000001</v>
          </cell>
          <cell r="AX626">
            <v>0</v>
          </cell>
          <cell r="AY626">
            <v>166.37</v>
          </cell>
          <cell r="AZ626">
            <v>1499.5550000000001</v>
          </cell>
          <cell r="BA626">
            <v>6019.576</v>
          </cell>
          <cell r="BB626">
            <v>419.8</v>
          </cell>
          <cell r="BC626">
            <v>366.55899999999997</v>
          </cell>
          <cell r="BD626">
            <v>764.92600000000004</v>
          </cell>
          <cell r="BE626">
            <v>6.9610000000000003</v>
          </cell>
          <cell r="BF626">
            <v>2519.4450000000002</v>
          </cell>
          <cell r="BG626">
            <v>0</v>
          </cell>
          <cell r="BH626">
            <v>140.16999999999999</v>
          </cell>
          <cell r="BI626">
            <v>1590.37</v>
          </cell>
          <cell r="BJ626">
            <v>4703.6290000000008</v>
          </cell>
          <cell r="BK626">
            <v>541.20000000000005</v>
          </cell>
          <cell r="BL626">
            <v>465.47</v>
          </cell>
          <cell r="BM626">
            <v>357.03699999999998</v>
          </cell>
          <cell r="BN626">
            <v>986.03800000000001</v>
          </cell>
          <cell r="BO626">
            <v>5534.4449999999997</v>
          </cell>
          <cell r="BP626">
            <v>0</v>
          </cell>
          <cell r="BQ626">
            <v>37.99</v>
          </cell>
          <cell r="BR626">
            <v>2039.8776</v>
          </cell>
          <cell r="BS626">
            <v>3700.634</v>
          </cell>
          <cell r="BT626">
            <v>677</v>
          </cell>
          <cell r="BU626">
            <v>562.13900000000001</v>
          </cell>
          <cell r="BV626">
            <v>169.65100000000001</v>
          </cell>
          <cell r="BW626">
            <v>3997.3940000000002</v>
          </cell>
          <cell r="BX626">
            <v>49.3</v>
          </cell>
          <cell r="BY626">
            <v>0</v>
          </cell>
          <cell r="BZ626">
            <v>107.42</v>
          </cell>
          <cell r="CA626">
            <v>1707.8417999999999</v>
          </cell>
          <cell r="CB626">
            <v>3070.7240000000002</v>
          </cell>
          <cell r="CC626">
            <v>913</v>
          </cell>
          <cell r="CD626">
            <v>413.70400000000001</v>
          </cell>
          <cell r="CE626">
            <v>1067.9670000000001</v>
          </cell>
          <cell r="CF626">
            <v>1577.1779999999999</v>
          </cell>
          <cell r="CG626">
            <v>3019.48</v>
          </cell>
          <cell r="CH626">
            <v>0</v>
          </cell>
          <cell r="CI626">
            <v>233.18</v>
          </cell>
          <cell r="CJ626">
            <v>1902.5786000000003</v>
          </cell>
          <cell r="CK626">
            <v>5172.63</v>
          </cell>
          <cell r="CL626">
            <v>1117</v>
          </cell>
          <cell r="CM626">
            <v>508.57399999999996</v>
          </cell>
          <cell r="CN626">
            <v>2480.9110000000001</v>
          </cell>
          <cell r="CO626">
            <v>1237.95</v>
          </cell>
          <cell r="CP626">
            <v>6419.48</v>
          </cell>
          <cell r="CQ626">
            <v>0</v>
          </cell>
          <cell r="CR626">
            <v>241.04</v>
          </cell>
          <cell r="CS626">
            <v>2113.6327999999999</v>
          </cell>
          <cell r="CT626">
            <v>7230.0109999999995</v>
          </cell>
          <cell r="CU626">
            <v>1143</v>
          </cell>
          <cell r="CV626">
            <v>340.40899999999999</v>
          </cell>
          <cell r="CW626">
            <v>1635.9270000000001</v>
          </cell>
          <cell r="CX626">
            <v>1435.6</v>
          </cell>
          <cell r="CY626">
            <v>6419.48</v>
          </cell>
          <cell r="CZ626">
            <v>0</v>
          </cell>
          <cell r="DA626">
            <v>201.74</v>
          </cell>
          <cell r="DB626">
            <v>2109.2028</v>
          </cell>
          <cell r="DC626">
            <v>6444.6779999999999</v>
          </cell>
          <cell r="DD626">
            <v>1273</v>
          </cell>
          <cell r="DE626">
            <v>526.30200000000002</v>
          </cell>
          <cell r="DF626">
            <v>1212.577</v>
          </cell>
          <cell r="DG626">
            <v>5682.6809999999996</v>
          </cell>
          <cell r="DH626">
            <v>6459.62</v>
          </cell>
          <cell r="DI626">
            <v>0</v>
          </cell>
          <cell r="DJ626">
            <v>179.47</v>
          </cell>
          <cell r="DK626">
            <v>2435.0097000000001</v>
          </cell>
          <cell r="DL626">
            <v>5898.4079999999994</v>
          </cell>
          <cell r="DM626">
            <v>1103</v>
          </cell>
          <cell r="DN626">
            <v>528.65100000000007</v>
          </cell>
          <cell r="DO626">
            <v>676.03800000000001</v>
          </cell>
          <cell r="DP626">
            <v>6091.049</v>
          </cell>
          <cell r="DQ626">
            <v>3539.0880000000002</v>
          </cell>
          <cell r="DR626">
            <v>0</v>
          </cell>
          <cell r="DS626">
            <v>276.41000000000003</v>
          </cell>
          <cell r="DT626">
            <v>1918.306</v>
          </cell>
          <cell r="DU626">
            <v>5850.0049999999992</v>
          </cell>
          <cell r="DV626">
            <v>944</v>
          </cell>
          <cell r="DW626">
            <v>675.23</v>
          </cell>
          <cell r="DX626">
            <v>3048.6019999999999</v>
          </cell>
          <cell r="DY626">
            <v>2035.7449999999999</v>
          </cell>
          <cell r="DZ626">
            <v>19.48</v>
          </cell>
          <cell r="EA626">
            <v>0</v>
          </cell>
          <cell r="EB626">
            <v>220.74</v>
          </cell>
          <cell r="EC626">
            <v>2348.6876600000001</v>
          </cell>
          <cell r="ED626">
            <v>4663.1850000000004</v>
          </cell>
          <cell r="EE626">
            <v>670.5</v>
          </cell>
          <cell r="EF626">
            <v>737.49199999999996</v>
          </cell>
          <cell r="EG626">
            <v>3862.4690000000001</v>
          </cell>
          <cell r="EH626">
            <v>602.90200000000004</v>
          </cell>
          <cell r="EI626">
            <v>5352.0460000000003</v>
          </cell>
          <cell r="EJ626">
            <v>0</v>
          </cell>
          <cell r="EK626">
            <v>193.23</v>
          </cell>
          <cell r="EL626">
            <v>2164.5073600000001</v>
          </cell>
          <cell r="EM626">
            <v>4281.96</v>
          </cell>
          <cell r="EN626">
            <v>826</v>
          </cell>
          <cell r="EO626">
            <v>476.30900000000003</v>
          </cell>
          <cell r="EP626">
            <v>3404.5660000000003</v>
          </cell>
          <cell r="EQ626">
            <v>1990.2180000000001</v>
          </cell>
          <cell r="ER626">
            <v>5339.0459999999994</v>
          </cell>
          <cell r="ES626">
            <v>0</v>
          </cell>
        </row>
        <row r="627">
          <cell r="A627" t="str">
            <v>SPLIT FATTY ACIDS</v>
          </cell>
        </row>
        <row r="628">
          <cell r="A628">
            <v>18</v>
          </cell>
          <cell r="B628" t="str">
            <v>SRM</v>
          </cell>
          <cell r="C628" t="str">
            <v>FM</v>
          </cell>
          <cell r="D628" t="str">
            <v>SCPKO</v>
          </cell>
          <cell r="E628" t="str">
            <v>SCPKO</v>
          </cell>
          <cell r="F628">
            <v>57.095999999999997</v>
          </cell>
          <cell r="G628">
            <v>272.33999999999997</v>
          </cell>
          <cell r="H628">
            <v>318.18</v>
          </cell>
          <cell r="I628">
            <v>562.70000000000005</v>
          </cell>
          <cell r="K628">
            <v>568.52</v>
          </cell>
          <cell r="M628">
            <v>133.99</v>
          </cell>
          <cell r="O628">
            <v>34.008000000000003</v>
          </cell>
          <cell r="P628">
            <v>354.96</v>
          </cell>
          <cell r="Q628">
            <v>198.46</v>
          </cell>
          <cell r="R628">
            <v>319.7</v>
          </cell>
          <cell r="T628">
            <v>854.53</v>
          </cell>
          <cell r="V628">
            <v>847.51</v>
          </cell>
          <cell r="Y628">
            <v>15.3</v>
          </cell>
          <cell r="Z628">
            <v>0.53</v>
          </cell>
          <cell r="AA628">
            <v>162.6</v>
          </cell>
          <cell r="AC628">
            <v>1246.99</v>
          </cell>
          <cell r="AE628">
            <v>982.71</v>
          </cell>
          <cell r="AH628">
            <v>94.86</v>
          </cell>
          <cell r="AJ628">
            <v>529.83000000000004</v>
          </cell>
          <cell r="AL628">
            <v>1752.23</v>
          </cell>
          <cell r="AN628">
            <v>640.93000000000006</v>
          </cell>
          <cell r="AQ628">
            <v>263.16000000000003</v>
          </cell>
          <cell r="AR628">
            <v>0.53</v>
          </cell>
          <cell r="AS628">
            <v>210</v>
          </cell>
          <cell r="AU628">
            <v>611.41499999999996</v>
          </cell>
          <cell r="AW628">
            <v>758.49</v>
          </cell>
          <cell r="AZ628">
            <v>232.56</v>
          </cell>
          <cell r="BA628">
            <v>0.53</v>
          </cell>
          <cell r="BB628">
            <v>148</v>
          </cell>
          <cell r="BD628">
            <v>113</v>
          </cell>
          <cell r="BF628">
            <v>381.39</v>
          </cell>
          <cell r="BI628">
            <v>134.63999999999999</v>
          </cell>
          <cell r="BJ628">
            <v>0.53</v>
          </cell>
          <cell r="BK628">
            <v>25.6</v>
          </cell>
          <cell r="BM628">
            <v>113</v>
          </cell>
          <cell r="BS628">
            <v>0.53</v>
          </cell>
          <cell r="BT628">
            <v>25.6</v>
          </cell>
          <cell r="BV628">
            <v>113</v>
          </cell>
          <cell r="CB628">
            <v>0.53</v>
          </cell>
          <cell r="CC628">
            <v>647.1</v>
          </cell>
          <cell r="CE628">
            <v>574.19100000000003</v>
          </cell>
          <cell r="CG628">
            <v>883.69</v>
          </cell>
          <cell r="CK628">
            <v>0.53</v>
          </cell>
          <cell r="CL628">
            <v>486</v>
          </cell>
          <cell r="CN628">
            <v>163.43</v>
          </cell>
          <cell r="CT628">
            <v>0.53</v>
          </cell>
          <cell r="CU628">
            <v>87.7</v>
          </cell>
          <cell r="CW628">
            <v>455.536</v>
          </cell>
          <cell r="CY628">
            <v>407.83</v>
          </cell>
          <cell r="DB628">
            <v>39.78</v>
          </cell>
          <cell r="DC628">
            <v>0.53</v>
          </cell>
          <cell r="DD628">
            <v>327</v>
          </cell>
          <cell r="DF628">
            <v>443.52</v>
          </cell>
          <cell r="DH628">
            <v>837.94</v>
          </cell>
          <cell r="DK628">
            <v>16.564499999999999</v>
          </cell>
          <cell r="DL628">
            <v>0.53</v>
          </cell>
          <cell r="DM628">
            <v>124.2</v>
          </cell>
          <cell r="DO628">
            <v>956.87199999999996</v>
          </cell>
          <cell r="DQ628">
            <v>436.91</v>
          </cell>
          <cell r="DT628">
            <v>311.41260000000005</v>
          </cell>
          <cell r="DV628">
            <v>480.5</v>
          </cell>
          <cell r="DX628">
            <v>1656.229</v>
          </cell>
          <cell r="DZ628">
            <v>65.36</v>
          </cell>
          <cell r="EC628">
            <v>311.41260000000005</v>
          </cell>
          <cell r="EE628">
            <v>606.6</v>
          </cell>
          <cell r="EG628">
            <v>2111.0619999999999</v>
          </cell>
          <cell r="EL628">
            <v>309.20400000000001</v>
          </cell>
          <cell r="EN628">
            <v>825.8</v>
          </cell>
          <cell r="EP628">
            <v>3013.6930000000002</v>
          </cell>
        </row>
        <row r="629">
          <cell r="A629">
            <v>19</v>
          </cell>
          <cell r="B629" t="str">
            <v>SRM</v>
          </cell>
          <cell r="C629" t="str">
            <v>FM</v>
          </cell>
          <cell r="D629" t="str">
            <v>SCNO</v>
          </cell>
          <cell r="E629" t="str">
            <v>SCNO</v>
          </cell>
          <cell r="AN629">
            <v>15</v>
          </cell>
        </row>
        <row r="630">
          <cell r="A630">
            <v>20</v>
          </cell>
          <cell r="B630" t="str">
            <v>SRM</v>
          </cell>
          <cell r="C630" t="str">
            <v>FM</v>
          </cell>
          <cell r="D630" t="str">
            <v>SCPKO-HLL</v>
          </cell>
          <cell r="E630" t="str">
            <v>SCPKO-HLL</v>
          </cell>
          <cell r="K630">
            <v>467.61</v>
          </cell>
          <cell r="T630">
            <v>467.61</v>
          </cell>
          <cell r="AC630">
            <v>467.61</v>
          </cell>
          <cell r="AL630">
            <v>231.61</v>
          </cell>
          <cell r="AU630">
            <v>231.61</v>
          </cell>
          <cell r="BD630">
            <v>231.61</v>
          </cell>
          <cell r="BM630">
            <v>120.92</v>
          </cell>
          <cell r="BV630">
            <v>120.92</v>
          </cell>
          <cell r="CE630">
            <v>120.92</v>
          </cell>
          <cell r="CN630">
            <v>992.53399999999999</v>
          </cell>
          <cell r="CW630">
            <v>899.274</v>
          </cell>
          <cell r="DF630">
            <v>855.45399999999995</v>
          </cell>
          <cell r="DO630">
            <v>855.45399999999995</v>
          </cell>
          <cell r="DX630">
            <v>855.45399999999995</v>
          </cell>
          <cell r="EG630">
            <v>855.45399999999995</v>
          </cell>
          <cell r="EP630">
            <v>797.774</v>
          </cell>
        </row>
        <row r="631">
          <cell r="A631">
            <v>21</v>
          </cell>
          <cell r="B631" t="str">
            <v>SRM</v>
          </cell>
          <cell r="C631" t="str">
            <v>FM</v>
          </cell>
          <cell r="D631" t="str">
            <v>SPKFAD</v>
          </cell>
          <cell r="E631" t="str">
            <v>SPKFAD</v>
          </cell>
          <cell r="EK631">
            <v>86.4</v>
          </cell>
        </row>
        <row r="632">
          <cell r="A632">
            <v>22</v>
          </cell>
          <cell r="B632" t="str">
            <v>SRM</v>
          </cell>
          <cell r="C632" t="str">
            <v>FM</v>
          </cell>
          <cell r="D632" t="str">
            <v>SCPS</v>
          </cell>
          <cell r="E632" t="str">
            <v>SCPS</v>
          </cell>
        </row>
        <row r="633">
          <cell r="A633">
            <v>23</v>
          </cell>
          <cell r="B633" t="str">
            <v>SRM</v>
          </cell>
          <cell r="C633" t="str">
            <v>FM</v>
          </cell>
          <cell r="D633" t="str">
            <v>SRBDPS</v>
          </cell>
          <cell r="E633" t="str">
            <v>SRBDPS</v>
          </cell>
          <cell r="G633">
            <v>307.64519999999999</v>
          </cell>
          <cell r="P633">
            <v>308.74520000000001</v>
          </cell>
          <cell r="AG633">
            <v>82.08</v>
          </cell>
          <cell r="AR633">
            <v>492.77</v>
          </cell>
          <cell r="AY633">
            <v>259.065</v>
          </cell>
          <cell r="BH633">
            <v>133.38</v>
          </cell>
          <cell r="BQ633">
            <v>157.32</v>
          </cell>
          <cell r="BZ633">
            <v>482.22</v>
          </cell>
          <cell r="CI633">
            <v>217.17</v>
          </cell>
          <cell r="CR633">
            <v>215.46</v>
          </cell>
          <cell r="DA633">
            <v>215.46</v>
          </cell>
          <cell r="DJ633">
            <v>215.46</v>
          </cell>
        </row>
        <row r="634">
          <cell r="A634">
            <v>24</v>
          </cell>
          <cell r="B634" t="str">
            <v>SRM</v>
          </cell>
          <cell r="C634" t="str">
            <v>FM</v>
          </cell>
          <cell r="D634" t="str">
            <v>SCPO</v>
          </cell>
          <cell r="E634" t="str">
            <v>SCPO</v>
          </cell>
          <cell r="K634">
            <v>0.48899999999999999</v>
          </cell>
          <cell r="T634">
            <v>0.48899999999999999</v>
          </cell>
          <cell r="AC634">
            <v>0.48899999999999999</v>
          </cell>
          <cell r="AL634">
            <v>0.48899999999999999</v>
          </cell>
          <cell r="AU634">
            <v>0.48899999999999999</v>
          </cell>
          <cell r="BD634">
            <v>0.48899999999999999</v>
          </cell>
          <cell r="BM634">
            <v>0.48899999999999999</v>
          </cell>
          <cell r="BV634">
            <v>0.48899999999999999</v>
          </cell>
          <cell r="CE634">
            <v>0.48899999999999999</v>
          </cell>
          <cell r="CN634">
            <v>0.48899999999999999</v>
          </cell>
          <cell r="CW634">
            <v>0.48899999999999999</v>
          </cell>
          <cell r="DF634">
            <v>0.48899999999999999</v>
          </cell>
          <cell r="DO634">
            <v>0.48899999999999999</v>
          </cell>
          <cell r="DX634">
            <v>0.48899999999999999</v>
          </cell>
          <cell r="EG634">
            <v>0.48899999999999999</v>
          </cell>
          <cell r="EP634">
            <v>0.48899999999999999</v>
          </cell>
        </row>
        <row r="635">
          <cell r="A635">
            <v>25</v>
          </cell>
          <cell r="B635" t="str">
            <v>SRM</v>
          </cell>
          <cell r="C635" t="str">
            <v>FM</v>
          </cell>
          <cell r="D635" t="str">
            <v>SPFAD</v>
          </cell>
          <cell r="E635" t="str">
            <v>SPFAD</v>
          </cell>
          <cell r="F635">
            <v>217.2</v>
          </cell>
          <cell r="G635">
            <v>76.196700000000007</v>
          </cell>
          <cell r="H635">
            <v>408.98</v>
          </cell>
          <cell r="I635">
            <v>294.2</v>
          </cell>
          <cell r="O635">
            <v>388.8</v>
          </cell>
          <cell r="Q635">
            <v>349.2</v>
          </cell>
          <cell r="R635">
            <v>658.7</v>
          </cell>
          <cell r="X635">
            <v>370.8</v>
          </cell>
          <cell r="Z635">
            <v>349.2</v>
          </cell>
          <cell r="AA635">
            <v>518.6</v>
          </cell>
          <cell r="AG635">
            <v>430.8</v>
          </cell>
          <cell r="AI635">
            <v>524.91</v>
          </cell>
          <cell r="AJ635">
            <v>472.3</v>
          </cell>
          <cell r="AP635">
            <v>493.2</v>
          </cell>
          <cell r="AR635">
            <v>385.19</v>
          </cell>
          <cell r="AS635">
            <v>161</v>
          </cell>
          <cell r="AW635">
            <v>30</v>
          </cell>
          <cell r="AY635">
            <v>168</v>
          </cell>
          <cell r="BA635">
            <v>144.4</v>
          </cell>
          <cell r="BB635">
            <v>472.5</v>
          </cell>
          <cell r="BH635">
            <v>430.8</v>
          </cell>
          <cell r="BJ635">
            <v>96.95</v>
          </cell>
          <cell r="BK635">
            <v>482.2</v>
          </cell>
          <cell r="BO635">
            <v>62</v>
          </cell>
          <cell r="BQ635">
            <v>124.8</v>
          </cell>
          <cell r="BS635">
            <v>574.42999999999995</v>
          </cell>
          <cell r="BT635">
            <v>255</v>
          </cell>
          <cell r="BX635">
            <v>176.78</v>
          </cell>
          <cell r="BZ635">
            <v>176.4</v>
          </cell>
          <cell r="CB635">
            <v>366.06</v>
          </cell>
          <cell r="CC635">
            <v>270.60000000000002</v>
          </cell>
          <cell r="CI635">
            <v>258</v>
          </cell>
          <cell r="CK635">
            <v>425.44</v>
          </cell>
          <cell r="CL635">
            <v>597.6</v>
          </cell>
          <cell r="CR635">
            <v>387.4</v>
          </cell>
          <cell r="CT635">
            <v>425.44</v>
          </cell>
          <cell r="CU635">
            <v>597.6</v>
          </cell>
          <cell r="DA635">
            <v>427.9</v>
          </cell>
          <cell r="DC635">
            <v>425.44</v>
          </cell>
          <cell r="DD635">
            <v>597.6</v>
          </cell>
          <cell r="DJ635">
            <v>176.4</v>
          </cell>
          <cell r="DL635">
            <v>425.44</v>
          </cell>
          <cell r="DM635">
            <v>667.9</v>
          </cell>
          <cell r="DS635">
            <v>70.8</v>
          </cell>
          <cell r="DU635">
            <v>425.44</v>
          </cell>
          <cell r="DV635">
            <v>511.7</v>
          </cell>
          <cell r="EB635">
            <v>497.6</v>
          </cell>
          <cell r="ED635">
            <v>927.3</v>
          </cell>
          <cell r="EE635">
            <v>145</v>
          </cell>
          <cell r="EK635">
            <v>159.6</v>
          </cell>
          <cell r="EM635">
            <v>927.3</v>
          </cell>
          <cell r="EN635">
            <v>0.9</v>
          </cell>
          <cell r="ER635">
            <v>46.37</v>
          </cell>
        </row>
        <row r="636">
          <cell r="A636">
            <v>26</v>
          </cell>
          <cell r="B636" t="str">
            <v>SRM</v>
          </cell>
          <cell r="C636" t="str">
            <v>FM</v>
          </cell>
          <cell r="D636" t="str">
            <v>SCPS-HLL</v>
          </cell>
          <cell r="E636" t="str">
            <v>SCPS-HLL</v>
          </cell>
        </row>
        <row r="637">
          <cell r="A637">
            <v>27</v>
          </cell>
          <cell r="B637" t="str">
            <v>SRM</v>
          </cell>
          <cell r="C637" t="str">
            <v>FM</v>
          </cell>
          <cell r="D637" t="str">
            <v>SMUSTARD OIL</v>
          </cell>
          <cell r="E637" t="str">
            <v>SMUSTARD OIL</v>
          </cell>
          <cell r="EB637">
            <v>54.72</v>
          </cell>
          <cell r="EG637">
            <v>116.16800000000001</v>
          </cell>
          <cell r="EK637">
            <v>111.15</v>
          </cell>
          <cell r="EN637">
            <v>76.5</v>
          </cell>
          <cell r="EP637">
            <v>209.16800000000001</v>
          </cell>
          <cell r="ER637">
            <v>361.03999999999996</v>
          </cell>
        </row>
        <row r="638">
          <cell r="A638">
            <v>28</v>
          </cell>
          <cell r="B638" t="str">
            <v>SRM</v>
          </cell>
          <cell r="C638" t="str">
            <v>FM</v>
          </cell>
          <cell r="D638" t="str">
            <v>SMUSTARD OIL-EXPELLER</v>
          </cell>
          <cell r="E638" t="str">
            <v>SMUSTARD OIL-EXPELLER</v>
          </cell>
          <cell r="I638">
            <v>373.78</v>
          </cell>
          <cell r="K638">
            <v>90.191999999999993</v>
          </cell>
          <cell r="M638">
            <v>95.54</v>
          </cell>
          <cell r="R638">
            <v>316.3</v>
          </cell>
          <cell r="T638">
            <v>3.0619999999999998</v>
          </cell>
          <cell r="V638">
            <v>125.28</v>
          </cell>
          <cell r="AC638">
            <v>3.0619999999999998</v>
          </cell>
          <cell r="AL638">
            <v>3.0619999999999998</v>
          </cell>
          <cell r="AU638">
            <v>3.0619999999999998</v>
          </cell>
          <cell r="BD638">
            <v>3.0619999999999998</v>
          </cell>
          <cell r="BM638">
            <v>3.0619999999999998</v>
          </cell>
          <cell r="BV638">
            <v>3.0619999999999998</v>
          </cell>
          <cell r="CE638">
            <v>3.0619999999999998</v>
          </cell>
          <cell r="CN638">
            <v>3.0619999999999998</v>
          </cell>
          <cell r="CW638">
            <v>3.0619999999999998</v>
          </cell>
          <cell r="DF638">
            <v>3.0619999999999998</v>
          </cell>
          <cell r="DO638">
            <v>3.0619999999999998</v>
          </cell>
          <cell r="DX638">
            <v>3.0619999999999998</v>
          </cell>
        </row>
        <row r="639">
          <cell r="D639" t="str">
            <v>SRM TOTAL</v>
          </cell>
          <cell r="E639" t="str">
            <v>SRM TOTAL</v>
          </cell>
          <cell r="F639">
            <v>274.29599999999999</v>
          </cell>
          <cell r="G639">
            <v>656.18189999999993</v>
          </cell>
          <cell r="H639">
            <v>727.16000000000008</v>
          </cell>
          <cell r="I639">
            <v>1230.68</v>
          </cell>
          <cell r="J639">
            <v>0</v>
          </cell>
          <cell r="K639">
            <v>1126.8110000000001</v>
          </cell>
          <cell r="L639">
            <v>0</v>
          </cell>
          <cell r="M639">
            <v>229.53000000000003</v>
          </cell>
          <cell r="N639">
            <v>0</v>
          </cell>
          <cell r="O639">
            <v>422.80799999999999</v>
          </cell>
          <cell r="P639">
            <v>663.70519999999999</v>
          </cell>
          <cell r="Q639">
            <v>547.66</v>
          </cell>
          <cell r="R639">
            <v>1294.7</v>
          </cell>
          <cell r="S639">
            <v>0</v>
          </cell>
          <cell r="T639">
            <v>1325.6909999999998</v>
          </cell>
          <cell r="U639">
            <v>0</v>
          </cell>
          <cell r="V639">
            <v>972.79</v>
          </cell>
          <cell r="W639">
            <v>0</v>
          </cell>
          <cell r="X639">
            <v>370.8</v>
          </cell>
          <cell r="Y639">
            <v>15.3</v>
          </cell>
          <cell r="Z639">
            <v>349.72999999999996</v>
          </cell>
          <cell r="AA639">
            <v>681.2</v>
          </cell>
          <cell r="AB639">
            <v>0</v>
          </cell>
          <cell r="AC639">
            <v>1718.1509999999998</v>
          </cell>
          <cell r="AD639">
            <v>0</v>
          </cell>
          <cell r="AE639">
            <v>982.71</v>
          </cell>
          <cell r="AF639">
            <v>0</v>
          </cell>
          <cell r="AG639">
            <v>512.88</v>
          </cell>
          <cell r="AH639">
            <v>94.86</v>
          </cell>
          <cell r="AI639">
            <v>524.91</v>
          </cell>
          <cell r="AJ639">
            <v>1002.1300000000001</v>
          </cell>
          <cell r="AK639">
            <v>0</v>
          </cell>
          <cell r="AL639">
            <v>1987.3910000000001</v>
          </cell>
          <cell r="AM639">
            <v>0</v>
          </cell>
          <cell r="AN639">
            <v>655.93000000000006</v>
          </cell>
          <cell r="AO639">
            <v>0</v>
          </cell>
          <cell r="AP639">
            <v>493.2</v>
          </cell>
          <cell r="AQ639">
            <v>263.16000000000003</v>
          </cell>
          <cell r="AR639">
            <v>878.49</v>
          </cell>
          <cell r="AS639">
            <v>371</v>
          </cell>
          <cell r="AT639">
            <v>0</v>
          </cell>
          <cell r="AU639">
            <v>846.57600000000002</v>
          </cell>
          <cell r="AV639">
            <v>0</v>
          </cell>
          <cell r="AW639">
            <v>788.49</v>
          </cell>
          <cell r="AX639">
            <v>0</v>
          </cell>
          <cell r="AY639">
            <v>427.065</v>
          </cell>
          <cell r="AZ639">
            <v>232.56</v>
          </cell>
          <cell r="BA639">
            <v>144.93</v>
          </cell>
          <cell r="BB639">
            <v>620.5</v>
          </cell>
          <cell r="BC639">
            <v>0</v>
          </cell>
          <cell r="BD639">
            <v>348.161</v>
          </cell>
          <cell r="BE639">
            <v>0</v>
          </cell>
          <cell r="BF639">
            <v>381.39</v>
          </cell>
          <cell r="BG639">
            <v>0</v>
          </cell>
          <cell r="BH639">
            <v>564.18000000000006</v>
          </cell>
          <cell r="BI639">
            <v>134.63999999999999</v>
          </cell>
          <cell r="BJ639">
            <v>97.48</v>
          </cell>
          <cell r="BK639">
            <v>507.8</v>
          </cell>
          <cell r="BL639">
            <v>0</v>
          </cell>
          <cell r="BM639">
            <v>237.47100000000003</v>
          </cell>
          <cell r="BN639">
            <v>0</v>
          </cell>
          <cell r="BO639">
            <v>62</v>
          </cell>
          <cell r="BP639">
            <v>0</v>
          </cell>
          <cell r="BQ639">
            <v>282.12</v>
          </cell>
          <cell r="BR639">
            <v>0</v>
          </cell>
          <cell r="BS639">
            <v>574.95999999999992</v>
          </cell>
          <cell r="BT639">
            <v>280.60000000000002</v>
          </cell>
          <cell r="BU639">
            <v>0</v>
          </cell>
          <cell r="BV639">
            <v>237.47100000000003</v>
          </cell>
          <cell r="BW639">
            <v>0</v>
          </cell>
          <cell r="BX639">
            <v>176.78</v>
          </cell>
          <cell r="BY639">
            <v>0</v>
          </cell>
          <cell r="BZ639">
            <v>658.62</v>
          </cell>
          <cell r="CA639">
            <v>0</v>
          </cell>
          <cell r="CB639">
            <v>366.59</v>
          </cell>
          <cell r="CC639">
            <v>917.7</v>
          </cell>
          <cell r="CD639">
            <v>0</v>
          </cell>
          <cell r="CE639">
            <v>698.66200000000003</v>
          </cell>
          <cell r="CF639">
            <v>0</v>
          </cell>
          <cell r="CG639">
            <v>883.69</v>
          </cell>
          <cell r="CH639">
            <v>0</v>
          </cell>
          <cell r="CI639">
            <v>475.16999999999996</v>
          </cell>
          <cell r="CJ639">
            <v>0</v>
          </cell>
          <cell r="CK639">
            <v>425.96999999999997</v>
          </cell>
          <cell r="CL639">
            <v>1083.5999999999999</v>
          </cell>
          <cell r="CM639">
            <v>0</v>
          </cell>
          <cell r="CN639">
            <v>1159.5149999999999</v>
          </cell>
          <cell r="CO639">
            <v>0</v>
          </cell>
          <cell r="CP639">
            <v>0</v>
          </cell>
          <cell r="CQ639">
            <v>0</v>
          </cell>
          <cell r="CR639">
            <v>602.86</v>
          </cell>
          <cell r="CS639">
            <v>0</v>
          </cell>
          <cell r="CT639">
            <v>425.96999999999997</v>
          </cell>
          <cell r="CU639">
            <v>685.30000000000007</v>
          </cell>
          <cell r="CV639">
            <v>0</v>
          </cell>
          <cell r="CW639">
            <v>1358.3609999999999</v>
          </cell>
          <cell r="CX639">
            <v>0</v>
          </cell>
          <cell r="CY639">
            <v>407.83</v>
          </cell>
          <cell r="CZ639">
            <v>0</v>
          </cell>
          <cell r="DA639">
            <v>643.36</v>
          </cell>
          <cell r="DB639">
            <v>39.78</v>
          </cell>
          <cell r="DC639">
            <v>425.96999999999997</v>
          </cell>
          <cell r="DD639">
            <v>924.6</v>
          </cell>
          <cell r="DE639">
            <v>0</v>
          </cell>
          <cell r="DF639">
            <v>1302.5249999999999</v>
          </cell>
          <cell r="DG639">
            <v>0</v>
          </cell>
          <cell r="DH639">
            <v>837.94</v>
          </cell>
          <cell r="DI639">
            <v>0</v>
          </cell>
          <cell r="DJ639">
            <v>391.86</v>
          </cell>
          <cell r="DK639">
            <v>16.564499999999999</v>
          </cell>
          <cell r="DL639">
            <v>425.96999999999997</v>
          </cell>
          <cell r="DM639">
            <v>792.1</v>
          </cell>
          <cell r="DN639">
            <v>0</v>
          </cell>
          <cell r="DO639">
            <v>1815.877</v>
          </cell>
          <cell r="DP639">
            <v>0</v>
          </cell>
          <cell r="DQ639">
            <v>436.91</v>
          </cell>
          <cell r="DR639">
            <v>0</v>
          </cell>
          <cell r="DS639">
            <v>70.8</v>
          </cell>
          <cell r="DT639">
            <v>311.41260000000005</v>
          </cell>
          <cell r="DU639">
            <v>425.44</v>
          </cell>
          <cell r="DV639">
            <v>992.2</v>
          </cell>
          <cell r="DW639">
            <v>0</v>
          </cell>
          <cell r="DX639">
            <v>2515.2339999999999</v>
          </cell>
          <cell r="DY639">
            <v>0</v>
          </cell>
          <cell r="DZ639">
            <v>65.36</v>
          </cell>
          <cell r="EA639">
            <v>0</v>
          </cell>
          <cell r="EB639">
            <v>552.32000000000005</v>
          </cell>
          <cell r="EC639">
            <v>311.41260000000005</v>
          </cell>
          <cell r="ED639">
            <v>927.3</v>
          </cell>
          <cell r="EE639">
            <v>751.6</v>
          </cell>
          <cell r="EF639">
            <v>0</v>
          </cell>
          <cell r="EG639">
            <v>3083.1729999999998</v>
          </cell>
          <cell r="EH639">
            <v>0</v>
          </cell>
          <cell r="EI639">
            <v>0</v>
          </cell>
          <cell r="EJ639">
            <v>0</v>
          </cell>
          <cell r="EK639">
            <v>357.15</v>
          </cell>
          <cell r="EL639">
            <v>309.20400000000001</v>
          </cell>
          <cell r="EM639">
            <v>927.3</v>
          </cell>
          <cell r="EN639">
            <v>903.19999999999993</v>
          </cell>
          <cell r="EO639">
            <v>0</v>
          </cell>
          <cell r="EP639">
            <v>4021.1240000000003</v>
          </cell>
          <cell r="EQ639">
            <v>0</v>
          </cell>
          <cell r="ER639">
            <v>407.40999999999997</v>
          </cell>
          <cell r="ES639">
            <v>0</v>
          </cell>
        </row>
        <row r="640">
          <cell r="A640" t="str">
            <v>IN-PROCESS FATTY ACIDS</v>
          </cell>
        </row>
        <row r="641">
          <cell r="A641">
            <v>29</v>
          </cell>
          <cell r="B641" t="str">
            <v>IPRM</v>
          </cell>
          <cell r="C641" t="str">
            <v>FM</v>
          </cell>
          <cell r="D641" t="str">
            <v>B/PSCPKO&gt;C14</v>
          </cell>
          <cell r="E641" t="str">
            <v xml:space="preserve">B/P PKO </v>
          </cell>
          <cell r="F641">
            <v>76.44</v>
          </cell>
          <cell r="O641">
            <v>62.712000000000003</v>
          </cell>
          <cell r="P641">
            <v>63.432000000000009</v>
          </cell>
          <cell r="R641">
            <v>84.6</v>
          </cell>
          <cell r="Y641">
            <v>252.61794000000003</v>
          </cell>
          <cell r="AA641">
            <v>58.9</v>
          </cell>
          <cell r="AE641">
            <v>14.67</v>
          </cell>
          <cell r="AH641">
            <v>117.34920000000001</v>
          </cell>
          <cell r="AQ641">
            <v>362.35530000000006</v>
          </cell>
          <cell r="AS641">
            <v>205</v>
          </cell>
          <cell r="AZ641">
            <v>307.64519999999999</v>
          </cell>
          <cell r="BB641">
            <v>229.9</v>
          </cell>
          <cell r="BF641">
            <v>53.14</v>
          </cell>
          <cell r="BI641">
            <v>273.7278</v>
          </cell>
          <cell r="BK641">
            <v>3.7</v>
          </cell>
          <cell r="CJ641">
            <v>490.01220000000001</v>
          </cell>
          <cell r="CL641">
            <v>123.2</v>
          </cell>
          <cell r="CS641">
            <v>380.59200000000004</v>
          </cell>
          <cell r="CU641">
            <v>25.8</v>
          </cell>
          <cell r="CY641">
            <v>35.79</v>
          </cell>
          <cell r="DB641">
            <v>277.51499999999999</v>
          </cell>
          <cell r="DD641">
            <v>136.1</v>
          </cell>
          <cell r="DH641">
            <v>49.78</v>
          </cell>
          <cell r="DK641">
            <v>371.0772</v>
          </cell>
          <cell r="DM641">
            <v>33.1</v>
          </cell>
          <cell r="DQ641">
            <v>68.91</v>
          </cell>
          <cell r="DT641">
            <v>621.63360000000011</v>
          </cell>
          <cell r="DV641">
            <v>145.30000000000001</v>
          </cell>
          <cell r="EC641">
            <v>375.83460000000002</v>
          </cell>
          <cell r="EL641">
            <v>375.83460000000002</v>
          </cell>
        </row>
        <row r="642">
          <cell r="A642">
            <v>30</v>
          </cell>
          <cell r="B642" t="str">
            <v>IPRM</v>
          </cell>
          <cell r="C642" t="str">
            <v>FM</v>
          </cell>
          <cell r="D642" t="str">
            <v>B/P CNO&gt;C14</v>
          </cell>
          <cell r="E642" t="str">
            <v>B/P CNO&gt;C14</v>
          </cell>
        </row>
        <row r="643">
          <cell r="A643">
            <v>31</v>
          </cell>
          <cell r="B643" t="str">
            <v>IPRM</v>
          </cell>
          <cell r="C643" t="str">
            <v>FM</v>
          </cell>
          <cell r="D643" t="str">
            <v>SB/PSCPKO&gt;C14</v>
          </cell>
          <cell r="E643" t="str">
            <v>S B/P PKO</v>
          </cell>
          <cell r="Y643">
            <v>6.3432000000000004</v>
          </cell>
          <cell r="AH643">
            <v>137.96460000000002</v>
          </cell>
          <cell r="AQ643">
            <v>14.272200000000002</v>
          </cell>
          <cell r="AZ643">
            <v>434.50920000000002</v>
          </cell>
          <cell r="BI643">
            <v>621.63360000000011</v>
          </cell>
          <cell r="BQ643">
            <v>40.247999999999998</v>
          </cell>
          <cell r="BR643">
            <v>386.93520000000001</v>
          </cell>
          <cell r="CA643">
            <v>217.25460000000001</v>
          </cell>
          <cell r="CJ643">
            <v>14.272200000000002</v>
          </cell>
          <cell r="CS643">
            <v>372.66300000000007</v>
          </cell>
          <cell r="DB643">
            <v>96.733800000000002</v>
          </cell>
          <cell r="DD643">
            <v>498.8</v>
          </cell>
          <cell r="DK643">
            <v>402.79320000000001</v>
          </cell>
          <cell r="DM643">
            <v>613.9</v>
          </cell>
          <cell r="DT643">
            <v>224.39070000000001</v>
          </cell>
          <cell r="DV643">
            <v>608.4</v>
          </cell>
          <cell r="EB643">
            <v>137.61000000000001</v>
          </cell>
          <cell r="EC643">
            <v>131.62140000000002</v>
          </cell>
        </row>
        <row r="644">
          <cell r="A644">
            <v>32</v>
          </cell>
          <cell r="B644" t="str">
            <v>IPRM</v>
          </cell>
          <cell r="C644" t="str">
            <v>FM</v>
          </cell>
          <cell r="D644" t="str">
            <v>B/PSCNO&gt;C14</v>
          </cell>
          <cell r="E644" t="str">
            <v>S B/P CNO</v>
          </cell>
        </row>
        <row r="645">
          <cell r="A645">
            <v>33</v>
          </cell>
          <cell r="B645" t="str">
            <v>IPRM</v>
          </cell>
          <cell r="C645" t="str">
            <v>SM</v>
          </cell>
          <cell r="D645" t="str">
            <v>B/PSCPKO&gt;C16</v>
          </cell>
          <cell r="E645" t="str">
            <v>B/P&gt;C16 - OLEIC K</v>
          </cell>
          <cell r="DV645">
            <v>67.400000000000006</v>
          </cell>
        </row>
        <row r="646">
          <cell r="A646">
            <v>34</v>
          </cell>
          <cell r="B646" t="str">
            <v>IPRM</v>
          </cell>
          <cell r="C646" t="str">
            <v>SM</v>
          </cell>
          <cell r="D646" t="str">
            <v>HYD C16/C18 FOR DTP-7</v>
          </cell>
          <cell r="E646" t="str">
            <v>HYD C16/C18 FOR DTP-7</v>
          </cell>
        </row>
        <row r="647">
          <cell r="A647">
            <v>35</v>
          </cell>
          <cell r="B647" t="str">
            <v>IPRM</v>
          </cell>
          <cell r="C647" t="str">
            <v>NM</v>
          </cell>
          <cell r="D647" t="str">
            <v>L/E PKO(C6-C8)-C6@65%</v>
          </cell>
          <cell r="E647" t="str">
            <v>C6&gt;50%</v>
          </cell>
        </row>
        <row r="648">
          <cell r="A648">
            <v>36</v>
          </cell>
          <cell r="B648" t="str">
            <v>IPRM</v>
          </cell>
          <cell r="C648" t="str">
            <v>FM</v>
          </cell>
          <cell r="D648" t="str">
            <v>L/E PKO(C6-C12)</v>
          </cell>
          <cell r="E648" t="str">
            <v>TALOJA</v>
          </cell>
          <cell r="F648">
            <v>15.5855</v>
          </cell>
          <cell r="I648">
            <v>142.19999999999999</v>
          </cell>
          <cell r="O648">
            <v>22.7395</v>
          </cell>
          <cell r="P648">
            <v>299.09729999999996</v>
          </cell>
          <cell r="Y648">
            <v>551.17379999999991</v>
          </cell>
          <cell r="AP648">
            <v>4.8544999999999998</v>
          </cell>
          <cell r="AZ648">
            <v>530.03189999999995</v>
          </cell>
          <cell r="BB648">
            <v>70</v>
          </cell>
          <cell r="BI648">
            <v>424.32239999999996</v>
          </cell>
          <cell r="BQ648">
            <v>4.8099999999999996</v>
          </cell>
          <cell r="BR648">
            <v>442.21170000000001</v>
          </cell>
          <cell r="CA648">
            <v>453.5958</v>
          </cell>
          <cell r="CI648">
            <v>21</v>
          </cell>
          <cell r="DB648">
            <v>88.095060000000004</v>
          </cell>
          <cell r="DK648">
            <v>268.86816000000005</v>
          </cell>
          <cell r="DS648">
            <v>21.92</v>
          </cell>
          <cell r="DT648">
            <v>165.32676000000001</v>
          </cell>
          <cell r="DZ648">
            <v>13.9</v>
          </cell>
        </row>
        <row r="649">
          <cell r="A649">
            <v>37</v>
          </cell>
          <cell r="B649" t="str">
            <v>IPRM</v>
          </cell>
          <cell r="C649" t="str">
            <v>FM</v>
          </cell>
          <cell r="D649" t="str">
            <v>HYD.L/EPKO(C6-C12)</v>
          </cell>
          <cell r="E649" t="str">
            <v>H L/E PKO</v>
          </cell>
          <cell r="G649">
            <v>183.17500000000001</v>
          </cell>
          <cell r="H649">
            <v>678.31</v>
          </cell>
          <cell r="P649">
            <v>182.32499999999999</v>
          </cell>
          <cell r="Q649">
            <v>678.31</v>
          </cell>
          <cell r="Y649">
            <v>187.85</v>
          </cell>
          <cell r="Z649">
            <v>678.31</v>
          </cell>
          <cell r="AG649">
            <v>93.872</v>
          </cell>
          <cell r="AH649">
            <v>187.85</v>
          </cell>
          <cell r="AI649">
            <v>678.31</v>
          </cell>
          <cell r="AR649">
            <v>678.31</v>
          </cell>
          <cell r="BA649">
            <v>678.31</v>
          </cell>
          <cell r="BH649">
            <v>57.42</v>
          </cell>
          <cell r="BI649">
            <v>280.07499999999999</v>
          </cell>
          <cell r="BJ649">
            <v>678.31</v>
          </cell>
          <cell r="BS649">
            <v>678.31</v>
          </cell>
          <cell r="CB649">
            <v>678.31</v>
          </cell>
          <cell r="CI649">
            <v>122.9</v>
          </cell>
          <cell r="CK649">
            <v>587.84</v>
          </cell>
          <cell r="CS649">
            <v>153</v>
          </cell>
          <cell r="CT649">
            <v>587.84</v>
          </cell>
          <cell r="DB649">
            <v>152.15</v>
          </cell>
          <cell r="DC649">
            <v>587.84</v>
          </cell>
          <cell r="DK649">
            <v>151.72499999999999</v>
          </cell>
          <cell r="DL649">
            <v>587.84</v>
          </cell>
          <cell r="DS649">
            <v>59.688000000000002</v>
          </cell>
          <cell r="DT649">
            <v>155.55000000000001</v>
          </cell>
          <cell r="DU649">
            <v>587.84</v>
          </cell>
          <cell r="ED649">
            <v>587.84</v>
          </cell>
          <cell r="EK649">
            <v>101.4</v>
          </cell>
          <cell r="EL649">
            <v>100.3</v>
          </cell>
          <cell r="EM649">
            <v>381.61</v>
          </cell>
        </row>
        <row r="650">
          <cell r="A650">
            <v>38</v>
          </cell>
          <cell r="B650" t="str">
            <v>IPRM</v>
          </cell>
          <cell r="C650" t="str">
            <v>FM</v>
          </cell>
          <cell r="D650" t="str">
            <v>L/E PKO(C8-C12)</v>
          </cell>
          <cell r="E650" t="str">
            <v>L/E PKO</v>
          </cell>
          <cell r="G650">
            <v>268.19759999999997</v>
          </cell>
          <cell r="R650">
            <v>168.8</v>
          </cell>
          <cell r="AA650">
            <v>91.3</v>
          </cell>
          <cell r="AG650">
            <v>7</v>
          </cell>
          <cell r="AH650">
            <v>396.67529999999999</v>
          </cell>
          <cell r="AJ650">
            <v>262.72199999999998</v>
          </cell>
          <cell r="AQ650">
            <v>430.82759999999996</v>
          </cell>
          <cell r="AS650">
            <v>130.9</v>
          </cell>
          <cell r="BB650">
            <v>227</v>
          </cell>
          <cell r="BR650">
            <v>282.2</v>
          </cell>
          <cell r="BT650">
            <v>7.3</v>
          </cell>
          <cell r="CC650">
            <v>7.3</v>
          </cell>
          <cell r="CL650">
            <v>80</v>
          </cell>
          <cell r="CU650">
            <v>122</v>
          </cell>
          <cell r="DD650">
            <v>111.5</v>
          </cell>
          <cell r="DM650">
            <v>51.7</v>
          </cell>
        </row>
        <row r="651">
          <cell r="A651">
            <v>39</v>
          </cell>
          <cell r="B651" t="str">
            <v>IPRM</v>
          </cell>
          <cell r="C651" t="str">
            <v>FM</v>
          </cell>
          <cell r="D651" t="str">
            <v>L/E PKO(C10-C12)</v>
          </cell>
          <cell r="E651" t="str">
            <v>B/P OF C8 H</v>
          </cell>
          <cell r="G651">
            <v>650.178</v>
          </cell>
          <cell r="P651">
            <v>650.178</v>
          </cell>
          <cell r="Y651">
            <v>650.178</v>
          </cell>
          <cell r="AG651">
            <v>50.231999999999999</v>
          </cell>
          <cell r="AH651">
            <v>650.178</v>
          </cell>
          <cell r="AP651">
            <v>12.792</v>
          </cell>
          <cell r="AQ651">
            <v>815.93</v>
          </cell>
          <cell r="AZ651">
            <v>741.98</v>
          </cell>
          <cell r="BH651">
            <v>72.384</v>
          </cell>
          <cell r="BI651">
            <v>650.178</v>
          </cell>
          <cell r="BR651">
            <v>650.178</v>
          </cell>
          <cell r="CA651">
            <v>650.178</v>
          </cell>
          <cell r="CI651">
            <v>21.84</v>
          </cell>
          <cell r="CJ651">
            <v>1028.6879999999999</v>
          </cell>
          <cell r="CS651">
            <v>1051.7280000000001</v>
          </cell>
          <cell r="DB651">
            <v>1051.73</v>
          </cell>
          <cell r="DK651">
            <v>1048.4780000000001</v>
          </cell>
          <cell r="DS651">
            <v>56.783999999999999</v>
          </cell>
          <cell r="DT651">
            <v>1048.4780000000001</v>
          </cell>
          <cell r="EB651">
            <v>4.3680000000000003</v>
          </cell>
          <cell r="EC651">
            <v>1173.7080000000001</v>
          </cell>
          <cell r="EL651">
            <v>1217.6179999999999</v>
          </cell>
        </row>
        <row r="652">
          <cell r="A652">
            <v>40</v>
          </cell>
          <cell r="B652" t="str">
            <v>IPRM</v>
          </cell>
          <cell r="C652" t="str">
            <v>FM</v>
          </cell>
          <cell r="D652" t="str">
            <v>C12+C14+C16-PKO/CNO</v>
          </cell>
          <cell r="E652" t="str">
            <v>C12+C14+C16-PKO/CNO</v>
          </cell>
        </row>
        <row r="653">
          <cell r="A653">
            <v>41</v>
          </cell>
          <cell r="B653" t="str">
            <v>IPRM</v>
          </cell>
          <cell r="C653" t="str">
            <v>FM</v>
          </cell>
          <cell r="D653" t="str">
            <v>C14+C16(C14~60)</v>
          </cell>
          <cell r="E653" t="str">
            <v>C14+C16(C14~60)</v>
          </cell>
        </row>
        <row r="654">
          <cell r="A654">
            <v>42</v>
          </cell>
          <cell r="B654" t="str">
            <v>IPRM</v>
          </cell>
          <cell r="C654" t="str">
            <v>FM</v>
          </cell>
          <cell r="D654" t="str">
            <v>C14+C16+C18(C16@65%)</v>
          </cell>
          <cell r="E654" t="str">
            <v>C14+C16+C18(C16@65%)</v>
          </cell>
        </row>
        <row r="655">
          <cell r="A655">
            <v>43</v>
          </cell>
          <cell r="B655" t="str">
            <v>IPRM</v>
          </cell>
          <cell r="C655" t="str">
            <v>FM</v>
          </cell>
          <cell r="D655" t="str">
            <v>C16+C18-PFAD/PKO(C16@80%)</v>
          </cell>
          <cell r="E655" t="str">
            <v>C16+C18-PFAD/PKO(C16@80%)</v>
          </cell>
        </row>
        <row r="656">
          <cell r="A656">
            <v>44</v>
          </cell>
          <cell r="B656" t="str">
            <v>IPRM</v>
          </cell>
          <cell r="C656" t="str">
            <v>NM</v>
          </cell>
          <cell r="D656" t="str">
            <v>L/E'S OF  S.B</v>
          </cell>
          <cell r="E656" t="str">
            <v>L/E'S OF  S.B</v>
          </cell>
          <cell r="F656">
            <v>10.907</v>
          </cell>
          <cell r="G656">
            <v>966.93</v>
          </cell>
          <cell r="H656">
            <v>14.59</v>
          </cell>
          <cell r="M656">
            <v>14.5</v>
          </cell>
          <cell r="O656">
            <v>10.907</v>
          </cell>
          <cell r="Q656">
            <v>14.59</v>
          </cell>
          <cell r="R656">
            <v>109</v>
          </cell>
          <cell r="X656">
            <v>10.907</v>
          </cell>
          <cell r="Z656">
            <v>14.59</v>
          </cell>
          <cell r="AA656">
            <v>89</v>
          </cell>
          <cell r="AG656">
            <v>10.907</v>
          </cell>
          <cell r="AP656">
            <v>10.907</v>
          </cell>
          <cell r="AR656">
            <v>14.59</v>
          </cell>
          <cell r="AS656">
            <v>80</v>
          </cell>
          <cell r="AY656">
            <v>10.907</v>
          </cell>
          <cell r="AZ656">
            <v>987.92</v>
          </cell>
          <cell r="BA656">
            <v>14.59</v>
          </cell>
          <cell r="BH656">
            <v>10.91</v>
          </cell>
          <cell r="BJ656">
            <v>14.59</v>
          </cell>
          <cell r="BQ656">
            <v>11.265499999999999</v>
          </cell>
          <cell r="BS656">
            <v>14.59</v>
          </cell>
          <cell r="BT656">
            <v>94</v>
          </cell>
          <cell r="BZ656">
            <v>11.265499999999999</v>
          </cell>
          <cell r="CB656">
            <v>14.59</v>
          </cell>
          <cell r="CC656">
            <v>108</v>
          </cell>
          <cell r="CI656">
            <v>11.265499999999999</v>
          </cell>
          <cell r="CK656">
            <v>14.59</v>
          </cell>
          <cell r="CL656">
            <v>67</v>
          </cell>
          <cell r="CR656">
            <v>11.265499999999999</v>
          </cell>
          <cell r="CT656">
            <v>14.59</v>
          </cell>
          <cell r="CU656">
            <v>63</v>
          </cell>
          <cell r="CY656">
            <v>14.55</v>
          </cell>
          <cell r="DA656">
            <v>11.265499999999999</v>
          </cell>
          <cell r="DC656">
            <v>14.59</v>
          </cell>
          <cell r="DD656">
            <v>55</v>
          </cell>
          <cell r="DJ656">
            <v>11.265499999999999</v>
          </cell>
          <cell r="DL656">
            <v>14.59</v>
          </cell>
          <cell r="DM656">
            <v>45</v>
          </cell>
          <cell r="DQ656">
            <v>14.81</v>
          </cell>
          <cell r="DS656">
            <v>11.265499999999999</v>
          </cell>
          <cell r="DU656">
            <v>14.59</v>
          </cell>
          <cell r="DV656">
            <v>68</v>
          </cell>
          <cell r="EB656">
            <v>10.548500000000001</v>
          </cell>
          <cell r="ED656">
            <v>14.59</v>
          </cell>
          <cell r="EE656">
            <v>80</v>
          </cell>
          <cell r="EK656">
            <v>10.548500000000001</v>
          </cell>
          <cell r="EM656">
            <v>14.59</v>
          </cell>
          <cell r="EN656">
            <v>58</v>
          </cell>
        </row>
        <row r="657">
          <cell r="A657">
            <v>45</v>
          </cell>
          <cell r="B657" t="str">
            <v>IPRM</v>
          </cell>
          <cell r="C657" t="str">
            <v>NM</v>
          </cell>
          <cell r="D657" t="str">
            <v>BAD C8/C10</v>
          </cell>
          <cell r="E657" t="str">
            <v>BAD C8/C10</v>
          </cell>
          <cell r="P657">
            <v>966.93000000000006</v>
          </cell>
          <cell r="Y657">
            <v>988.15899999999999</v>
          </cell>
          <cell r="AH657">
            <v>988.15899999999999</v>
          </cell>
          <cell r="AQ657">
            <v>752.46</v>
          </cell>
          <cell r="BI657">
            <v>1026.1400000000001</v>
          </cell>
          <cell r="BR657">
            <v>1023.081</v>
          </cell>
          <cell r="BZ657">
            <v>6.3875000000000002</v>
          </cell>
          <cell r="CA657">
            <v>1309.6999999999998</v>
          </cell>
          <cell r="CJ657">
            <v>1030.56</v>
          </cell>
          <cell r="CS657">
            <v>1029.46</v>
          </cell>
          <cell r="DB657">
            <v>1049.77</v>
          </cell>
          <cell r="DK657">
            <v>1064.3800000000001</v>
          </cell>
          <cell r="DT657">
            <v>1064.3800000000001</v>
          </cell>
          <cell r="EB657">
            <v>15.17</v>
          </cell>
          <cell r="EC657">
            <v>1080.684</v>
          </cell>
          <cell r="EL657">
            <v>1124.01</v>
          </cell>
        </row>
        <row r="658">
          <cell r="A658">
            <v>46</v>
          </cell>
          <cell r="B658" t="str">
            <v>IPRM</v>
          </cell>
          <cell r="C658" t="str">
            <v>FM</v>
          </cell>
          <cell r="D658" t="str">
            <v>L/E PKO(C12@80%)</v>
          </cell>
          <cell r="E658" t="str">
            <v>B/P OF C10</v>
          </cell>
          <cell r="AP658">
            <v>66.768000000000001</v>
          </cell>
          <cell r="EB658">
            <v>68.016000000000005</v>
          </cell>
          <cell r="EL658">
            <v>45.988200000000006</v>
          </cell>
        </row>
        <row r="659">
          <cell r="A659">
            <v>47</v>
          </cell>
          <cell r="B659" t="str">
            <v>IPRM</v>
          </cell>
          <cell r="C659" t="str">
            <v>NM</v>
          </cell>
          <cell r="D659" t="str">
            <v>DAG-MCT</v>
          </cell>
          <cell r="E659" t="str">
            <v>HYD DEAC MCT</v>
          </cell>
          <cell r="G659">
            <v>568.79</v>
          </cell>
          <cell r="H659">
            <v>26.38</v>
          </cell>
          <cell r="P659">
            <v>568.79</v>
          </cell>
          <cell r="Q659">
            <v>26.38</v>
          </cell>
          <cell r="Y659">
            <v>568.79</v>
          </cell>
          <cell r="Z659">
            <v>26.38</v>
          </cell>
          <cell r="AH659">
            <v>568.79</v>
          </cell>
          <cell r="AI659">
            <v>26.38</v>
          </cell>
          <cell r="AQ659">
            <v>568.79</v>
          </cell>
          <cell r="AR659">
            <v>26.38</v>
          </cell>
          <cell r="AZ659">
            <v>568.79</v>
          </cell>
          <cell r="BA659">
            <v>26.38</v>
          </cell>
          <cell r="BI659">
            <v>568.79</v>
          </cell>
          <cell r="BJ659">
            <v>26.38</v>
          </cell>
          <cell r="BR659">
            <v>568.79</v>
          </cell>
          <cell r="BS659">
            <v>26.38</v>
          </cell>
          <cell r="CA659">
            <v>568.79</v>
          </cell>
          <cell r="CB659">
            <v>26.38</v>
          </cell>
          <cell r="CJ659">
            <v>568.79</v>
          </cell>
          <cell r="CK659">
            <v>26.38</v>
          </cell>
          <cell r="CS659">
            <v>568.79</v>
          </cell>
          <cell r="CT659">
            <v>26.38</v>
          </cell>
          <cell r="DB659">
            <v>568.79</v>
          </cell>
          <cell r="DC659">
            <v>26.38</v>
          </cell>
          <cell r="DK659">
            <v>562.61599999999999</v>
          </cell>
          <cell r="DL659">
            <v>26.38</v>
          </cell>
          <cell r="DT659">
            <v>562.61599999999999</v>
          </cell>
          <cell r="DU659">
            <v>26.38</v>
          </cell>
          <cell r="EC659">
            <v>568.79</v>
          </cell>
          <cell r="ED659">
            <v>26.38</v>
          </cell>
          <cell r="EL659">
            <v>568.79</v>
          </cell>
          <cell r="EM659">
            <v>26.38</v>
          </cell>
        </row>
        <row r="660">
          <cell r="A660">
            <v>247</v>
          </cell>
          <cell r="B660" t="str">
            <v>IPRM</v>
          </cell>
          <cell r="C660" t="str">
            <v>NM</v>
          </cell>
          <cell r="D660" t="str">
            <v>D ACIDIFIED MCT</v>
          </cell>
          <cell r="E660" t="str">
            <v>D ACIDIFIED MCT</v>
          </cell>
        </row>
        <row r="661">
          <cell r="A661">
            <v>48</v>
          </cell>
          <cell r="B661" t="str">
            <v>IPRM</v>
          </cell>
          <cell r="C661" t="str">
            <v>SM</v>
          </cell>
          <cell r="D661" t="str">
            <v>PKORESIDUE</v>
          </cell>
          <cell r="E661" t="str">
            <v>PKORESIDUE</v>
          </cell>
          <cell r="G661">
            <v>191.63646000000003</v>
          </cell>
          <cell r="P661">
            <v>65.180160000000001</v>
          </cell>
          <cell r="Y661">
            <v>294.32916000000006</v>
          </cell>
          <cell r="AG661">
            <v>20.440000000000001</v>
          </cell>
          <cell r="AH661">
            <v>710.1549</v>
          </cell>
          <cell r="AI661">
            <v>44.02</v>
          </cell>
          <cell r="AP661">
            <v>14.5</v>
          </cell>
          <cell r="AQ661">
            <v>643.0788</v>
          </cell>
          <cell r="AR661">
            <v>44.02</v>
          </cell>
          <cell r="AY661">
            <v>9.9600000000000009</v>
          </cell>
          <cell r="BA661">
            <v>53.54</v>
          </cell>
          <cell r="BH661">
            <v>19.03</v>
          </cell>
          <cell r="BJ661">
            <v>53.54</v>
          </cell>
          <cell r="BQ661">
            <v>17.64</v>
          </cell>
          <cell r="BS661">
            <v>98.11</v>
          </cell>
          <cell r="BZ661">
            <v>17.502717999999998</v>
          </cell>
          <cell r="CB661">
            <v>123.52</v>
          </cell>
          <cell r="CK661">
            <v>149.19999999999999</v>
          </cell>
          <cell r="CR661">
            <v>19.135169999999999</v>
          </cell>
          <cell r="CT661">
            <v>149.19999999999999</v>
          </cell>
          <cell r="DA661">
            <v>19.135169999999999</v>
          </cell>
          <cell r="DC661">
            <v>149.19999999999999</v>
          </cell>
          <cell r="DL661">
            <v>164.19</v>
          </cell>
          <cell r="DU661">
            <v>180.19</v>
          </cell>
          <cell r="EC661">
            <v>72.399600000000007</v>
          </cell>
          <cell r="ED661">
            <v>180.19</v>
          </cell>
          <cell r="EE661">
            <v>41.6</v>
          </cell>
          <cell r="EM661">
            <v>339.47</v>
          </cell>
          <cell r="EN661">
            <v>10.8</v>
          </cell>
        </row>
        <row r="662">
          <cell r="A662">
            <v>49</v>
          </cell>
          <cell r="B662" t="str">
            <v>IPRM</v>
          </cell>
          <cell r="C662" t="str">
            <v>SM</v>
          </cell>
          <cell r="D662" t="str">
            <v>SPKORESIDUE</v>
          </cell>
          <cell r="E662" t="str">
            <v>SPKORESIDUE</v>
          </cell>
          <cell r="G662">
            <v>632.43180000000007</v>
          </cell>
          <cell r="H662">
            <v>307.10000000000002</v>
          </cell>
          <cell r="P662">
            <v>654.52</v>
          </cell>
          <cell r="Q662">
            <v>462.32</v>
          </cell>
          <cell r="Y662">
            <v>667.56690000000003</v>
          </cell>
          <cell r="Z662">
            <v>462.32</v>
          </cell>
          <cell r="AI662">
            <v>462.32</v>
          </cell>
          <cell r="AR662">
            <v>462.32</v>
          </cell>
          <cell r="AZ662">
            <v>552.5793000000001</v>
          </cell>
          <cell r="BA662">
            <v>462.32</v>
          </cell>
          <cell r="BI662">
            <v>560.03219999999999</v>
          </cell>
          <cell r="BJ662">
            <v>462.32</v>
          </cell>
          <cell r="BR662">
            <v>506.79720000000003</v>
          </cell>
          <cell r="BS662">
            <v>462.32</v>
          </cell>
          <cell r="CA662">
            <v>374.77440000000001</v>
          </cell>
          <cell r="CB662">
            <v>462.32</v>
          </cell>
          <cell r="CJ662">
            <v>319.41000000000003</v>
          </cell>
          <cell r="CK662">
            <v>462.32</v>
          </cell>
          <cell r="CS662">
            <v>349.22159999999997</v>
          </cell>
          <cell r="CT662">
            <v>462.32</v>
          </cell>
          <cell r="DB662">
            <v>353.48040000000003</v>
          </cell>
          <cell r="DC662">
            <v>462.32</v>
          </cell>
          <cell r="DK662">
            <v>317.28059999999999</v>
          </cell>
          <cell r="DL662">
            <v>462.32</v>
          </cell>
          <cell r="DS662">
            <v>5.16317</v>
          </cell>
          <cell r="DT662">
            <v>270.43379999999996</v>
          </cell>
          <cell r="DU662">
            <v>462.32</v>
          </cell>
          <cell r="ED662">
            <v>462.32</v>
          </cell>
          <cell r="EL662">
            <v>100.0818</v>
          </cell>
        </row>
        <row r="663">
          <cell r="A663">
            <v>50</v>
          </cell>
          <cell r="B663" t="str">
            <v>IPRM</v>
          </cell>
          <cell r="C663" t="str">
            <v>SM</v>
          </cell>
          <cell r="D663" t="str">
            <v>DPKORESIDUE</v>
          </cell>
          <cell r="E663" t="str">
            <v>DPKORESIDUE</v>
          </cell>
          <cell r="BZ663">
            <v>7.9575699999999996</v>
          </cell>
          <cell r="CA663">
            <v>110.866</v>
          </cell>
          <cell r="EB663">
            <v>11.305</v>
          </cell>
        </row>
        <row r="664">
          <cell r="A664">
            <v>51</v>
          </cell>
          <cell r="B664" t="str">
            <v>IPRM</v>
          </cell>
          <cell r="C664" t="str">
            <v>FM</v>
          </cell>
          <cell r="D664" t="str">
            <v>SPFAD+DPKORESIDUE-DSB FEED</v>
          </cell>
          <cell r="E664" t="str">
            <v>SPFAD+DPKORESIDUE-DSB FEED</v>
          </cell>
          <cell r="F664">
            <v>508.72500000000002</v>
          </cell>
          <cell r="I664">
            <v>18.3</v>
          </cell>
          <cell r="O664">
            <v>482.22</v>
          </cell>
          <cell r="R664">
            <v>18.3</v>
          </cell>
          <cell r="Z664">
            <v>124.74</v>
          </cell>
          <cell r="AI664">
            <v>124.74</v>
          </cell>
          <cell r="AQ664">
            <v>617.69000000000005</v>
          </cell>
          <cell r="AT664">
            <v>367.71499999999997</v>
          </cell>
          <cell r="AZ664">
            <v>512.21339999999998</v>
          </cell>
          <cell r="BA664">
            <v>258.79000000000002</v>
          </cell>
          <cell r="BB664">
            <v>49.3</v>
          </cell>
          <cell r="BI664">
            <v>448.34580000000005</v>
          </cell>
          <cell r="BJ664">
            <v>5.93</v>
          </cell>
          <cell r="BK664">
            <v>60.3</v>
          </cell>
          <cell r="BL664">
            <v>132.51</v>
          </cell>
          <cell r="BR664">
            <v>519.02100000000007</v>
          </cell>
          <cell r="BS664">
            <v>5.93</v>
          </cell>
          <cell r="BT664">
            <v>60.3</v>
          </cell>
          <cell r="BU664">
            <v>233.63200000000001</v>
          </cell>
          <cell r="BZ664">
            <v>44.304000000000002</v>
          </cell>
          <cell r="CA664">
            <v>401.96520000000004</v>
          </cell>
          <cell r="CC664">
            <v>204.6</v>
          </cell>
          <cell r="CD664">
            <v>322.452</v>
          </cell>
          <cell r="CG664">
            <v>38.15</v>
          </cell>
          <cell r="CJ664">
            <v>560.98440000000005</v>
          </cell>
          <cell r="CK664">
            <v>57.23</v>
          </cell>
          <cell r="CL664">
            <v>341.6</v>
          </cell>
          <cell r="CM664">
            <v>287.358</v>
          </cell>
          <cell r="CP664">
            <v>254.39</v>
          </cell>
          <cell r="CS664">
            <v>437.30280000000005</v>
          </cell>
          <cell r="CT664">
            <v>100.97</v>
          </cell>
          <cell r="CU664">
            <v>354.4</v>
          </cell>
          <cell r="DB664">
            <v>309.20400000000001</v>
          </cell>
          <cell r="DC664">
            <v>57.23</v>
          </cell>
          <cell r="DD664">
            <v>361.7</v>
          </cell>
          <cell r="DK664">
            <v>192.1482</v>
          </cell>
          <cell r="DM664">
            <v>221.1</v>
          </cell>
          <cell r="DN664">
            <v>243.291</v>
          </cell>
          <cell r="DQ664">
            <v>84.51</v>
          </cell>
          <cell r="DT664">
            <v>613.99080000000004</v>
          </cell>
          <cell r="DU664">
            <v>14.47</v>
          </cell>
          <cell r="EC664">
            <v>294.84810000000004</v>
          </cell>
          <cell r="ED664">
            <v>14.47</v>
          </cell>
          <cell r="EL664">
            <v>618.40800000000002</v>
          </cell>
          <cell r="EM664">
            <v>190.7</v>
          </cell>
          <cell r="EN664">
            <v>465.4</v>
          </cell>
        </row>
        <row r="665">
          <cell r="A665">
            <v>52</v>
          </cell>
          <cell r="B665" t="str">
            <v>IPRM</v>
          </cell>
          <cell r="C665" t="str">
            <v>FM</v>
          </cell>
          <cell r="D665" t="str">
            <v>SRBDPS/CPS+SCPO-JBS FEED</v>
          </cell>
          <cell r="E665" t="str">
            <v>SRBDPS/CPS+SCPO-JBS FEED</v>
          </cell>
          <cell r="AS665">
            <v>138</v>
          </cell>
          <cell r="BT665">
            <v>231.8</v>
          </cell>
          <cell r="CU665">
            <v>172.9</v>
          </cell>
          <cell r="CY665">
            <v>15.8</v>
          </cell>
        </row>
        <row r="666">
          <cell r="A666">
            <v>53</v>
          </cell>
          <cell r="B666" t="str">
            <v>IPRM</v>
          </cell>
          <cell r="C666" t="str">
            <v>FM</v>
          </cell>
          <cell r="D666" t="str">
            <v>SRBDPS/CPS+B/PPKO-JBS FEED</v>
          </cell>
          <cell r="E666" t="str">
            <v>SRBDPS/CPS+B/PPKO-JBS FEED</v>
          </cell>
          <cell r="Y666">
            <v>667.27200000000005</v>
          </cell>
          <cell r="AH666">
            <v>277.18</v>
          </cell>
          <cell r="AQ666">
            <v>312.51690000000002</v>
          </cell>
          <cell r="AR666">
            <v>124.74</v>
          </cell>
          <cell r="AW666">
            <v>139.06</v>
          </cell>
          <cell r="AZ666">
            <v>412.07</v>
          </cell>
          <cell r="BB666">
            <v>160</v>
          </cell>
          <cell r="BK666">
            <v>189.5</v>
          </cell>
          <cell r="CJ666">
            <v>482.08320000000003</v>
          </cell>
          <cell r="DS666">
            <v>367.65</v>
          </cell>
          <cell r="DT666">
            <v>3.7659999999999996</v>
          </cell>
        </row>
        <row r="667">
          <cell r="A667">
            <v>54</v>
          </cell>
          <cell r="B667" t="str">
            <v>IPRM</v>
          </cell>
          <cell r="C667" t="str">
            <v>FM</v>
          </cell>
          <cell r="D667" t="str">
            <v>SPFAD&gt;C16(C16@15-25%)</v>
          </cell>
          <cell r="E667" t="str">
            <v>D B/P&gt;C16 FOR ALC</v>
          </cell>
        </row>
        <row r="668">
          <cell r="A668">
            <v>55</v>
          </cell>
          <cell r="B668" t="str">
            <v>IPRM</v>
          </cell>
          <cell r="C668" t="str">
            <v>FM</v>
          </cell>
          <cell r="D668" t="str">
            <v>SPFAD&gt;C16(C16@15-25%)</v>
          </cell>
          <cell r="E668" t="str">
            <v>B/P&gt;C16 FOR ALC</v>
          </cell>
        </row>
        <row r="669">
          <cell r="A669">
            <v>56</v>
          </cell>
          <cell r="B669" t="str">
            <v>IPRM</v>
          </cell>
          <cell r="C669" t="str">
            <v>SM</v>
          </cell>
          <cell r="D669" t="str">
            <v>MIX RESIDUE</v>
          </cell>
          <cell r="E669" t="str">
            <v>MIX RESIDUE</v>
          </cell>
          <cell r="F669">
            <v>3.43</v>
          </cell>
          <cell r="H669">
            <v>667.34</v>
          </cell>
          <cell r="I669">
            <v>100.8</v>
          </cell>
          <cell r="O669">
            <v>6.223367999999998</v>
          </cell>
          <cell r="Q669">
            <v>667.34</v>
          </cell>
          <cell r="R669">
            <v>109.1</v>
          </cell>
          <cell r="X669">
            <v>19.05</v>
          </cell>
          <cell r="Z669">
            <v>667.34</v>
          </cell>
          <cell r="AA669">
            <v>63.3</v>
          </cell>
          <cell r="AG669">
            <v>2.33</v>
          </cell>
          <cell r="AH669">
            <v>632.11176</v>
          </cell>
          <cell r="AI669">
            <v>516.88</v>
          </cell>
          <cell r="AJ669">
            <v>93.47999999999999</v>
          </cell>
          <cell r="AP669">
            <v>21.658999999999999</v>
          </cell>
          <cell r="AQ669">
            <v>611.88426000000004</v>
          </cell>
          <cell r="AR669">
            <v>516.88</v>
          </cell>
          <cell r="AS669">
            <v>4.2</v>
          </cell>
          <cell r="AZ669">
            <v>399.56796000000003</v>
          </cell>
          <cell r="BA669">
            <v>1033.46</v>
          </cell>
          <cell r="BB669">
            <v>62.5</v>
          </cell>
          <cell r="BI669">
            <v>592.22285999999997</v>
          </cell>
          <cell r="BJ669">
            <v>516.58000000000004</v>
          </cell>
          <cell r="BK669">
            <v>26.6</v>
          </cell>
          <cell r="BO669">
            <v>15</v>
          </cell>
          <cell r="BR669">
            <v>306.21096</v>
          </cell>
          <cell r="BS669">
            <v>516.58000000000004</v>
          </cell>
          <cell r="BT669">
            <v>1.7</v>
          </cell>
          <cell r="BZ669">
            <v>4.2960000000000003</v>
          </cell>
          <cell r="CA669">
            <v>530.26775999999995</v>
          </cell>
          <cell r="CC669">
            <v>45</v>
          </cell>
          <cell r="CI669">
            <v>0.35799999999999998</v>
          </cell>
          <cell r="CL669">
            <v>43.3</v>
          </cell>
          <cell r="CR669">
            <v>7.5179999999999989</v>
          </cell>
          <cell r="CT669">
            <v>81.73</v>
          </cell>
          <cell r="CU669">
            <v>3.3</v>
          </cell>
          <cell r="CY669">
            <v>33.880000000000003</v>
          </cell>
          <cell r="DC669">
            <v>156.08000000000001</v>
          </cell>
          <cell r="DD669">
            <v>46.6</v>
          </cell>
          <cell r="DJ669">
            <v>13.25</v>
          </cell>
          <cell r="DL669">
            <v>249.3</v>
          </cell>
          <cell r="DM669">
            <v>39.1</v>
          </cell>
          <cell r="DS669">
            <v>21.3</v>
          </cell>
          <cell r="DU669">
            <v>449.91</v>
          </cell>
          <cell r="DV669">
            <v>20.8</v>
          </cell>
          <cell r="EB669">
            <v>3.2219999999999995</v>
          </cell>
          <cell r="ED669">
            <v>493.72</v>
          </cell>
          <cell r="EE669">
            <v>10.8</v>
          </cell>
          <cell r="EM669">
            <v>493.72</v>
          </cell>
          <cell r="EN669">
            <v>33.299999999999997</v>
          </cell>
        </row>
        <row r="670">
          <cell r="A670">
            <v>57</v>
          </cell>
          <cell r="B670" t="str">
            <v>IPRM</v>
          </cell>
          <cell r="C670" t="str">
            <v>SM</v>
          </cell>
          <cell r="D670" t="str">
            <v>SMIX RESIDUE</v>
          </cell>
          <cell r="E670" t="str">
            <v>SMIX RESIDUE</v>
          </cell>
          <cell r="G670">
            <v>548.32050000000004</v>
          </cell>
          <cell r="H670">
            <v>995.76</v>
          </cell>
          <cell r="P670">
            <v>294.92190000000005</v>
          </cell>
          <cell r="Q670">
            <v>995.76</v>
          </cell>
          <cell r="Y670">
            <v>292.79250000000002</v>
          </cell>
          <cell r="Z670">
            <v>494.21</v>
          </cell>
          <cell r="AA670">
            <v>253.1</v>
          </cell>
          <cell r="AH670">
            <v>300.24540000000002</v>
          </cell>
          <cell r="AI670">
            <v>494.21</v>
          </cell>
          <cell r="AQ670">
            <v>370.51559999999995</v>
          </cell>
          <cell r="AR670">
            <v>295.36</v>
          </cell>
          <cell r="AZ670">
            <v>501.47370000000001</v>
          </cell>
          <cell r="BA670">
            <v>295.36</v>
          </cell>
          <cell r="BI670">
            <v>496.15019999999998</v>
          </cell>
          <cell r="BJ670">
            <v>295.36</v>
          </cell>
          <cell r="BR670">
            <v>502.53840000000002</v>
          </cell>
          <cell r="BS670">
            <v>295.36</v>
          </cell>
          <cell r="CA670">
            <v>198.0342</v>
          </cell>
          <cell r="CB670">
            <v>295.36</v>
          </cell>
          <cell r="CJ670">
            <v>9.5823</v>
          </cell>
          <cell r="CS670">
            <v>217.19879999999998</v>
          </cell>
        </row>
        <row r="671">
          <cell r="A671">
            <v>58</v>
          </cell>
          <cell r="B671" t="str">
            <v>IPRM</v>
          </cell>
          <cell r="C671" t="str">
            <v>FM</v>
          </cell>
          <cell r="D671" t="str">
            <v>DMIX RESIDUE</v>
          </cell>
          <cell r="E671" t="str">
            <v>DMIX RESIDUE</v>
          </cell>
          <cell r="F671">
            <v>24.945</v>
          </cell>
          <cell r="I671">
            <v>102.5</v>
          </cell>
          <cell r="O671">
            <v>32.909999999999997</v>
          </cell>
          <cell r="X671">
            <v>9.4350000000000005</v>
          </cell>
          <cell r="AA671">
            <v>66.7</v>
          </cell>
          <cell r="AG671">
            <v>22.704999999999998</v>
          </cell>
          <cell r="AP671">
            <v>3.33</v>
          </cell>
          <cell r="AQ671">
            <v>11.416</v>
          </cell>
          <cell r="AS671">
            <v>54.9</v>
          </cell>
          <cell r="AY671">
            <v>5.2495000000000003</v>
          </cell>
          <cell r="BH671">
            <v>19.670000000000002</v>
          </cell>
          <cell r="BQ671">
            <v>20.47</v>
          </cell>
          <cell r="BR671">
            <v>142.31599999999997</v>
          </cell>
          <cell r="BZ671">
            <v>45.69</v>
          </cell>
          <cell r="CA671">
            <v>254.09100000000001</v>
          </cell>
          <cell r="CI671">
            <v>41.39</v>
          </cell>
          <cell r="CJ671">
            <v>822.5</v>
          </cell>
          <cell r="CL671">
            <v>260.7</v>
          </cell>
          <cell r="CR671">
            <v>33.880000000000003</v>
          </cell>
          <cell r="CS671">
            <v>762.5</v>
          </cell>
          <cell r="CU671">
            <v>260.7</v>
          </cell>
          <cell r="DA671">
            <v>25.62</v>
          </cell>
          <cell r="DB671">
            <v>722.5</v>
          </cell>
          <cell r="DD671">
            <v>260.7</v>
          </cell>
          <cell r="DJ671">
            <v>38.1</v>
          </cell>
          <cell r="DK671">
            <v>658.75</v>
          </cell>
          <cell r="DM671">
            <v>260.7</v>
          </cell>
          <cell r="DT671">
            <v>598.60500000000002</v>
          </cell>
          <cell r="DV671">
            <v>260.7</v>
          </cell>
          <cell r="EB671">
            <v>7.0650000000000004</v>
          </cell>
          <cell r="EC671">
            <v>975</v>
          </cell>
          <cell r="EE671">
            <v>260.7</v>
          </cell>
          <cell r="EK671">
            <v>5.2495000000000003</v>
          </cell>
          <cell r="EL671">
            <v>370</v>
          </cell>
          <cell r="EN671">
            <v>260.7</v>
          </cell>
        </row>
        <row r="672">
          <cell r="A672">
            <v>59</v>
          </cell>
          <cell r="B672" t="str">
            <v>IPRM</v>
          </cell>
          <cell r="C672" t="str">
            <v>FM</v>
          </cell>
          <cell r="D672" t="str">
            <v>HYD D RFA</v>
          </cell>
          <cell r="E672" t="str">
            <v>HYD D RFA</v>
          </cell>
          <cell r="I672">
            <v>1.9</v>
          </cell>
          <cell r="R672">
            <v>1.9</v>
          </cell>
          <cell r="AA672">
            <v>47</v>
          </cell>
          <cell r="AJ672">
            <v>109</v>
          </cell>
          <cell r="AS672">
            <v>146.19999999999999</v>
          </cell>
          <cell r="BB672">
            <v>173.2</v>
          </cell>
          <cell r="BK672">
            <v>12</v>
          </cell>
          <cell r="BT672">
            <v>12</v>
          </cell>
        </row>
        <row r="673">
          <cell r="A673">
            <v>60</v>
          </cell>
          <cell r="B673" t="str">
            <v>IPRM</v>
          </cell>
          <cell r="C673" t="str">
            <v>FM</v>
          </cell>
          <cell r="D673" t="str">
            <v>B/P SMUSTARD&gt;C18</v>
          </cell>
          <cell r="E673" t="str">
            <v>B/P SMUSTARD&gt;C18</v>
          </cell>
          <cell r="EE673">
            <v>345.8</v>
          </cell>
        </row>
        <row r="674">
          <cell r="A674">
            <v>61</v>
          </cell>
          <cell r="B674" t="str">
            <v>IPRM</v>
          </cell>
          <cell r="C674" t="str">
            <v>FM</v>
          </cell>
          <cell r="D674" t="str">
            <v>B/P SMUSTARD&gt;C20</v>
          </cell>
          <cell r="E674" t="str">
            <v>B/P SMUSTARD&gt;C20</v>
          </cell>
          <cell r="G674">
            <v>120</v>
          </cell>
          <cell r="P674">
            <v>120</v>
          </cell>
          <cell r="Y674">
            <v>120</v>
          </cell>
          <cell r="AH674">
            <v>120</v>
          </cell>
          <cell r="AQ674">
            <v>120</v>
          </cell>
          <cell r="AZ674">
            <v>120</v>
          </cell>
          <cell r="BI674">
            <v>120</v>
          </cell>
          <cell r="BR674">
            <v>120</v>
          </cell>
          <cell r="CA674">
            <v>120</v>
          </cell>
          <cell r="CJ674">
            <v>120</v>
          </cell>
          <cell r="CS674">
            <v>120</v>
          </cell>
          <cell r="DB674">
            <v>120</v>
          </cell>
          <cell r="DK674">
            <v>120</v>
          </cell>
          <cell r="DT674">
            <v>120</v>
          </cell>
          <cell r="EC674">
            <v>120</v>
          </cell>
          <cell r="EL674">
            <v>120</v>
          </cell>
        </row>
        <row r="675">
          <cell r="A675">
            <v>62</v>
          </cell>
          <cell r="B675" t="str">
            <v>IPRM</v>
          </cell>
          <cell r="C675" t="str">
            <v>SM</v>
          </cell>
          <cell r="D675" t="str">
            <v>DFA C18+22(20@50%)</v>
          </cell>
          <cell r="E675" t="str">
            <v>DFA C18+22(20@50%)</v>
          </cell>
        </row>
        <row r="676">
          <cell r="A676">
            <v>63</v>
          </cell>
          <cell r="B676" t="str">
            <v>IPRM</v>
          </cell>
          <cell r="C676" t="str">
            <v>NM</v>
          </cell>
          <cell r="D676" t="str">
            <v>MUSTARD RESIDUE</v>
          </cell>
          <cell r="E676" t="str">
            <v>MUSTARD RESIDUE</v>
          </cell>
          <cell r="F676">
            <v>40.130000000000003</v>
          </cell>
          <cell r="H676">
            <v>376.74</v>
          </cell>
          <cell r="O676">
            <v>40.130000000000003</v>
          </cell>
          <cell r="Q676">
            <v>376.74</v>
          </cell>
          <cell r="R676">
            <v>11.7</v>
          </cell>
          <cell r="X676">
            <v>40.130000000000003</v>
          </cell>
          <cell r="Z676">
            <v>392.42</v>
          </cell>
          <cell r="AA676">
            <v>156.6</v>
          </cell>
          <cell r="AG676">
            <v>40.130000000000003</v>
          </cell>
          <cell r="AI676">
            <v>405.43</v>
          </cell>
          <cell r="AJ676">
            <v>156.55028571428571</v>
          </cell>
          <cell r="AP676">
            <v>40.130000000000003</v>
          </cell>
          <cell r="AR676">
            <v>405.43</v>
          </cell>
          <cell r="AY676">
            <v>43.39</v>
          </cell>
          <cell r="BA676">
            <v>500.37</v>
          </cell>
          <cell r="BB676">
            <v>54.1</v>
          </cell>
          <cell r="BH676">
            <v>43.39</v>
          </cell>
          <cell r="BJ676">
            <v>500.37</v>
          </cell>
          <cell r="BK676">
            <v>54.1</v>
          </cell>
          <cell r="BQ676">
            <v>43.39</v>
          </cell>
          <cell r="BS676">
            <v>500.37</v>
          </cell>
          <cell r="BZ676">
            <v>43.75</v>
          </cell>
          <cell r="CB676">
            <v>500.37</v>
          </cell>
          <cell r="CI676">
            <v>42.52</v>
          </cell>
          <cell r="CK676">
            <v>500.37</v>
          </cell>
          <cell r="CR676">
            <v>42.52</v>
          </cell>
          <cell r="CT676">
            <v>500.37</v>
          </cell>
          <cell r="CU676">
            <v>54.1</v>
          </cell>
          <cell r="DA676">
            <v>42.52</v>
          </cell>
          <cell r="DC676">
            <v>544.49</v>
          </cell>
          <cell r="DD676">
            <v>2.5</v>
          </cell>
          <cell r="DJ676">
            <v>42.52</v>
          </cell>
          <cell r="DL676">
            <v>560.66999999999996</v>
          </cell>
          <cell r="DM676">
            <v>2.5</v>
          </cell>
          <cell r="DS676">
            <v>42.52</v>
          </cell>
          <cell r="DU676">
            <v>560.66999999999996</v>
          </cell>
          <cell r="EB676">
            <v>43.25</v>
          </cell>
          <cell r="ED676">
            <v>560.66999999999996</v>
          </cell>
          <cell r="EK676">
            <v>48.61</v>
          </cell>
          <cell r="EM676">
            <v>589.66</v>
          </cell>
          <cell r="EQ676">
            <v>4.5</v>
          </cell>
        </row>
        <row r="677">
          <cell r="A677">
            <v>64</v>
          </cell>
          <cell r="B677" t="str">
            <v>IPRM</v>
          </cell>
          <cell r="C677" t="str">
            <v>NM</v>
          </cell>
          <cell r="D677" t="str">
            <v>SMUSTARD RESIDUE</v>
          </cell>
          <cell r="E677" t="str">
            <v>SMUSTARD RESIDUE</v>
          </cell>
          <cell r="H677">
            <v>1865.89</v>
          </cell>
          <cell r="Q677">
            <v>1865.89</v>
          </cell>
          <cell r="Z677">
            <v>1865.89</v>
          </cell>
          <cell r="AI677">
            <v>1865.8720000000001</v>
          </cell>
          <cell r="AR677">
            <v>1865.89</v>
          </cell>
          <cell r="BA677">
            <v>1865.89</v>
          </cell>
          <cell r="BJ677">
            <v>1865.89</v>
          </cell>
          <cell r="BS677">
            <v>1865.89</v>
          </cell>
          <cell r="CB677">
            <v>1865.89</v>
          </cell>
          <cell r="CK677">
            <v>1865.89</v>
          </cell>
          <cell r="CT677">
            <v>1662.2</v>
          </cell>
          <cell r="DB677">
            <v>667.56690000000003</v>
          </cell>
          <cell r="DC677">
            <v>1216.57</v>
          </cell>
          <cell r="DK677">
            <v>664.3728000000001</v>
          </cell>
          <cell r="DL677">
            <v>1216.57</v>
          </cell>
          <cell r="DT677">
            <v>662.24340000000007</v>
          </cell>
          <cell r="DU677">
            <v>1216.57</v>
          </cell>
          <cell r="EC677">
            <v>662.24340000000007</v>
          </cell>
          <cell r="ED677">
            <v>1216.57</v>
          </cell>
          <cell r="EL677">
            <v>662.24340000000007</v>
          </cell>
          <cell r="EM677">
            <v>1216.57</v>
          </cell>
        </row>
        <row r="678">
          <cell r="A678">
            <v>65</v>
          </cell>
          <cell r="B678" t="str">
            <v>IPRM</v>
          </cell>
          <cell r="C678" t="str">
            <v>NM</v>
          </cell>
          <cell r="D678" t="str">
            <v>DMUSTARD RESIDUE</v>
          </cell>
          <cell r="E678" t="str">
            <v>DMUSTARD RESIDUE</v>
          </cell>
          <cell r="F678">
            <v>28.09</v>
          </cell>
          <cell r="O678">
            <v>149.66</v>
          </cell>
          <cell r="X678">
            <v>145.53</v>
          </cell>
          <cell r="AG678">
            <v>145.035</v>
          </cell>
          <cell r="AP678">
            <v>144.54</v>
          </cell>
          <cell r="AS678">
            <v>53.3</v>
          </cell>
          <cell r="AY678">
            <v>144.05000000000001</v>
          </cell>
          <cell r="BH678">
            <v>144.04499999999999</v>
          </cell>
          <cell r="BQ678">
            <v>139.095</v>
          </cell>
          <cell r="BT678">
            <v>54.1</v>
          </cell>
          <cell r="BZ678">
            <v>145.035</v>
          </cell>
          <cell r="CC678">
            <v>54.1</v>
          </cell>
          <cell r="CI678">
            <v>159.88499999999999</v>
          </cell>
          <cell r="CL678">
            <v>54.1</v>
          </cell>
          <cell r="CR678">
            <v>159.88499999999999</v>
          </cell>
          <cell r="DA678">
            <v>172.84</v>
          </cell>
          <cell r="DJ678">
            <v>183.48</v>
          </cell>
          <cell r="DS678">
            <v>180.77</v>
          </cell>
          <cell r="EB678">
            <v>180.77</v>
          </cell>
          <cell r="EK678">
            <v>225.29999999999998</v>
          </cell>
          <cell r="EN678">
            <v>29.2</v>
          </cell>
        </row>
        <row r="679">
          <cell r="A679">
            <v>66</v>
          </cell>
          <cell r="B679" t="str">
            <v>IPRM</v>
          </cell>
          <cell r="C679" t="str">
            <v>NM</v>
          </cell>
          <cell r="D679" t="str">
            <v>CONTAMINATED MUST</v>
          </cell>
          <cell r="E679" t="str">
            <v>CONTAMINATED MUST</v>
          </cell>
        </row>
        <row r="680">
          <cell r="A680">
            <v>67</v>
          </cell>
          <cell r="B680" t="str">
            <v>IPRM</v>
          </cell>
          <cell r="C680" t="str">
            <v>NM</v>
          </cell>
          <cell r="D680" t="str">
            <v>HYD SPFAD</v>
          </cell>
          <cell r="E680" t="str">
            <v>HYD SPFAD</v>
          </cell>
          <cell r="F680">
            <v>59.707999999999991</v>
          </cell>
          <cell r="I680">
            <v>167</v>
          </cell>
          <cell r="O680">
            <v>84.134</v>
          </cell>
          <cell r="R680">
            <v>229.8</v>
          </cell>
          <cell r="X680">
            <v>115.94999999999999</v>
          </cell>
          <cell r="AA680">
            <v>412.6</v>
          </cell>
          <cell r="AG680">
            <v>226.61899999999997</v>
          </cell>
          <cell r="AJ680">
            <v>506.3</v>
          </cell>
          <cell r="AP680">
            <v>221.19099999999997</v>
          </cell>
          <cell r="AS680">
            <v>164.5</v>
          </cell>
          <cell r="AY680">
            <v>208.97799999999998</v>
          </cell>
          <cell r="BB680">
            <v>338.6</v>
          </cell>
          <cell r="BH680">
            <v>299.89699999999999</v>
          </cell>
          <cell r="BK680">
            <v>656.2</v>
          </cell>
          <cell r="BQ680">
            <v>298.54000000000002</v>
          </cell>
          <cell r="BT680">
            <v>500.9</v>
          </cell>
          <cell r="BZ680">
            <v>62.42199999999999</v>
          </cell>
          <cell r="CC680">
            <v>409.6</v>
          </cell>
          <cell r="CR680">
            <v>21</v>
          </cell>
          <cell r="DA680">
            <v>64.349999999999994</v>
          </cell>
          <cell r="DJ680">
            <v>162.36000000000001</v>
          </cell>
          <cell r="EB680">
            <v>21</v>
          </cell>
          <cell r="EN680">
            <v>207.3</v>
          </cell>
        </row>
        <row r="681">
          <cell r="A681">
            <v>68</v>
          </cell>
          <cell r="B681" t="str">
            <v>IPRM</v>
          </cell>
          <cell r="C681" t="str">
            <v>NM</v>
          </cell>
          <cell r="D681" t="str">
            <v>C16 RICH (FOR SB)</v>
          </cell>
          <cell r="E681" t="str">
            <v>C16 RICH (FOR SB)</v>
          </cell>
          <cell r="BQ681">
            <v>74.256</v>
          </cell>
          <cell r="EC681">
            <v>149.0652</v>
          </cell>
          <cell r="EL681">
            <v>364.73399999999998</v>
          </cell>
        </row>
        <row r="682">
          <cell r="A682">
            <v>69</v>
          </cell>
          <cell r="B682" t="str">
            <v>IPRM</v>
          </cell>
          <cell r="C682" t="str">
            <v>NM</v>
          </cell>
          <cell r="D682" t="str">
            <v>B/P PFAD (FOR C16/C18)</v>
          </cell>
          <cell r="E682" t="str">
            <v>B/P PFAD (FOR C16/C18)</v>
          </cell>
          <cell r="CR682">
            <v>124.18</v>
          </cell>
          <cell r="DA682">
            <v>36.192</v>
          </cell>
          <cell r="DB682">
            <v>348.87599999999998</v>
          </cell>
          <cell r="DJ682">
            <v>24.335999999999999</v>
          </cell>
          <cell r="DK682">
            <v>503.49150000000003</v>
          </cell>
        </row>
        <row r="683">
          <cell r="A683">
            <v>70</v>
          </cell>
          <cell r="B683" t="str">
            <v>IPRM</v>
          </cell>
          <cell r="C683" t="str">
            <v>NM</v>
          </cell>
          <cell r="D683" t="str">
            <v>DFA C8&gt;90%</v>
          </cell>
          <cell r="E683" t="str">
            <v>DFA C8&gt;90%</v>
          </cell>
        </row>
        <row r="684">
          <cell r="A684">
            <v>71</v>
          </cell>
          <cell r="B684" t="str">
            <v>IPRM</v>
          </cell>
          <cell r="C684" t="str">
            <v>NM</v>
          </cell>
          <cell r="D684" t="str">
            <v>FEED FOR DTP-CT</v>
          </cell>
          <cell r="E684" t="str">
            <v>FEED FOR DTP-CT</v>
          </cell>
          <cell r="BH684">
            <v>7</v>
          </cell>
          <cell r="BQ684">
            <v>65.7</v>
          </cell>
          <cell r="EK684">
            <v>49.57</v>
          </cell>
        </row>
        <row r="685">
          <cell r="A685">
            <v>72</v>
          </cell>
          <cell r="B685" t="str">
            <v>IPRM</v>
          </cell>
          <cell r="C685" t="str">
            <v>NM</v>
          </cell>
          <cell r="D685" t="str">
            <v>C16 RICH FROM PFAD</v>
          </cell>
          <cell r="E685" t="str">
            <v>C16 RICH FROM PFAD</v>
          </cell>
          <cell r="G685">
            <v>507.45600000000007</v>
          </cell>
          <cell r="P685">
            <v>505.87020000000001</v>
          </cell>
          <cell r="Y685">
            <v>504.28440000000001</v>
          </cell>
          <cell r="AH685">
            <v>524.89980000000003</v>
          </cell>
          <cell r="AQ685">
            <v>531.24300000000005</v>
          </cell>
          <cell r="AY685">
            <v>86.111999999999995</v>
          </cell>
          <cell r="AZ685">
            <v>220.42620000000002</v>
          </cell>
        </row>
        <row r="686">
          <cell r="A686">
            <v>73</v>
          </cell>
          <cell r="B686" t="str">
            <v>IPRM</v>
          </cell>
          <cell r="C686" t="str">
            <v>NM</v>
          </cell>
          <cell r="D686" t="str">
            <v>FEED FOR P-12</v>
          </cell>
          <cell r="E686" t="str">
            <v>FEED FOR P-12</v>
          </cell>
          <cell r="G686">
            <v>12.58</v>
          </cell>
          <cell r="I686">
            <v>8.1</v>
          </cell>
          <cell r="AQ686">
            <v>273.08</v>
          </cell>
          <cell r="AY686">
            <v>230.39</v>
          </cell>
          <cell r="AZ686">
            <v>2.8050000000000002</v>
          </cell>
        </row>
        <row r="687">
          <cell r="A687">
            <v>74</v>
          </cell>
          <cell r="B687" t="str">
            <v>IPRM</v>
          </cell>
          <cell r="C687" t="str">
            <v>NM</v>
          </cell>
          <cell r="D687" t="str">
            <v>HYD P-12</v>
          </cell>
          <cell r="E687" t="str">
            <v>HYD P-12</v>
          </cell>
          <cell r="I687">
            <v>64.5</v>
          </cell>
        </row>
        <row r="688">
          <cell r="A688">
            <v>75</v>
          </cell>
          <cell r="B688" t="str">
            <v>IPRM</v>
          </cell>
          <cell r="C688" t="str">
            <v>NM</v>
          </cell>
          <cell r="D688" t="str">
            <v>D HYD P-12</v>
          </cell>
          <cell r="E688" t="str">
            <v>D HYD P-12</v>
          </cell>
          <cell r="I688">
            <v>80.8</v>
          </cell>
        </row>
        <row r="689">
          <cell r="A689">
            <v>76</v>
          </cell>
          <cell r="B689" t="str">
            <v>IPRM</v>
          </cell>
          <cell r="C689" t="str">
            <v>NM</v>
          </cell>
          <cell r="D689" t="str">
            <v>DFA C16/18  FOR TRANSLUCENT</v>
          </cell>
          <cell r="E689" t="str">
            <v>DFA C16/18  FOR TRANSLUCENT</v>
          </cell>
          <cell r="Y689">
            <v>258.59000000000003</v>
          </cell>
          <cell r="CA689">
            <v>417.85830000000004</v>
          </cell>
          <cell r="CJ689">
            <v>451.45859999999999</v>
          </cell>
          <cell r="CS689">
            <v>337.2</v>
          </cell>
          <cell r="DB689">
            <v>341.22</v>
          </cell>
          <cell r="DK689">
            <v>291.78719999999998</v>
          </cell>
          <cell r="DT689">
            <v>290.99430000000007</v>
          </cell>
          <cell r="EC689">
            <v>290.20140000000004</v>
          </cell>
          <cell r="EL689">
            <v>285.44400000000002</v>
          </cell>
        </row>
        <row r="690">
          <cell r="A690">
            <v>77</v>
          </cell>
          <cell r="B690" t="str">
            <v>IPRM</v>
          </cell>
          <cell r="C690" t="str">
            <v>NM</v>
          </cell>
          <cell r="D690" t="str">
            <v>GLY RES</v>
          </cell>
          <cell r="E690" t="str">
            <v>GLY RES</v>
          </cell>
          <cell r="AP690">
            <v>14</v>
          </cell>
          <cell r="AY690">
            <v>12.38</v>
          </cell>
          <cell r="BH690">
            <v>23</v>
          </cell>
          <cell r="BQ690">
            <v>26.25</v>
          </cell>
          <cell r="BZ690">
            <v>29.75</v>
          </cell>
          <cell r="CR690">
            <v>2.6</v>
          </cell>
          <cell r="DA690">
            <v>10</v>
          </cell>
          <cell r="DJ690">
            <v>28</v>
          </cell>
          <cell r="DS690">
            <v>29.75</v>
          </cell>
          <cell r="EB690">
            <v>34.125</v>
          </cell>
          <cell r="EK690">
            <v>31.5</v>
          </cell>
        </row>
        <row r="691">
          <cell r="A691">
            <v>78</v>
          </cell>
          <cell r="B691" t="str">
            <v>IPRM</v>
          </cell>
          <cell r="C691" t="str">
            <v>NM</v>
          </cell>
          <cell r="D691" t="str">
            <v>D B/P PKO</v>
          </cell>
          <cell r="E691" t="str">
            <v>D B/P PKO</v>
          </cell>
          <cell r="BI691">
            <v>140.61599999999999</v>
          </cell>
          <cell r="EK691">
            <v>20</v>
          </cell>
          <cell r="EL691">
            <v>125.63</v>
          </cell>
        </row>
        <row r="692">
          <cell r="A692">
            <v>79</v>
          </cell>
          <cell r="B692" t="str">
            <v>IPRM</v>
          </cell>
          <cell r="C692" t="str">
            <v>NM</v>
          </cell>
          <cell r="D692" t="str">
            <v>FOR NEEM SOAP</v>
          </cell>
          <cell r="E692" t="str">
            <v>FOR NEEM SOAP</v>
          </cell>
          <cell r="CG692">
            <v>44.06</v>
          </cell>
          <cell r="DW692">
            <v>31.8</v>
          </cell>
          <cell r="EF692">
            <v>32.1</v>
          </cell>
          <cell r="EO692">
            <v>31.86</v>
          </cell>
        </row>
        <row r="693">
          <cell r="A693">
            <v>239</v>
          </cell>
          <cell r="B693" t="str">
            <v>IPRM</v>
          </cell>
          <cell r="C693" t="str">
            <v>NM</v>
          </cell>
          <cell r="D693" t="str">
            <v>FEED FOR ITC</v>
          </cell>
          <cell r="E693" t="str">
            <v>FEED FOR ITC</v>
          </cell>
        </row>
        <row r="694">
          <cell r="A694">
            <v>240</v>
          </cell>
          <cell r="B694" t="str">
            <v>IPRM</v>
          </cell>
          <cell r="C694" t="str">
            <v>NM</v>
          </cell>
          <cell r="D694" t="str">
            <v>MUSTARD-MCT</v>
          </cell>
          <cell r="E694" t="str">
            <v>MUSTARD-MCT</v>
          </cell>
        </row>
        <row r="695">
          <cell r="A695">
            <v>242</v>
          </cell>
          <cell r="B695" t="str">
            <v>IPRM</v>
          </cell>
          <cell r="C695" t="str">
            <v>NM</v>
          </cell>
          <cell r="D695" t="str">
            <v>HYD STEARIC-90</v>
          </cell>
          <cell r="E695" t="str">
            <v>HYD STEARIC-90</v>
          </cell>
        </row>
        <row r="696">
          <cell r="D696" t="str">
            <v>IPRM TOTAL</v>
          </cell>
          <cell r="F696">
            <v>767.96050000000002</v>
          </cell>
          <cell r="G696">
            <v>4649.6953599999997</v>
          </cell>
          <cell r="H696">
            <v>4932.1100000000006</v>
          </cell>
          <cell r="I696">
            <v>686.1</v>
          </cell>
          <cell r="J696">
            <v>0</v>
          </cell>
          <cell r="K696">
            <v>0</v>
          </cell>
          <cell r="L696">
            <v>0</v>
          </cell>
          <cell r="M696">
            <v>14.5</v>
          </cell>
          <cell r="O696">
            <v>891.63586800000007</v>
          </cell>
          <cell r="P696">
            <v>4371.2445600000001</v>
          </cell>
          <cell r="Q696">
            <v>5087.33</v>
          </cell>
          <cell r="R696">
            <v>733.19999999999993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341.00200000000001</v>
          </cell>
          <cell r="Y696">
            <v>6009.9469000000008</v>
          </cell>
          <cell r="Z696">
            <v>4726.2</v>
          </cell>
          <cell r="AA696">
            <v>1238.5</v>
          </cell>
          <cell r="AB696">
            <v>0</v>
          </cell>
          <cell r="AC696">
            <v>0</v>
          </cell>
          <cell r="AD696">
            <v>0</v>
          </cell>
          <cell r="AE696">
            <v>14.67</v>
          </cell>
          <cell r="AF696">
            <v>0</v>
          </cell>
          <cell r="AG696">
            <v>619.27</v>
          </cell>
          <cell r="AH696">
            <v>5611.5579600000001</v>
          </cell>
          <cell r="AI696">
            <v>4618.1620000000003</v>
          </cell>
          <cell r="AJ696">
            <v>1128.0522857142857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540.67149999999992</v>
          </cell>
          <cell r="AQ696">
            <v>6436.059659999999</v>
          </cell>
          <cell r="AR696">
            <v>4433.92</v>
          </cell>
          <cell r="AS696">
            <v>977</v>
          </cell>
          <cell r="AT696">
            <v>367.71499999999997</v>
          </cell>
          <cell r="AU696">
            <v>0</v>
          </cell>
          <cell r="AV696">
            <v>0</v>
          </cell>
          <cell r="AW696">
            <v>139.06</v>
          </cell>
          <cell r="AX696">
            <v>0</v>
          </cell>
          <cell r="AY696">
            <v>751.41649999999993</v>
          </cell>
          <cell r="AZ696">
            <v>6292.0118600000005</v>
          </cell>
          <cell r="BA696">
            <v>5189.01</v>
          </cell>
          <cell r="BB696">
            <v>1364.6</v>
          </cell>
          <cell r="BC696">
            <v>0</v>
          </cell>
          <cell r="BD696">
            <v>0</v>
          </cell>
          <cell r="BE696">
            <v>0</v>
          </cell>
          <cell r="BF696">
            <v>53.14</v>
          </cell>
          <cell r="BG696">
            <v>0</v>
          </cell>
          <cell r="BH696">
            <v>696.74599999999987</v>
          </cell>
          <cell r="BI696">
            <v>6202.2338599999994</v>
          </cell>
          <cell r="BJ696">
            <v>4419.2700000000004</v>
          </cell>
          <cell r="BK696">
            <v>1002.4000000000001</v>
          </cell>
          <cell r="BL696">
            <v>132.51</v>
          </cell>
          <cell r="BM696">
            <v>0</v>
          </cell>
          <cell r="BN696">
            <v>0</v>
          </cell>
          <cell r="BO696">
            <v>15</v>
          </cell>
          <cell r="BP696">
            <v>0</v>
          </cell>
          <cell r="BQ696">
            <v>741.66449999999998</v>
          </cell>
          <cell r="BR696">
            <v>5450.2794600000007</v>
          </cell>
          <cell r="BS696">
            <v>4463.84</v>
          </cell>
          <cell r="BT696">
            <v>962.09999999999991</v>
          </cell>
          <cell r="BU696">
            <v>233.63200000000001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418.36028799999991</v>
          </cell>
          <cell r="CA696">
            <v>5607.3752600000007</v>
          </cell>
          <cell r="CB696">
            <v>3966.74</v>
          </cell>
          <cell r="CC696">
            <v>828.6</v>
          </cell>
          <cell r="CD696">
            <v>322.452</v>
          </cell>
          <cell r="CE696">
            <v>0</v>
          </cell>
          <cell r="CF696">
            <v>0</v>
          </cell>
          <cell r="CG696">
            <v>82.210000000000008</v>
          </cell>
          <cell r="CH696">
            <v>0</v>
          </cell>
          <cell r="CI696">
            <v>421.1585</v>
          </cell>
          <cell r="CJ696">
            <v>5898.3409000000001</v>
          </cell>
          <cell r="CK696">
            <v>3663.8199999999997</v>
          </cell>
          <cell r="CL696">
            <v>969.9</v>
          </cell>
          <cell r="CM696">
            <v>287.358</v>
          </cell>
          <cell r="CN696">
            <v>0</v>
          </cell>
          <cell r="CO696">
            <v>0</v>
          </cell>
          <cell r="CP696">
            <v>254.39</v>
          </cell>
          <cell r="CQ696">
            <v>0</v>
          </cell>
          <cell r="CR696">
            <v>421.98367000000002</v>
          </cell>
          <cell r="CS696">
            <v>5779.6562000000004</v>
          </cell>
          <cell r="CT696">
            <v>3585.6000000000004</v>
          </cell>
          <cell r="CU696">
            <v>1056.1999999999998</v>
          </cell>
          <cell r="CV696">
            <v>0</v>
          </cell>
          <cell r="CW696">
            <v>0</v>
          </cell>
          <cell r="CX696">
            <v>0</v>
          </cell>
          <cell r="CY696">
            <v>100.02000000000001</v>
          </cell>
          <cell r="CZ696">
            <v>0</v>
          </cell>
          <cell r="DA696">
            <v>381.92267000000004</v>
          </cell>
          <cell r="DB696">
            <v>6147.6311599999999</v>
          </cell>
          <cell r="DC696">
            <v>3214.7</v>
          </cell>
          <cell r="DD696">
            <v>1472.8999999999999</v>
          </cell>
          <cell r="DE696">
            <v>0</v>
          </cell>
          <cell r="DF696">
            <v>0</v>
          </cell>
          <cell r="DG696">
            <v>0</v>
          </cell>
          <cell r="DH696">
            <v>49.78</v>
          </cell>
          <cell r="DI696">
            <v>0</v>
          </cell>
          <cell r="DJ696">
            <v>503.31150000000002</v>
          </cell>
          <cell r="DK696">
            <v>6617.7678599999999</v>
          </cell>
          <cell r="DL696">
            <v>3281.8599999999997</v>
          </cell>
          <cell r="DM696">
            <v>1267.1000000000001</v>
          </cell>
          <cell r="DN696">
            <v>243.291</v>
          </cell>
          <cell r="DO696">
            <v>0</v>
          </cell>
          <cell r="DP696">
            <v>0</v>
          </cell>
          <cell r="DQ696">
            <v>168.23000000000002</v>
          </cell>
          <cell r="DR696">
            <v>0</v>
          </cell>
          <cell r="DS696">
            <v>796.81066999999985</v>
          </cell>
          <cell r="DT696">
            <v>6402.4083600000004</v>
          </cell>
          <cell r="DU696">
            <v>3512.9399999999996</v>
          </cell>
          <cell r="DV696">
            <v>1170.5999999999999</v>
          </cell>
          <cell r="DW696">
            <v>31.8</v>
          </cell>
          <cell r="DX696">
            <v>0</v>
          </cell>
          <cell r="DY696">
            <v>0</v>
          </cell>
          <cell r="DZ696">
            <v>13.9</v>
          </cell>
          <cell r="EA696">
            <v>0</v>
          </cell>
          <cell r="EB696">
            <v>536.44950000000006</v>
          </cell>
          <cell r="EC696">
            <v>5894.3957000000009</v>
          </cell>
          <cell r="ED696">
            <v>3556.75</v>
          </cell>
          <cell r="EE696">
            <v>738.90000000000009</v>
          </cell>
          <cell r="EF696">
            <v>32.1</v>
          </cell>
          <cell r="EG696">
            <v>0</v>
          </cell>
          <cell r="EH696">
            <v>0</v>
          </cell>
          <cell r="EI696">
            <v>0</v>
          </cell>
          <cell r="EJ696">
            <v>0</v>
          </cell>
          <cell r="EK696">
            <v>492.17799999999994</v>
          </cell>
          <cell r="EL696">
            <v>6079.0820000000012</v>
          </cell>
          <cell r="EM696">
            <v>3252.7</v>
          </cell>
          <cell r="EN696">
            <v>1064.6999999999998</v>
          </cell>
          <cell r="EO696">
            <v>31.86</v>
          </cell>
          <cell r="EP696">
            <v>0</v>
          </cell>
          <cell r="EQ696">
            <v>4.5</v>
          </cell>
          <cell r="ER696">
            <v>0</v>
          </cell>
          <cell r="ES696">
            <v>0</v>
          </cell>
        </row>
        <row r="697">
          <cell r="A697" t="str">
            <v>FATTY ACID FINISHED PRODUCTS</v>
          </cell>
        </row>
        <row r="698">
          <cell r="A698">
            <v>80</v>
          </cell>
          <cell r="B698" t="str">
            <v>FG</v>
          </cell>
          <cell r="C698" t="str">
            <v>FM</v>
          </cell>
          <cell r="D698" t="str">
            <v>CPKO/MUSTO/MIX II RESIDUE</v>
          </cell>
          <cell r="E698" t="str">
            <v>PITCH</v>
          </cell>
          <cell r="F698">
            <v>46.147500000000001</v>
          </cell>
          <cell r="H698">
            <v>1281.8800000000001</v>
          </cell>
          <cell r="O698">
            <v>130.53149999999999</v>
          </cell>
          <cell r="Q698">
            <v>1282.1500000000001</v>
          </cell>
          <cell r="X698">
            <v>125.25749999999999</v>
          </cell>
          <cell r="Z698">
            <v>1227.94</v>
          </cell>
          <cell r="AG698">
            <v>225.46350000000001</v>
          </cell>
          <cell r="AI698">
            <v>1110.5400000000002</v>
          </cell>
          <cell r="AP698">
            <v>195.13800000000001</v>
          </cell>
          <cell r="AR698">
            <v>1238.8700000000001</v>
          </cell>
          <cell r="AY698">
            <v>141.0795</v>
          </cell>
          <cell r="BA698">
            <v>1175.8600000000001</v>
          </cell>
          <cell r="BH698">
            <v>104.1615</v>
          </cell>
          <cell r="BJ698">
            <v>1175.8600000000001</v>
          </cell>
          <cell r="BQ698">
            <v>139.761</v>
          </cell>
          <cell r="BS698">
            <v>1166.9100000000001</v>
          </cell>
          <cell r="BZ698">
            <v>142.398</v>
          </cell>
          <cell r="CB698">
            <v>1300.6100000000001</v>
          </cell>
          <cell r="CI698">
            <v>168.768</v>
          </cell>
          <cell r="CK698">
            <v>1429.91</v>
          </cell>
          <cell r="CR698">
            <v>163.494</v>
          </cell>
          <cell r="CT698">
            <v>1398.19</v>
          </cell>
          <cell r="DA698">
            <v>152.94999999999999</v>
          </cell>
          <cell r="DC698">
            <v>1382.78</v>
          </cell>
          <cell r="DJ698">
            <v>152.946</v>
          </cell>
          <cell r="DL698">
            <v>1381.27</v>
          </cell>
          <cell r="DS698">
            <v>152.946</v>
          </cell>
          <cell r="DU698">
            <v>1381.27</v>
          </cell>
          <cell r="EB698">
            <v>152.946</v>
          </cell>
          <cell r="ED698">
            <v>1381.27</v>
          </cell>
          <cell r="EK698">
            <v>151.6275</v>
          </cell>
          <cell r="EM698">
            <v>1381.27</v>
          </cell>
        </row>
        <row r="699">
          <cell r="A699">
            <v>81</v>
          </cell>
          <cell r="B699" t="str">
            <v>FG</v>
          </cell>
          <cell r="C699" t="str">
            <v>FM</v>
          </cell>
          <cell r="D699" t="str">
            <v>JBS(80:20)</v>
          </cell>
          <cell r="E699" t="str">
            <v>JBS(80:20)</v>
          </cell>
          <cell r="G699">
            <v>1.2159999999999997</v>
          </cell>
          <cell r="I699">
            <v>140.69999999999999</v>
          </cell>
          <cell r="M699">
            <v>30.07</v>
          </cell>
          <cell r="P699">
            <v>1.2159999999999997</v>
          </cell>
          <cell r="R699">
            <v>51.2</v>
          </cell>
          <cell r="AA699">
            <v>217.4</v>
          </cell>
          <cell r="AH699">
            <v>300.67599999999999</v>
          </cell>
          <cell r="AQ699">
            <v>84.090999999999994</v>
          </cell>
          <cell r="BB699">
            <v>51.2</v>
          </cell>
          <cell r="BK699">
            <v>24.299099999999999</v>
          </cell>
          <cell r="BT699">
            <v>121.5</v>
          </cell>
          <cell r="CC699">
            <v>236.6</v>
          </cell>
          <cell r="CL699">
            <v>102.3</v>
          </cell>
          <cell r="CU699">
            <v>249.4</v>
          </cell>
          <cell r="DD699">
            <v>454</v>
          </cell>
          <cell r="DM699">
            <v>319.7</v>
          </cell>
          <cell r="DV699">
            <v>185.4</v>
          </cell>
          <cell r="EE699">
            <v>236.6</v>
          </cell>
        </row>
        <row r="700">
          <cell r="A700">
            <v>82</v>
          </cell>
          <cell r="B700" t="str">
            <v>FG</v>
          </cell>
          <cell r="C700" t="str">
            <v>FM</v>
          </cell>
          <cell r="D700" t="str">
            <v>TRANSLUCENT</v>
          </cell>
          <cell r="E700" t="str">
            <v>TRANSLUCENT</v>
          </cell>
          <cell r="BT700">
            <v>243</v>
          </cell>
          <cell r="CY700">
            <v>67.650000000000006</v>
          </cell>
          <cell r="DK700">
            <v>45.415999999999997</v>
          </cell>
          <cell r="DM700">
            <v>189.9</v>
          </cell>
          <cell r="DW700">
            <v>51.5</v>
          </cell>
          <cell r="EF700">
            <v>51.58</v>
          </cell>
          <cell r="EO700">
            <v>51.58</v>
          </cell>
        </row>
        <row r="701">
          <cell r="A701">
            <v>83</v>
          </cell>
          <cell r="B701" t="str">
            <v>FG</v>
          </cell>
          <cell r="C701" t="str">
            <v>FM</v>
          </cell>
          <cell r="D701" t="str">
            <v>D.S.B</v>
          </cell>
          <cell r="E701" t="str">
            <v>DPFAD 70% + SDD PKO RES 30%</v>
          </cell>
          <cell r="G701">
            <v>73.75</v>
          </cell>
          <cell r="H701">
            <v>124.74</v>
          </cell>
          <cell r="I701">
            <v>982.2</v>
          </cell>
          <cell r="P701">
            <v>17.5</v>
          </cell>
          <cell r="Q701">
            <v>124.74</v>
          </cell>
          <cell r="R701">
            <v>871.5</v>
          </cell>
          <cell r="Y701">
            <v>210</v>
          </cell>
          <cell r="AA701">
            <v>436.1</v>
          </cell>
          <cell r="AH701">
            <v>140</v>
          </cell>
          <cell r="AJ701">
            <v>416.92140000000001</v>
          </cell>
          <cell r="AQ701">
            <v>15</v>
          </cell>
          <cell r="AS701">
            <v>199</v>
          </cell>
          <cell r="AZ701">
            <v>77.5</v>
          </cell>
          <cell r="BB701">
            <v>80.599999999999994</v>
          </cell>
          <cell r="BC701">
            <v>319.495</v>
          </cell>
          <cell r="BI701">
            <v>182.5</v>
          </cell>
          <cell r="BK701">
            <v>607.47749999999996</v>
          </cell>
          <cell r="BR701">
            <v>92.5</v>
          </cell>
          <cell r="CA701">
            <v>15</v>
          </cell>
          <cell r="CC701">
            <v>211</v>
          </cell>
          <cell r="CL701">
            <v>613.9</v>
          </cell>
          <cell r="CU701">
            <v>953.5</v>
          </cell>
          <cell r="CV701">
            <v>287.358</v>
          </cell>
          <cell r="DD701">
            <v>519.20000000000005</v>
          </cell>
          <cell r="DV701">
            <v>217.4</v>
          </cell>
          <cell r="EC701">
            <v>99.816000000000003</v>
          </cell>
          <cell r="EE701">
            <v>173.9</v>
          </cell>
          <cell r="EI701">
            <v>14.7</v>
          </cell>
          <cell r="EN701">
            <v>21.8</v>
          </cell>
        </row>
        <row r="702">
          <cell r="A702">
            <v>84</v>
          </cell>
          <cell r="B702" t="str">
            <v>FG</v>
          </cell>
          <cell r="C702" t="str">
            <v>FM</v>
          </cell>
          <cell r="D702" t="str">
            <v>JO BLEND</v>
          </cell>
          <cell r="E702" t="str">
            <v>JO BLEND</v>
          </cell>
          <cell r="J702">
            <v>212.22200000000001</v>
          </cell>
          <cell r="M702">
            <v>19.489999999999998</v>
          </cell>
          <cell r="S702">
            <v>226.65899999999999</v>
          </cell>
          <cell r="Y702">
            <v>66.835999999999999</v>
          </cell>
          <cell r="AB702">
            <v>287.04899999999998</v>
          </cell>
          <cell r="CS702">
            <v>195.86599999999999</v>
          </cell>
          <cell r="DB702">
            <v>203.88</v>
          </cell>
          <cell r="DE702">
            <v>260.392</v>
          </cell>
          <cell r="DK702">
            <v>289.31</v>
          </cell>
          <cell r="DW702">
            <v>196</v>
          </cell>
          <cell r="DZ702">
            <v>19.899999999999999</v>
          </cell>
          <cell r="EF702">
            <v>136.536</v>
          </cell>
          <cell r="EI702">
            <v>61.35</v>
          </cell>
          <cell r="EO702">
            <v>143.51</v>
          </cell>
        </row>
        <row r="703">
          <cell r="A703">
            <v>85</v>
          </cell>
          <cell r="B703" t="str">
            <v>FG</v>
          </cell>
          <cell r="C703" t="str">
            <v>FM</v>
          </cell>
          <cell r="D703" t="str">
            <v>ITC</v>
          </cell>
          <cell r="E703" t="str">
            <v>DPFAD 70% + DCPS 30%</v>
          </cell>
          <cell r="BI703">
            <v>260.07120000000003</v>
          </cell>
          <cell r="BR703">
            <v>180.78120000000001</v>
          </cell>
        </row>
        <row r="704">
          <cell r="A704">
            <v>86</v>
          </cell>
          <cell r="B704" t="str">
            <v>FG</v>
          </cell>
          <cell r="C704" t="str">
            <v>FM</v>
          </cell>
          <cell r="D704" t="str">
            <v>DDPKORESIDUEFA</v>
          </cell>
          <cell r="E704" t="str">
            <v>S DD PKO RES</v>
          </cell>
        </row>
        <row r="705">
          <cell r="A705">
            <v>87</v>
          </cell>
          <cell r="B705" t="str">
            <v>FG</v>
          </cell>
          <cell r="C705" t="str">
            <v>FM</v>
          </cell>
          <cell r="D705" t="str">
            <v>DRBDPS FOR P-12</v>
          </cell>
          <cell r="E705" t="str">
            <v>DRBDPS/CPS 65%+B/P PKO 35%</v>
          </cell>
        </row>
        <row r="706">
          <cell r="A706">
            <v>88</v>
          </cell>
          <cell r="B706" t="str">
            <v>FG</v>
          </cell>
          <cell r="C706" t="str">
            <v>FM</v>
          </cell>
          <cell r="D706" t="str">
            <v>DPKO</v>
          </cell>
          <cell r="E706" t="str">
            <v>D C12-C18</v>
          </cell>
          <cell r="G706">
            <v>152.51600000000002</v>
          </cell>
          <cell r="I706">
            <v>425.3</v>
          </cell>
          <cell r="P706">
            <v>163.82599999999999</v>
          </cell>
          <cell r="R706">
            <v>403</v>
          </cell>
          <cell r="Y706">
            <v>151.666</v>
          </cell>
          <cell r="AA706">
            <v>368.4</v>
          </cell>
          <cell r="AH706">
            <v>20.765999999999998</v>
          </cell>
          <cell r="AJ706">
            <v>319</v>
          </cell>
          <cell r="AQ706">
            <v>2.9159999999999995</v>
          </cell>
          <cell r="AS706">
            <v>224.2</v>
          </cell>
          <cell r="AZ706">
            <v>80.266000000000005</v>
          </cell>
          <cell r="BB706">
            <v>293.89999999999998</v>
          </cell>
          <cell r="BI706">
            <v>78.820999999999998</v>
          </cell>
          <cell r="BK706">
            <v>215.9</v>
          </cell>
          <cell r="BR706">
            <v>50.345999999999997</v>
          </cell>
          <cell r="BT706">
            <v>149.4</v>
          </cell>
          <cell r="CA706">
            <v>34.195999999999998</v>
          </cell>
          <cell r="CC706">
            <v>56.8</v>
          </cell>
          <cell r="CL706">
            <v>73.5</v>
          </cell>
          <cell r="CP706">
            <v>14</v>
          </cell>
          <cell r="DK706">
            <v>81.801000000000002</v>
          </cell>
          <cell r="DM706">
            <v>33.299999999999997</v>
          </cell>
          <cell r="DT706">
            <v>47.540999999999997</v>
          </cell>
          <cell r="DV706">
            <v>367.7</v>
          </cell>
          <cell r="EC706">
            <v>25.866</v>
          </cell>
          <cell r="EE706">
            <v>255.1</v>
          </cell>
          <cell r="EN706">
            <v>100.4</v>
          </cell>
        </row>
        <row r="707">
          <cell r="A707">
            <v>89</v>
          </cell>
          <cell r="B707" t="str">
            <v>FG</v>
          </cell>
          <cell r="C707" t="str">
            <v>FM</v>
          </cell>
          <cell r="D707" t="str">
            <v>DPFAD</v>
          </cell>
          <cell r="E707" t="str">
            <v>DPFAD</v>
          </cell>
          <cell r="G707">
            <v>23.315999999999999</v>
          </cell>
          <cell r="P707">
            <v>90.465999999999994</v>
          </cell>
          <cell r="AJ707">
            <v>447.61500000000001</v>
          </cell>
          <cell r="AS707">
            <v>518</v>
          </cell>
          <cell r="BB707">
            <v>6.4</v>
          </cell>
          <cell r="CC707">
            <v>410.5</v>
          </cell>
          <cell r="CL707">
            <v>365.1</v>
          </cell>
        </row>
        <row r="708">
          <cell r="A708">
            <v>258</v>
          </cell>
          <cell r="B708" t="str">
            <v>FG</v>
          </cell>
          <cell r="C708" t="str">
            <v>FM</v>
          </cell>
          <cell r="D708" t="str">
            <v>DRBDPS</v>
          </cell>
          <cell r="E708" t="str">
            <v>DRBDPS</v>
          </cell>
        </row>
        <row r="709">
          <cell r="A709">
            <v>90</v>
          </cell>
          <cell r="B709" t="str">
            <v>FG</v>
          </cell>
          <cell r="C709" t="str">
            <v>NM</v>
          </cell>
          <cell r="D709" t="str">
            <v>C6&gt;98%</v>
          </cell>
          <cell r="E709" t="str">
            <v>C6&gt;98%</v>
          </cell>
          <cell r="F709">
            <v>1.91</v>
          </cell>
          <cell r="O709">
            <v>1.907</v>
          </cell>
          <cell r="X709">
            <v>1.907</v>
          </cell>
          <cell r="AG709">
            <v>7.7119999999999997</v>
          </cell>
          <cell r="AP709">
            <v>42.542000000000002</v>
          </cell>
          <cell r="AY709">
            <v>43.187000000000005</v>
          </cell>
          <cell r="BH709">
            <v>18.032</v>
          </cell>
          <cell r="BQ709">
            <v>30.931999999999999</v>
          </cell>
          <cell r="BZ709">
            <v>1.262</v>
          </cell>
          <cell r="CI709">
            <v>27.061999999999998</v>
          </cell>
          <cell r="CR709">
            <v>18.032</v>
          </cell>
          <cell r="DA709">
            <v>18.032</v>
          </cell>
          <cell r="DJ709">
            <v>18.032</v>
          </cell>
          <cell r="DS709">
            <v>23.192</v>
          </cell>
          <cell r="EB709">
            <v>51.572000000000003</v>
          </cell>
          <cell r="EK709">
            <v>50.282000000000004</v>
          </cell>
        </row>
        <row r="710">
          <cell r="A710">
            <v>91</v>
          </cell>
          <cell r="B710" t="str">
            <v>FG</v>
          </cell>
          <cell r="C710" t="str">
            <v>FM</v>
          </cell>
          <cell r="D710" t="str">
            <v>C8&gt;98%</v>
          </cell>
          <cell r="E710" t="str">
            <v>C8&gt;98%</v>
          </cell>
          <cell r="F710">
            <v>207.41</v>
          </cell>
          <cell r="G710">
            <v>34.255000000000003</v>
          </cell>
          <cell r="O710">
            <v>207.9</v>
          </cell>
          <cell r="P710">
            <v>34.255000000000003</v>
          </cell>
          <cell r="X710">
            <v>132.16999999999999</v>
          </cell>
          <cell r="Y710">
            <v>33.83</v>
          </cell>
          <cell r="AG710">
            <v>146.52000000000001</v>
          </cell>
          <cell r="AH710">
            <v>32.130000000000003</v>
          </cell>
          <cell r="AP710">
            <v>159.38999999999999</v>
          </cell>
          <cell r="AQ710">
            <v>32.130000000000003</v>
          </cell>
          <cell r="AY710">
            <v>168.8</v>
          </cell>
          <cell r="AZ710">
            <v>33.83</v>
          </cell>
          <cell r="BH710">
            <v>153.44999999999999</v>
          </cell>
          <cell r="BI710">
            <v>33.83</v>
          </cell>
          <cell r="BQ710">
            <v>147.02000000000001</v>
          </cell>
          <cell r="BR710">
            <v>33.83</v>
          </cell>
          <cell r="BZ710">
            <v>124.74</v>
          </cell>
          <cell r="CA710">
            <v>33.83</v>
          </cell>
          <cell r="CI710">
            <v>186.12</v>
          </cell>
          <cell r="CJ710">
            <v>33.83</v>
          </cell>
          <cell r="CR710">
            <v>197.01</v>
          </cell>
          <cell r="CS710">
            <v>33.83</v>
          </cell>
          <cell r="DA710">
            <v>185.13</v>
          </cell>
          <cell r="DB710">
            <v>33.83</v>
          </cell>
          <cell r="DJ710">
            <v>67.319999999999993</v>
          </cell>
          <cell r="DK710">
            <v>33.83</v>
          </cell>
          <cell r="DS710">
            <v>51.98</v>
          </cell>
          <cell r="DT710">
            <v>33.83</v>
          </cell>
          <cell r="EB710">
            <v>159.88999999999999</v>
          </cell>
          <cell r="EC710">
            <v>33.83</v>
          </cell>
          <cell r="EK710">
            <v>145.53</v>
          </cell>
          <cell r="EL710">
            <v>33.83</v>
          </cell>
        </row>
        <row r="711">
          <cell r="A711">
            <v>92</v>
          </cell>
          <cell r="B711" t="str">
            <v>FG</v>
          </cell>
          <cell r="C711" t="str">
            <v>FM</v>
          </cell>
          <cell r="D711" t="str">
            <v>C10&gt;98%</v>
          </cell>
          <cell r="E711" t="str">
            <v>C10&gt;98%</v>
          </cell>
          <cell r="F711">
            <v>99.495000000000005</v>
          </cell>
          <cell r="O711">
            <v>98.504999999999995</v>
          </cell>
          <cell r="X711">
            <v>54.945</v>
          </cell>
          <cell r="AG711">
            <v>54.945</v>
          </cell>
          <cell r="AP711">
            <v>96.525000000000006</v>
          </cell>
          <cell r="AY711">
            <v>166.815</v>
          </cell>
          <cell r="BH711">
            <v>133.155</v>
          </cell>
          <cell r="BQ711">
            <v>124.74</v>
          </cell>
          <cell r="BZ711">
            <v>113.355</v>
          </cell>
          <cell r="CI711">
            <v>145.035</v>
          </cell>
          <cell r="CR711">
            <v>143.05500000000001</v>
          </cell>
          <cell r="DA711">
            <v>135.13999999999999</v>
          </cell>
          <cell r="DJ711">
            <v>118.30500000000001</v>
          </cell>
          <cell r="DS711">
            <v>111.375</v>
          </cell>
          <cell r="EB711">
            <v>147.01499999999999</v>
          </cell>
          <cell r="EK711">
            <v>167.80500000000001</v>
          </cell>
        </row>
        <row r="712">
          <cell r="A712">
            <v>93</v>
          </cell>
          <cell r="B712" t="str">
            <v>FG</v>
          </cell>
          <cell r="C712" t="str">
            <v>FM</v>
          </cell>
          <cell r="D712" t="str">
            <v>C8+C10&gt;98%</v>
          </cell>
          <cell r="E712" t="str">
            <v>C8+C10&gt;98%</v>
          </cell>
          <cell r="F712">
            <v>150.90025</v>
          </cell>
          <cell r="O712">
            <v>150.5686</v>
          </cell>
          <cell r="X712">
            <v>131.99619999999999</v>
          </cell>
          <cell r="AG712">
            <v>117.07195</v>
          </cell>
          <cell r="AP712">
            <v>165.49285</v>
          </cell>
          <cell r="AY712">
            <v>143.93560000000002</v>
          </cell>
          <cell r="BH712">
            <v>127.02145</v>
          </cell>
          <cell r="BQ712">
            <v>109.444</v>
          </cell>
          <cell r="BZ712">
            <v>49.0837</v>
          </cell>
          <cell r="CI712">
            <v>164.49789999999999</v>
          </cell>
          <cell r="CR712">
            <v>161.84469999999999</v>
          </cell>
          <cell r="DA712">
            <v>161.84469999999999</v>
          </cell>
          <cell r="DJ712">
            <v>144.59889999999999</v>
          </cell>
          <cell r="DS712">
            <v>111.43389999999999</v>
          </cell>
          <cell r="EB712">
            <v>131.3329</v>
          </cell>
          <cell r="EK712">
            <v>129.34299999999999</v>
          </cell>
        </row>
        <row r="713">
          <cell r="A713">
            <v>94</v>
          </cell>
          <cell r="B713" t="str">
            <v>FG</v>
          </cell>
          <cell r="C713" t="str">
            <v>FM</v>
          </cell>
          <cell r="D713" t="str">
            <v>C12&gt;99%</v>
          </cell>
          <cell r="E713" t="str">
            <v>C12&gt;99%</v>
          </cell>
          <cell r="I713">
            <v>494.8</v>
          </cell>
          <cell r="R713">
            <v>494.8</v>
          </cell>
          <cell r="AA713">
            <v>494.8</v>
          </cell>
          <cell r="AJ713">
            <v>494.80628571428571</v>
          </cell>
          <cell r="AS713">
            <v>494.8</v>
          </cell>
          <cell r="BB713">
            <v>494.8</v>
          </cell>
          <cell r="BK713">
            <v>494.80628571428571</v>
          </cell>
          <cell r="BT713">
            <v>494.8</v>
          </cell>
          <cell r="CC713">
            <v>494.8</v>
          </cell>
          <cell r="CL713">
            <v>494.8</v>
          </cell>
          <cell r="CU713">
            <v>494.8</v>
          </cell>
          <cell r="DD713">
            <v>494.8</v>
          </cell>
          <cell r="DM713">
            <v>494.8</v>
          </cell>
          <cell r="DV713">
            <v>494.8</v>
          </cell>
          <cell r="EE713">
            <v>465.4</v>
          </cell>
          <cell r="EN713">
            <v>465.4</v>
          </cell>
        </row>
        <row r="714">
          <cell r="A714">
            <v>95</v>
          </cell>
          <cell r="B714" t="str">
            <v>FG</v>
          </cell>
          <cell r="C714" t="str">
            <v>FM</v>
          </cell>
          <cell r="D714" t="str">
            <v>C14&gt;99%</v>
          </cell>
          <cell r="E714" t="str">
            <v>C14&gt;99%</v>
          </cell>
        </row>
        <row r="715">
          <cell r="A715">
            <v>96</v>
          </cell>
          <cell r="B715" t="str">
            <v>FG</v>
          </cell>
          <cell r="C715" t="str">
            <v>FM</v>
          </cell>
          <cell r="D715" t="str">
            <v>C12+14&gt;99</v>
          </cell>
          <cell r="E715" t="str">
            <v>C12-C14</v>
          </cell>
          <cell r="F715">
            <v>138.6</v>
          </cell>
          <cell r="I715">
            <v>588.29999999999995</v>
          </cell>
          <cell r="O715">
            <v>245.7</v>
          </cell>
          <cell r="R715">
            <v>747.2</v>
          </cell>
          <cell r="X715">
            <v>457.2</v>
          </cell>
          <cell r="AA715">
            <v>1815.8</v>
          </cell>
          <cell r="AG715">
            <v>457.2</v>
          </cell>
          <cell r="AJ715">
            <v>1601</v>
          </cell>
          <cell r="AP715">
            <v>181.8</v>
          </cell>
          <cell r="AS715">
            <v>1129</v>
          </cell>
          <cell r="AW715">
            <v>30</v>
          </cell>
          <cell r="BB715">
            <v>1268.4000000000001</v>
          </cell>
          <cell r="BK715">
            <v>1506</v>
          </cell>
          <cell r="BT715">
            <v>31.3</v>
          </cell>
          <cell r="CL715">
            <v>692.5</v>
          </cell>
          <cell r="CU715">
            <v>392.8</v>
          </cell>
          <cell r="DD715">
            <v>310.60000000000002</v>
          </cell>
          <cell r="DM715">
            <v>82.2</v>
          </cell>
          <cell r="DV715">
            <v>210.1</v>
          </cell>
          <cell r="EE715">
            <v>210.1</v>
          </cell>
          <cell r="EN715">
            <v>208.3</v>
          </cell>
        </row>
        <row r="716">
          <cell r="A716">
            <v>248</v>
          </cell>
          <cell r="B716" t="str">
            <v>FG</v>
          </cell>
          <cell r="C716" t="str">
            <v>FM</v>
          </cell>
          <cell r="D716" t="str">
            <v>C12+14&gt;99 (IMP)</v>
          </cell>
          <cell r="E716" t="str">
            <v>C12-C14 (IMP)</v>
          </cell>
        </row>
        <row r="717">
          <cell r="A717">
            <v>97</v>
          </cell>
          <cell r="B717" t="str">
            <v>FG</v>
          </cell>
          <cell r="C717" t="str">
            <v>FM</v>
          </cell>
          <cell r="D717" t="str">
            <v>C12+C14+C16&gt;99</v>
          </cell>
          <cell r="E717" t="str">
            <v>C12-C16</v>
          </cell>
        </row>
        <row r="718">
          <cell r="A718">
            <v>98</v>
          </cell>
          <cell r="B718" t="str">
            <v>FG</v>
          </cell>
          <cell r="C718" t="str">
            <v>FM</v>
          </cell>
          <cell r="D718" t="str">
            <v>C16&gt;90%</v>
          </cell>
          <cell r="E718" t="str">
            <v>C16&gt;90%</v>
          </cell>
          <cell r="EE718">
            <v>190.7</v>
          </cell>
        </row>
        <row r="719">
          <cell r="A719">
            <v>99</v>
          </cell>
          <cell r="B719" t="str">
            <v>FG</v>
          </cell>
          <cell r="C719" t="str">
            <v>FM</v>
          </cell>
          <cell r="D719" t="str">
            <v>C16&gt;99%</v>
          </cell>
          <cell r="E719" t="str">
            <v>C16&gt;99%</v>
          </cell>
          <cell r="F719">
            <v>413.57353000000001</v>
          </cell>
          <cell r="I719">
            <v>434.1</v>
          </cell>
          <cell r="M719">
            <v>302.91000000000003</v>
          </cell>
          <cell r="O719">
            <v>413.57353000000001</v>
          </cell>
          <cell r="R719">
            <v>434</v>
          </cell>
          <cell r="V719">
            <v>302.91000000000003</v>
          </cell>
          <cell r="X719">
            <v>413.57353000000001</v>
          </cell>
          <cell r="AA719">
            <v>434</v>
          </cell>
          <cell r="AG719">
            <v>413.57353000000001</v>
          </cell>
          <cell r="AJ719">
            <v>434.10514285714288</v>
          </cell>
          <cell r="AP719">
            <v>413.57353000000001</v>
          </cell>
          <cell r="AS719">
            <v>434.1</v>
          </cell>
          <cell r="AY719">
            <v>332.46358000000004</v>
          </cell>
          <cell r="BB719">
            <v>215.2</v>
          </cell>
          <cell r="BF719">
            <v>27</v>
          </cell>
          <cell r="BH719">
            <v>177.22087999999999</v>
          </cell>
          <cell r="BK719">
            <v>2.4</v>
          </cell>
          <cell r="BQ719">
            <v>176.34873000000002</v>
          </cell>
          <cell r="BZ719">
            <v>175.47658000000001</v>
          </cell>
          <cell r="CI719">
            <v>175.47658000000001</v>
          </cell>
          <cell r="CR719">
            <v>224.31698</v>
          </cell>
          <cell r="DA719">
            <v>276.64598000000007</v>
          </cell>
          <cell r="DD719">
            <v>55.2</v>
          </cell>
          <cell r="DJ719">
            <v>42.909779999999998</v>
          </cell>
          <cell r="DM719">
            <v>371.6</v>
          </cell>
          <cell r="DQ719">
            <v>105.23</v>
          </cell>
          <cell r="DS719">
            <v>55.119880000000002</v>
          </cell>
          <cell r="DV719">
            <v>596</v>
          </cell>
          <cell r="DZ719">
            <v>17</v>
          </cell>
        </row>
        <row r="720">
          <cell r="A720">
            <v>100</v>
          </cell>
          <cell r="B720" t="str">
            <v>FG</v>
          </cell>
          <cell r="C720" t="str">
            <v>FM</v>
          </cell>
          <cell r="D720" t="str">
            <v>DFA C16/C18</v>
          </cell>
          <cell r="E720" t="str">
            <v>DFA C16/C18</v>
          </cell>
          <cell r="AA720">
            <v>118.12</v>
          </cell>
          <cell r="AE720">
            <v>360</v>
          </cell>
          <cell r="AJ720">
            <v>257.39999999999998</v>
          </cell>
          <cell r="AN720">
            <v>216.72</v>
          </cell>
          <cell r="AW720">
            <v>236.79</v>
          </cell>
          <cell r="BB720">
            <v>992.9</v>
          </cell>
          <cell r="BK720">
            <v>358.416</v>
          </cell>
          <cell r="BO720">
            <v>297.48</v>
          </cell>
          <cell r="BX720">
            <v>297.48</v>
          </cell>
        </row>
        <row r="721">
          <cell r="A721">
            <v>101</v>
          </cell>
          <cell r="B721" t="str">
            <v>FG</v>
          </cell>
          <cell r="C721" t="str">
            <v>FM</v>
          </cell>
          <cell r="D721" t="str">
            <v>C18&gt;95%</v>
          </cell>
          <cell r="E721" t="str">
            <v>C18&gt;95%</v>
          </cell>
          <cell r="DD721">
            <v>169</v>
          </cell>
          <cell r="DM721">
            <v>305.2</v>
          </cell>
          <cell r="DV721">
            <v>305.2</v>
          </cell>
          <cell r="EE721">
            <v>470.7</v>
          </cell>
          <cell r="EN721">
            <v>242</v>
          </cell>
        </row>
        <row r="722">
          <cell r="A722">
            <v>102</v>
          </cell>
          <cell r="B722" t="str">
            <v>FG</v>
          </cell>
          <cell r="C722" t="str">
            <v>FM</v>
          </cell>
          <cell r="D722" t="str">
            <v>OLEIC-K</v>
          </cell>
          <cell r="E722" t="str">
            <v>OLEIC-K</v>
          </cell>
          <cell r="F722">
            <v>146.59</v>
          </cell>
          <cell r="O722">
            <v>141.24</v>
          </cell>
          <cell r="X722">
            <v>87.74</v>
          </cell>
          <cell r="AG722">
            <v>214</v>
          </cell>
          <cell r="AP722">
            <v>167.99</v>
          </cell>
          <cell r="AY722">
            <v>160.5</v>
          </cell>
          <cell r="BH722">
            <v>121.98</v>
          </cell>
          <cell r="BQ722">
            <v>282.48</v>
          </cell>
          <cell r="BZ722">
            <v>361.66</v>
          </cell>
          <cell r="CI722">
            <v>321</v>
          </cell>
          <cell r="CR722">
            <v>321</v>
          </cell>
          <cell r="DA722">
            <v>280.33999999999997</v>
          </cell>
          <cell r="DJ722">
            <v>228.98</v>
          </cell>
          <cell r="DS722">
            <v>188.32</v>
          </cell>
          <cell r="EB722">
            <v>188.32</v>
          </cell>
          <cell r="EK722">
            <v>188.32</v>
          </cell>
        </row>
        <row r="723">
          <cell r="A723">
            <v>103</v>
          </cell>
          <cell r="B723" t="str">
            <v>FG</v>
          </cell>
          <cell r="C723" t="str">
            <v>FM</v>
          </cell>
          <cell r="D723" t="str">
            <v>C16+C18(30:70)TA</v>
          </cell>
          <cell r="E723" t="str">
            <v>C16-C18</v>
          </cell>
          <cell r="AS723">
            <v>753.4</v>
          </cell>
          <cell r="BT723">
            <v>275.89999999999998</v>
          </cell>
          <cell r="CC723">
            <v>573.9</v>
          </cell>
          <cell r="CL723">
            <v>565.6</v>
          </cell>
          <cell r="CU723">
            <v>565.6</v>
          </cell>
          <cell r="DD723">
            <v>368.1</v>
          </cell>
          <cell r="DJ723">
            <v>232.2</v>
          </cell>
          <cell r="DM723">
            <v>151.9</v>
          </cell>
          <cell r="DS723">
            <v>387</v>
          </cell>
          <cell r="DV723">
            <v>481.9</v>
          </cell>
          <cell r="DZ723">
            <v>98.41</v>
          </cell>
          <cell r="EE723">
            <v>68.099999999999994</v>
          </cell>
        </row>
        <row r="724">
          <cell r="A724">
            <v>104</v>
          </cell>
          <cell r="B724" t="str">
            <v>FG</v>
          </cell>
          <cell r="C724" t="str">
            <v>FM</v>
          </cell>
          <cell r="D724" t="str">
            <v>HYD.RBDPS-G3</v>
          </cell>
          <cell r="E724" t="str">
            <v>HYD.RBDPS</v>
          </cell>
          <cell r="DD724">
            <v>1.5</v>
          </cell>
          <cell r="DM724">
            <v>100.8</v>
          </cell>
          <cell r="DV724">
            <v>177.39999999999998</v>
          </cell>
          <cell r="EE724">
            <v>91</v>
          </cell>
          <cell r="EI724">
            <v>15.02</v>
          </cell>
          <cell r="EN724">
            <v>63.9</v>
          </cell>
        </row>
        <row r="725">
          <cell r="A725">
            <v>105</v>
          </cell>
          <cell r="B725" t="str">
            <v>FG</v>
          </cell>
          <cell r="C725" t="str">
            <v>SM</v>
          </cell>
          <cell r="D725" t="str">
            <v>L/E MUSTARD C1820</v>
          </cell>
          <cell r="E725" t="str">
            <v>DFA C18C20 MFA</v>
          </cell>
          <cell r="G725">
            <v>181.84100000000001</v>
          </cell>
          <cell r="P725">
            <v>181.416</v>
          </cell>
          <cell r="Y725">
            <v>181.84100000000001</v>
          </cell>
          <cell r="AH725">
            <v>166.541</v>
          </cell>
          <cell r="AQ725">
            <v>166.11599999999999</v>
          </cell>
          <cell r="AZ725">
            <v>156.76600000000002</v>
          </cell>
          <cell r="BI725">
            <v>156.51100000000002</v>
          </cell>
          <cell r="BR725">
            <v>157.61599999999999</v>
          </cell>
          <cell r="CA725">
            <v>156.76600000000002</v>
          </cell>
          <cell r="CJ725">
            <v>156.76600000000002</v>
          </cell>
          <cell r="CS725">
            <v>156.76600000000002</v>
          </cell>
          <cell r="DB725">
            <v>153.36599999999999</v>
          </cell>
          <cell r="DK725">
            <v>141.89100000000002</v>
          </cell>
          <cell r="DT725">
            <v>132.11599999999999</v>
          </cell>
          <cell r="EC725">
            <v>124.46599999999999</v>
          </cell>
          <cell r="EL725">
            <v>116.816</v>
          </cell>
        </row>
        <row r="726">
          <cell r="A726">
            <v>106</v>
          </cell>
          <cell r="B726" t="str">
            <v>FG</v>
          </cell>
          <cell r="C726" t="str">
            <v>SM</v>
          </cell>
          <cell r="D726" t="str">
            <v>L/E MUSTARD UPTO C18 (OLEIC 15)</v>
          </cell>
          <cell r="E726" t="str">
            <v>DFA C18 PURE MFA (OLEIC 15)</v>
          </cell>
          <cell r="G726">
            <v>13.965999999999999</v>
          </cell>
          <cell r="P726">
            <v>3.7659999999999996</v>
          </cell>
          <cell r="Y726">
            <v>0.36599999999999966</v>
          </cell>
        </row>
        <row r="727">
          <cell r="A727">
            <v>107</v>
          </cell>
          <cell r="B727" t="str">
            <v>FG</v>
          </cell>
          <cell r="C727" t="str">
            <v>SM</v>
          </cell>
          <cell r="D727" t="str">
            <v>DC20+22&gt;98%</v>
          </cell>
          <cell r="E727" t="str">
            <v>C20-C22</v>
          </cell>
          <cell r="G727">
            <v>7.5803024000000034</v>
          </cell>
          <cell r="P727">
            <v>7.5803024000000034</v>
          </cell>
          <cell r="R727">
            <v>271.8</v>
          </cell>
          <cell r="Y727">
            <v>7.5803024000000034</v>
          </cell>
          <cell r="AH727">
            <v>7.5803024000000034</v>
          </cell>
          <cell r="AQ727">
            <v>7.5803024000000034</v>
          </cell>
          <cell r="AZ727">
            <v>7.5803024000000034</v>
          </cell>
          <cell r="BI727">
            <v>7.5803024000000034</v>
          </cell>
          <cell r="BR727">
            <v>7.5803024000000034</v>
          </cell>
          <cell r="CA727">
            <v>7.5803024000000034</v>
          </cell>
          <cell r="CJ727">
            <v>7.5803024000000034</v>
          </cell>
          <cell r="CS727">
            <v>6.8792824000000037</v>
          </cell>
          <cell r="DB727">
            <v>6.8792824000000037</v>
          </cell>
          <cell r="DK727">
            <v>6.8792824000000037</v>
          </cell>
          <cell r="DT727">
            <v>6.8792824000000037</v>
          </cell>
          <cell r="EC727">
            <v>6.8792824000000037</v>
          </cell>
          <cell r="EL727">
            <v>6.8792824000000037</v>
          </cell>
        </row>
        <row r="728">
          <cell r="A728">
            <v>108</v>
          </cell>
          <cell r="B728" t="str">
            <v>FG</v>
          </cell>
          <cell r="C728" t="str">
            <v>FM</v>
          </cell>
          <cell r="D728" t="str">
            <v>DC22:1&gt;90%</v>
          </cell>
          <cell r="E728" t="str">
            <v>ERUCIC</v>
          </cell>
          <cell r="G728">
            <v>77.290999999999997</v>
          </cell>
          <cell r="P728">
            <v>64.116</v>
          </cell>
          <cell r="Y728">
            <v>61.991</v>
          </cell>
          <cell r="AH728">
            <v>61.566000000000003</v>
          </cell>
          <cell r="AQ728">
            <v>61.566000000000003</v>
          </cell>
          <cell r="AZ728">
            <v>40.316000000000003</v>
          </cell>
          <cell r="BI728">
            <v>39.466000000000001</v>
          </cell>
          <cell r="BR728">
            <v>40.316000000000003</v>
          </cell>
          <cell r="CA728">
            <v>19.065999999999999</v>
          </cell>
          <cell r="CJ728">
            <v>19.065999999999999</v>
          </cell>
          <cell r="CS728">
            <v>18.216000000000001</v>
          </cell>
          <cell r="DB728">
            <v>18.216000000000001</v>
          </cell>
          <cell r="DK728">
            <v>18.216000000000001</v>
          </cell>
          <cell r="DT728">
            <v>18.216000000000001</v>
          </cell>
          <cell r="EC728">
            <v>18.216000000000001</v>
          </cell>
          <cell r="EL728">
            <v>108.682</v>
          </cell>
        </row>
        <row r="729">
          <cell r="A729">
            <v>109</v>
          </cell>
          <cell r="B729" t="str">
            <v>FG</v>
          </cell>
          <cell r="C729" t="str">
            <v>FM</v>
          </cell>
          <cell r="D729" t="str">
            <v>D C18/C22 - R</v>
          </cell>
          <cell r="E729" t="str">
            <v>D C18/C22 - R</v>
          </cell>
          <cell r="G729">
            <v>1022.8706</v>
          </cell>
          <cell r="P729">
            <v>1022.8706</v>
          </cell>
          <cell r="Y729">
            <v>1020.158</v>
          </cell>
          <cell r="AH729">
            <v>1014.7327999999999</v>
          </cell>
          <cell r="AQ729">
            <v>1014.7327999999999</v>
          </cell>
          <cell r="AZ729">
            <v>1012.0201999999999</v>
          </cell>
          <cell r="BI729">
            <v>1014.7327999999999</v>
          </cell>
          <cell r="BR729">
            <v>1014.7327999999999</v>
          </cell>
          <cell r="CA729">
            <v>1014.7327999999999</v>
          </cell>
          <cell r="CJ729">
            <v>998.45719999999994</v>
          </cell>
          <cell r="CS729">
            <v>998.45719999999994</v>
          </cell>
          <cell r="DB729">
            <v>998.45719999999994</v>
          </cell>
          <cell r="DK729">
            <v>976.75639999999999</v>
          </cell>
          <cell r="DT729">
            <v>976.75639999999999</v>
          </cell>
          <cell r="EC729">
            <v>976.75639999999999</v>
          </cell>
          <cell r="EL729">
            <v>949.63040000000001</v>
          </cell>
          <cell r="EN729">
            <v>97.8</v>
          </cell>
        </row>
        <row r="730">
          <cell r="A730">
            <v>110</v>
          </cell>
          <cell r="B730" t="str">
            <v>FG</v>
          </cell>
          <cell r="C730" t="str">
            <v>FM</v>
          </cell>
          <cell r="D730" t="str">
            <v>BEHENIC-90</v>
          </cell>
          <cell r="E730" t="str">
            <v>BEHENIC-90</v>
          </cell>
        </row>
        <row r="731">
          <cell r="A731">
            <v>111</v>
          </cell>
          <cell r="B731" t="str">
            <v>FG</v>
          </cell>
          <cell r="C731" t="str">
            <v>FM</v>
          </cell>
          <cell r="D731" t="str">
            <v>BEHENIC-75</v>
          </cell>
          <cell r="E731" t="str">
            <v>BEHENIC-75</v>
          </cell>
        </row>
        <row r="732">
          <cell r="A732">
            <v>112</v>
          </cell>
          <cell r="B732" t="str">
            <v>FG</v>
          </cell>
          <cell r="C732" t="str">
            <v>FM</v>
          </cell>
          <cell r="D732" t="str">
            <v>BEHENIC-85</v>
          </cell>
          <cell r="E732" t="str">
            <v>BEHENIC-85</v>
          </cell>
        </row>
        <row r="733">
          <cell r="A733">
            <v>113</v>
          </cell>
          <cell r="B733" t="str">
            <v>FG</v>
          </cell>
          <cell r="C733" t="str">
            <v>FM</v>
          </cell>
          <cell r="D733" t="str">
            <v>UTSR</v>
          </cell>
          <cell r="E733" t="str">
            <v>UTSR</v>
          </cell>
          <cell r="O733">
            <v>43.274999999999999</v>
          </cell>
          <cell r="X733">
            <v>49.005000000000003</v>
          </cell>
          <cell r="AP733">
            <v>4.2839999999999998</v>
          </cell>
          <cell r="AY733">
            <v>10.763</v>
          </cell>
          <cell r="BH733">
            <v>6.33</v>
          </cell>
          <cell r="BQ733">
            <v>77.935000000000002</v>
          </cell>
          <cell r="BZ733">
            <v>59.61</v>
          </cell>
          <cell r="CC733">
            <v>261.89999999999998</v>
          </cell>
          <cell r="CI733">
            <v>4.95</v>
          </cell>
          <cell r="CL733">
            <v>130.1</v>
          </cell>
          <cell r="CP733">
            <v>14.88</v>
          </cell>
          <cell r="CR733">
            <v>69.3</v>
          </cell>
          <cell r="CU733">
            <v>3.7</v>
          </cell>
          <cell r="DD733">
            <v>67.7</v>
          </cell>
          <cell r="DJ733">
            <v>23.92</v>
          </cell>
          <cell r="DM733">
            <v>1.2</v>
          </cell>
          <cell r="DS733">
            <v>87.614999999999995</v>
          </cell>
          <cell r="EB733">
            <v>83.655000000000001</v>
          </cell>
          <cell r="EI733">
            <v>27.75</v>
          </cell>
          <cell r="EK733">
            <v>91.08</v>
          </cell>
        </row>
        <row r="734">
          <cell r="A734">
            <v>114</v>
          </cell>
          <cell r="B734" t="str">
            <v>FG</v>
          </cell>
          <cell r="C734" t="str">
            <v>FM</v>
          </cell>
          <cell r="D734" t="str">
            <v>P-12</v>
          </cell>
          <cell r="E734" t="str">
            <v>P-12</v>
          </cell>
          <cell r="R734">
            <v>71</v>
          </cell>
          <cell r="BO734">
            <v>15</v>
          </cell>
        </row>
        <row r="735">
          <cell r="A735">
            <v>115</v>
          </cell>
          <cell r="B735" t="str">
            <v>FG</v>
          </cell>
          <cell r="C735" t="str">
            <v>FM</v>
          </cell>
          <cell r="D735" t="str">
            <v>DTP-7</v>
          </cell>
          <cell r="E735" t="str">
            <v>DTP-7</v>
          </cell>
          <cell r="X735">
            <v>78.704999999999998</v>
          </cell>
          <cell r="AG735">
            <v>49.5</v>
          </cell>
          <cell r="AS735">
            <v>180</v>
          </cell>
          <cell r="BT735">
            <v>98.2</v>
          </cell>
          <cell r="BX735">
            <v>6</v>
          </cell>
          <cell r="BZ735">
            <v>104.4</v>
          </cell>
          <cell r="CC735">
            <v>14.6</v>
          </cell>
          <cell r="CI735">
            <v>30.6</v>
          </cell>
          <cell r="CL735">
            <v>154.9</v>
          </cell>
          <cell r="CU735">
            <v>154.9</v>
          </cell>
          <cell r="DD735">
            <v>91.6</v>
          </cell>
          <cell r="DM735">
            <v>73.7</v>
          </cell>
          <cell r="DV735">
            <v>140.69999999999999</v>
          </cell>
          <cell r="EE735">
            <v>267.8</v>
          </cell>
          <cell r="EN735">
            <v>103.6</v>
          </cell>
        </row>
        <row r="736">
          <cell r="A736">
            <v>116</v>
          </cell>
          <cell r="B736" t="str">
            <v>FG</v>
          </cell>
          <cell r="C736" t="str">
            <v>FM</v>
          </cell>
          <cell r="D736" t="str">
            <v>DTP-CT</v>
          </cell>
          <cell r="E736" t="str">
            <v>DTP-CT</v>
          </cell>
          <cell r="N736">
            <v>0</v>
          </cell>
          <cell r="BQ736">
            <v>71.28</v>
          </cell>
          <cell r="BZ736">
            <v>74.25</v>
          </cell>
          <cell r="CI736">
            <v>72.27</v>
          </cell>
          <cell r="CR736">
            <v>27.72</v>
          </cell>
        </row>
        <row r="737">
          <cell r="A737">
            <v>117</v>
          </cell>
          <cell r="B737" t="str">
            <v>FG</v>
          </cell>
          <cell r="C737" t="str">
            <v>FM</v>
          </cell>
          <cell r="D737" t="str">
            <v>REFINED GLYCERINE-CP</v>
          </cell>
          <cell r="E737" t="str">
            <v>REFINED GLYCERINE-CP</v>
          </cell>
          <cell r="F737">
            <v>16.45</v>
          </cell>
          <cell r="J737">
            <v>30.404</v>
          </cell>
          <cell r="K737">
            <v>96.1</v>
          </cell>
          <cell r="O737">
            <v>7.52</v>
          </cell>
          <cell r="S737">
            <v>30.404</v>
          </cell>
          <cell r="U737">
            <v>80.180000000000007</v>
          </cell>
          <cell r="V737">
            <v>15</v>
          </cell>
          <cell r="X737">
            <v>7.52</v>
          </cell>
          <cell r="AB737">
            <v>94.212000000000003</v>
          </cell>
          <cell r="AC737">
            <v>44.45</v>
          </cell>
          <cell r="AG737">
            <v>7.52</v>
          </cell>
          <cell r="AL737">
            <v>33.049999999999997</v>
          </cell>
          <cell r="AP737">
            <v>12.38</v>
          </cell>
          <cell r="AT737">
            <v>65.305999999999997</v>
          </cell>
          <cell r="AV737">
            <v>62.96</v>
          </cell>
          <cell r="AY737">
            <v>12.38</v>
          </cell>
          <cell r="BC737">
            <v>86.304000000000002</v>
          </cell>
          <cell r="BD737">
            <v>114.31</v>
          </cell>
          <cell r="BL737">
            <v>93.09</v>
          </cell>
          <cell r="BM737">
            <v>258.07</v>
          </cell>
          <cell r="BQ737">
            <v>5.875</v>
          </cell>
          <cell r="BU737">
            <v>53.09</v>
          </cell>
          <cell r="BW737">
            <v>243.11</v>
          </cell>
          <cell r="BZ737">
            <v>3.5249999999999999</v>
          </cell>
          <cell r="CD737">
            <v>85.26</v>
          </cell>
          <cell r="CF737">
            <v>213.32</v>
          </cell>
          <cell r="CI737">
            <v>11</v>
          </cell>
          <cell r="CM737">
            <v>100.864</v>
          </cell>
          <cell r="CN737">
            <v>330.57</v>
          </cell>
          <cell r="CR737">
            <v>17.309999999999999</v>
          </cell>
          <cell r="CV737">
            <v>83.171999999999997</v>
          </cell>
          <cell r="CW737">
            <v>330.57</v>
          </cell>
          <cell r="DE737">
            <v>60.48</v>
          </cell>
          <cell r="DF737">
            <v>353.81</v>
          </cell>
          <cell r="DN737">
            <v>40.548000000000002</v>
          </cell>
          <cell r="DO737">
            <v>352.67</v>
          </cell>
          <cell r="DS737">
            <v>8</v>
          </cell>
          <cell r="DW737">
            <v>42.68</v>
          </cell>
          <cell r="DX737">
            <v>328.98</v>
          </cell>
          <cell r="EB737">
            <v>8.2249999999999996</v>
          </cell>
          <cell r="EF737">
            <v>18.443999999999999</v>
          </cell>
          <cell r="EG737">
            <v>270.97000000000003</v>
          </cell>
          <cell r="EK737">
            <v>3.5249999999999999</v>
          </cell>
          <cell r="EO737">
            <v>37.061999999999998</v>
          </cell>
          <cell r="EP737">
            <v>139.41999999999999</v>
          </cell>
        </row>
        <row r="738">
          <cell r="A738">
            <v>118</v>
          </cell>
          <cell r="B738" t="str">
            <v>FG</v>
          </cell>
          <cell r="C738" t="str">
            <v>FM</v>
          </cell>
          <cell r="D738" t="str">
            <v>REFINED GLYCERINE-IP</v>
          </cell>
          <cell r="E738" t="str">
            <v>REFINED GLYCERINE-IP</v>
          </cell>
          <cell r="J738">
            <v>21.920999999999999</v>
          </cell>
          <cell r="S738">
            <v>21.920999999999999</v>
          </cell>
          <cell r="AB738">
            <v>6.2290000000000001</v>
          </cell>
          <cell r="AT738">
            <v>69.688999999999993</v>
          </cell>
          <cell r="BC738">
            <v>88.28</v>
          </cell>
          <cell r="BL738">
            <v>13.28</v>
          </cell>
          <cell r="BU738">
            <v>64.013999999999996</v>
          </cell>
          <cell r="CD738">
            <v>29.283000000000001</v>
          </cell>
          <cell r="CM738">
            <v>8.8510000000000009</v>
          </cell>
          <cell r="CV738">
            <v>116.164</v>
          </cell>
          <cell r="DE738">
            <v>82.997</v>
          </cell>
          <cell r="DN738">
            <v>57.997</v>
          </cell>
          <cell r="DW738">
            <v>2.9969999999999999</v>
          </cell>
          <cell r="EF738">
            <v>25.423999999999999</v>
          </cell>
          <cell r="EO738">
            <v>59.296999999999997</v>
          </cell>
        </row>
        <row r="739">
          <cell r="A739">
            <v>119</v>
          </cell>
          <cell r="B739" t="str">
            <v>FG</v>
          </cell>
          <cell r="C739" t="str">
            <v>FM</v>
          </cell>
          <cell r="D739" t="str">
            <v>REFINED GLYCERINE-USP</v>
          </cell>
          <cell r="E739" t="str">
            <v>REFINED GLYCERINE-USP</v>
          </cell>
          <cell r="F739">
            <v>131.81</v>
          </cell>
          <cell r="O739">
            <v>127.78999999999999</v>
          </cell>
          <cell r="X739">
            <v>98.47</v>
          </cell>
          <cell r="AG739">
            <v>83.2</v>
          </cell>
          <cell r="AP739">
            <v>50.066000000000003</v>
          </cell>
          <cell r="AY739">
            <v>67.790000000000006</v>
          </cell>
          <cell r="BH739">
            <v>150.5</v>
          </cell>
          <cell r="BQ739">
            <v>187.81</v>
          </cell>
          <cell r="BZ739">
            <v>176.82</v>
          </cell>
          <cell r="CI739">
            <v>60.73</v>
          </cell>
          <cell r="CR739">
            <v>51.07</v>
          </cell>
          <cell r="DA739">
            <v>93.28</v>
          </cell>
          <cell r="DJ739">
            <v>163.65</v>
          </cell>
          <cell r="DS739">
            <v>111.22</v>
          </cell>
          <cell r="EB739">
            <v>98.18</v>
          </cell>
          <cell r="EK739">
            <v>133.96</v>
          </cell>
        </row>
        <row r="740">
          <cell r="A740">
            <v>120</v>
          </cell>
          <cell r="B740" t="str">
            <v>FG</v>
          </cell>
          <cell r="C740" t="str">
            <v>FM</v>
          </cell>
          <cell r="D740" t="str">
            <v>REFINED GLYCERINE-JP</v>
          </cell>
          <cell r="E740" t="str">
            <v>REFINED GLYCERINE-JP</v>
          </cell>
          <cell r="F740">
            <v>5</v>
          </cell>
          <cell r="O740">
            <v>5</v>
          </cell>
          <cell r="X740">
            <v>5</v>
          </cell>
          <cell r="AG740">
            <v>7</v>
          </cell>
          <cell r="AP740">
            <v>23</v>
          </cell>
          <cell r="AY740">
            <v>11</v>
          </cell>
          <cell r="BH740">
            <v>13</v>
          </cell>
          <cell r="BQ740">
            <v>11</v>
          </cell>
          <cell r="BZ740">
            <v>13</v>
          </cell>
          <cell r="CI740">
            <v>24</v>
          </cell>
          <cell r="CR740">
            <v>28</v>
          </cell>
          <cell r="DA740">
            <v>11</v>
          </cell>
          <cell r="DJ740">
            <v>12</v>
          </cell>
          <cell r="DS740">
            <v>26</v>
          </cell>
          <cell r="EB740">
            <v>24</v>
          </cell>
          <cell r="EK740">
            <v>28</v>
          </cell>
        </row>
        <row r="741">
          <cell r="A741">
            <v>238</v>
          </cell>
          <cell r="B741" t="str">
            <v>FG</v>
          </cell>
          <cell r="C741" t="str">
            <v>FM</v>
          </cell>
          <cell r="D741" t="str">
            <v>DFA C18/C22 C22:1</v>
          </cell>
          <cell r="E741" t="str">
            <v>DFA C18/C22 C22:1</v>
          </cell>
        </row>
        <row r="742">
          <cell r="A742">
            <v>243</v>
          </cell>
          <cell r="B742" t="str">
            <v>FG</v>
          </cell>
          <cell r="C742" t="str">
            <v>FM</v>
          </cell>
          <cell r="D742" t="str">
            <v>STEARIC-90</v>
          </cell>
          <cell r="E742" t="str">
            <v>STEARIC-90</v>
          </cell>
        </row>
        <row r="743">
          <cell r="A743">
            <v>245</v>
          </cell>
          <cell r="B743" t="str">
            <v>FG</v>
          </cell>
          <cell r="C743" t="str">
            <v>FM</v>
          </cell>
          <cell r="D743" t="str">
            <v>HPS</v>
          </cell>
          <cell r="E743" t="str">
            <v>HPS</v>
          </cell>
        </row>
        <row r="744">
          <cell r="A744">
            <v>249</v>
          </cell>
          <cell r="B744" t="str">
            <v>FG</v>
          </cell>
          <cell r="C744" t="str">
            <v>FM</v>
          </cell>
          <cell r="D744" t="str">
            <v>OLEIC - IG</v>
          </cell>
          <cell r="E744" t="str">
            <v>OLEIC - IG</v>
          </cell>
        </row>
        <row r="745">
          <cell r="F745">
            <v>1357.8862799999999</v>
          </cell>
          <cell r="G745">
            <v>1588.6019024</v>
          </cell>
          <cell r="H745">
            <v>1406.6200000000001</v>
          </cell>
          <cell r="I745">
            <v>3065.4</v>
          </cell>
          <cell r="J745">
            <v>264.54700000000003</v>
          </cell>
          <cell r="K745">
            <v>96.1</v>
          </cell>
          <cell r="L745">
            <v>0</v>
          </cell>
          <cell r="M745">
            <v>352.47</v>
          </cell>
          <cell r="O745">
            <v>1573.51063</v>
          </cell>
          <cell r="P745">
            <v>1587.0119024000001</v>
          </cell>
          <cell r="Q745">
            <v>1406.89</v>
          </cell>
          <cell r="R745">
            <v>3344.5</v>
          </cell>
          <cell r="S745">
            <v>278.98399999999998</v>
          </cell>
          <cell r="T745">
            <v>0</v>
          </cell>
          <cell r="U745">
            <v>80.180000000000007</v>
          </cell>
          <cell r="V745">
            <v>317.91000000000003</v>
          </cell>
          <cell r="W745">
            <v>0</v>
          </cell>
          <cell r="X745">
            <v>1643.4892300000001</v>
          </cell>
          <cell r="Y745">
            <v>1734.2683024</v>
          </cell>
          <cell r="Z745">
            <v>1227.94</v>
          </cell>
          <cell r="AA745">
            <v>3884.62</v>
          </cell>
          <cell r="AB745">
            <v>387.48999999999995</v>
          </cell>
          <cell r="AC745">
            <v>44.45</v>
          </cell>
          <cell r="AD745">
            <v>0</v>
          </cell>
          <cell r="AE745">
            <v>360</v>
          </cell>
          <cell r="AF745">
            <v>0</v>
          </cell>
          <cell r="AG745">
            <v>1783.70598</v>
          </cell>
          <cell r="AH745">
            <v>1743.9921024</v>
          </cell>
          <cell r="AI745">
            <v>1110.5400000000002</v>
          </cell>
          <cell r="AJ745">
            <v>3970.8478285714286</v>
          </cell>
          <cell r="AK745">
            <v>0</v>
          </cell>
          <cell r="AL745">
            <v>33.049999999999997</v>
          </cell>
          <cell r="AM745">
            <v>0</v>
          </cell>
          <cell r="AN745">
            <v>216.72</v>
          </cell>
          <cell r="AO745">
            <v>0</v>
          </cell>
          <cell r="AP745">
            <v>1512.1813800000004</v>
          </cell>
          <cell r="AQ745">
            <v>1384.1321023999999</v>
          </cell>
          <cell r="AR745">
            <v>1238.8700000000001</v>
          </cell>
          <cell r="AS745">
            <v>3932.5</v>
          </cell>
          <cell r="AT745">
            <v>134.995</v>
          </cell>
          <cell r="AU745">
            <v>0</v>
          </cell>
          <cell r="AV745">
            <v>62.96</v>
          </cell>
          <cell r="AW745">
            <v>266.78999999999996</v>
          </cell>
          <cell r="AX745">
            <v>0</v>
          </cell>
          <cell r="AY745">
            <v>1258.7136800000001</v>
          </cell>
          <cell r="AZ745">
            <v>1408.2785024</v>
          </cell>
          <cell r="BA745">
            <v>1175.8600000000001</v>
          </cell>
          <cell r="BB745">
            <v>3403.4</v>
          </cell>
          <cell r="BC745">
            <v>494.07899999999995</v>
          </cell>
          <cell r="BD745">
            <v>114.31</v>
          </cell>
          <cell r="BE745">
            <v>0</v>
          </cell>
          <cell r="BF745">
            <v>27</v>
          </cell>
          <cell r="BG745">
            <v>0</v>
          </cell>
          <cell r="BH745">
            <v>1004.85083</v>
          </cell>
          <cell r="BI745">
            <v>1773.5123024</v>
          </cell>
          <cell r="BJ745">
            <v>1175.8600000000001</v>
          </cell>
          <cell r="BK745">
            <v>3209.2988857142859</v>
          </cell>
          <cell r="BL745">
            <v>106.37</v>
          </cell>
          <cell r="BM745">
            <v>258.07</v>
          </cell>
          <cell r="BN745">
            <v>0</v>
          </cell>
          <cell r="BO745">
            <v>312.48</v>
          </cell>
          <cell r="BP745">
            <v>0</v>
          </cell>
          <cell r="BQ745">
            <v>1364.62573</v>
          </cell>
          <cell r="BR745">
            <v>1577.7023024</v>
          </cell>
          <cell r="BS745">
            <v>1166.9100000000001</v>
          </cell>
          <cell r="BT745">
            <v>1414.1000000000001</v>
          </cell>
          <cell r="BU745">
            <v>117.104</v>
          </cell>
          <cell r="BV745">
            <v>0</v>
          </cell>
          <cell r="BW745">
            <v>243.11</v>
          </cell>
          <cell r="BX745">
            <v>303.48</v>
          </cell>
          <cell r="BY745">
            <v>0</v>
          </cell>
          <cell r="BZ745">
            <v>1399.5802800000001</v>
          </cell>
          <cell r="CA745">
            <v>1281.1711023999999</v>
          </cell>
          <cell r="CB745">
            <v>1300.6100000000001</v>
          </cell>
          <cell r="CC745">
            <v>2260.1</v>
          </cell>
          <cell r="CD745">
            <v>114.54300000000001</v>
          </cell>
          <cell r="CE745">
            <v>0</v>
          </cell>
          <cell r="CF745">
            <v>213.32</v>
          </cell>
          <cell r="CG745">
            <v>0</v>
          </cell>
          <cell r="CH745">
            <v>0</v>
          </cell>
          <cell r="CI745">
            <v>1391.5094799999999</v>
          </cell>
          <cell r="CJ745">
            <v>1215.6995024</v>
          </cell>
          <cell r="CK745">
            <v>1429.91</v>
          </cell>
          <cell r="CL745">
            <v>3192.7</v>
          </cell>
          <cell r="CM745">
            <v>109.715</v>
          </cell>
          <cell r="CN745">
            <v>330.57</v>
          </cell>
          <cell r="CO745">
            <v>0</v>
          </cell>
          <cell r="CP745">
            <v>28.880000000000003</v>
          </cell>
          <cell r="CQ745">
            <v>0</v>
          </cell>
          <cell r="CR745">
            <v>1422.1526799999999</v>
          </cell>
          <cell r="CS745">
            <v>1410.0144823999999</v>
          </cell>
          <cell r="CT745">
            <v>1398.19</v>
          </cell>
          <cell r="CU745">
            <v>2814.7</v>
          </cell>
          <cell r="CV745">
            <v>486.69399999999996</v>
          </cell>
          <cell r="CW745">
            <v>330.57</v>
          </cell>
          <cell r="CX745">
            <v>0</v>
          </cell>
          <cell r="CY745">
            <v>67.650000000000006</v>
          </cell>
          <cell r="CZ745">
            <v>0</v>
          </cell>
          <cell r="DA745">
            <v>1314.36268</v>
          </cell>
          <cell r="DB745">
            <v>1414.6284823999999</v>
          </cell>
          <cell r="DC745">
            <v>1382.78</v>
          </cell>
          <cell r="DD745">
            <v>2531.6999999999998</v>
          </cell>
          <cell r="DE745">
            <v>403.86900000000003</v>
          </cell>
          <cell r="DF745">
            <v>353.81</v>
          </cell>
          <cell r="DG745">
            <v>0</v>
          </cell>
          <cell r="DH745">
            <v>0</v>
          </cell>
          <cell r="DI745">
            <v>0</v>
          </cell>
          <cell r="DJ745">
            <v>1204.8616800000002</v>
          </cell>
          <cell r="DK745">
            <v>1594.0996823999999</v>
          </cell>
          <cell r="DL745">
            <v>1381.27</v>
          </cell>
          <cell r="DM745">
            <v>2124.2999999999997</v>
          </cell>
          <cell r="DN745">
            <v>98.545000000000002</v>
          </cell>
          <cell r="DO745">
            <v>352.67</v>
          </cell>
          <cell r="DP745">
            <v>0</v>
          </cell>
          <cell r="DQ745">
            <v>105.23</v>
          </cell>
          <cell r="DR745">
            <v>0</v>
          </cell>
          <cell r="DS745">
            <v>1314.2017800000001</v>
          </cell>
          <cell r="DT745">
            <v>1215.3386823999999</v>
          </cell>
          <cell r="DU745">
            <v>1381.27</v>
          </cell>
          <cell r="DV745">
            <v>3176.5999999999995</v>
          </cell>
          <cell r="DW745">
            <v>293.17700000000002</v>
          </cell>
          <cell r="DX745">
            <v>328.98</v>
          </cell>
          <cell r="DY745">
            <v>0</v>
          </cell>
          <cell r="DZ745">
            <v>135.31</v>
          </cell>
          <cell r="EA745">
            <v>0</v>
          </cell>
          <cell r="EB745">
            <v>1045.1359</v>
          </cell>
          <cell r="EC745">
            <v>1285.8296823999999</v>
          </cell>
          <cell r="ED745">
            <v>1381.27</v>
          </cell>
          <cell r="EE745">
            <v>2429.4</v>
          </cell>
          <cell r="EF745">
            <v>231.98399999999998</v>
          </cell>
          <cell r="EG745">
            <v>270.97000000000003</v>
          </cell>
          <cell r="EH745">
            <v>0</v>
          </cell>
          <cell r="EI745">
            <v>118.82</v>
          </cell>
          <cell r="EJ745">
            <v>0</v>
          </cell>
          <cell r="EK745">
            <v>1089.4725000000001</v>
          </cell>
          <cell r="EL745">
            <v>1215.8376823999999</v>
          </cell>
          <cell r="EM745">
            <v>1381.27</v>
          </cell>
          <cell r="EN745">
            <v>1303.2</v>
          </cell>
          <cell r="EO745">
            <v>291.44899999999996</v>
          </cell>
          <cell r="EP745">
            <v>139.41999999999999</v>
          </cell>
          <cell r="EQ745">
            <v>0</v>
          </cell>
          <cell r="ER745">
            <v>0</v>
          </cell>
          <cell r="ES745">
            <v>0</v>
          </cell>
        </row>
        <row r="746">
          <cell r="A746" t="str">
            <v>DRUMS</v>
          </cell>
        </row>
        <row r="747">
          <cell r="A747">
            <v>121</v>
          </cell>
          <cell r="B747" t="str">
            <v>FG</v>
          </cell>
          <cell r="C747" t="str">
            <v>FM</v>
          </cell>
          <cell r="D747" t="str">
            <v>REFINED GLYCERINE-CP</v>
          </cell>
          <cell r="H747">
            <v>2.09</v>
          </cell>
          <cell r="Q747">
            <v>2.09</v>
          </cell>
          <cell r="X747">
            <v>1.75</v>
          </cell>
          <cell r="Z747">
            <v>2.09</v>
          </cell>
          <cell r="AB747">
            <v>3</v>
          </cell>
          <cell r="AG747">
            <v>5.5</v>
          </cell>
          <cell r="AI747">
            <v>2</v>
          </cell>
          <cell r="AP747">
            <v>5.5</v>
          </cell>
          <cell r="AR747">
            <v>2.09</v>
          </cell>
          <cell r="AT747">
            <v>72.5</v>
          </cell>
          <cell r="AY747">
            <v>0.5</v>
          </cell>
          <cell r="BA747">
            <v>2.09</v>
          </cell>
          <cell r="BC747">
            <v>94.5</v>
          </cell>
          <cell r="BH747">
            <v>0.5</v>
          </cell>
          <cell r="BJ747">
            <v>2.09</v>
          </cell>
          <cell r="BL747">
            <v>99.5</v>
          </cell>
          <cell r="BQ747">
            <v>15.5</v>
          </cell>
          <cell r="BS747">
            <v>2.09</v>
          </cell>
          <cell r="BU747">
            <v>72</v>
          </cell>
          <cell r="BZ747">
            <v>6.25</v>
          </cell>
          <cell r="CB747">
            <v>2.09</v>
          </cell>
          <cell r="CD747">
            <v>61</v>
          </cell>
          <cell r="CI747">
            <v>2.25</v>
          </cell>
          <cell r="CK747">
            <v>2.09</v>
          </cell>
          <cell r="CM747">
            <v>20.5</v>
          </cell>
          <cell r="CR747">
            <v>0.25</v>
          </cell>
          <cell r="CT747">
            <v>2.09</v>
          </cell>
          <cell r="CV747">
            <v>43</v>
          </cell>
          <cell r="DA747">
            <v>10.25</v>
          </cell>
          <cell r="DC747">
            <v>2.09</v>
          </cell>
          <cell r="DE747">
            <v>71.5</v>
          </cell>
          <cell r="DJ747">
            <v>8.5</v>
          </cell>
          <cell r="DL747">
            <v>2.09</v>
          </cell>
          <cell r="DN747">
            <v>56</v>
          </cell>
          <cell r="DS747">
            <v>8.5</v>
          </cell>
          <cell r="DU747">
            <v>0.09</v>
          </cell>
          <cell r="DW747">
            <v>23.5</v>
          </cell>
          <cell r="EB747">
            <v>3</v>
          </cell>
          <cell r="ED747">
            <v>0.09</v>
          </cell>
          <cell r="EF747">
            <v>10.25</v>
          </cell>
          <cell r="EK747">
            <v>3</v>
          </cell>
          <cell r="EM747">
            <v>0.09</v>
          </cell>
          <cell r="EO747">
            <v>15</v>
          </cell>
        </row>
        <row r="748">
          <cell r="A748">
            <v>122</v>
          </cell>
          <cell r="B748" t="str">
            <v>FG</v>
          </cell>
          <cell r="C748" t="str">
            <v>FM</v>
          </cell>
          <cell r="D748" t="str">
            <v>REFINED GLYCERINE-IP</v>
          </cell>
          <cell r="F748">
            <v>6</v>
          </cell>
          <cell r="H748">
            <v>2.75</v>
          </cell>
          <cell r="J748">
            <v>14</v>
          </cell>
          <cell r="Q748">
            <v>2.75</v>
          </cell>
          <cell r="S748">
            <v>14</v>
          </cell>
          <cell r="X748">
            <v>4.75</v>
          </cell>
          <cell r="Z748">
            <v>2.75</v>
          </cell>
          <cell r="AB748">
            <v>55</v>
          </cell>
          <cell r="AG748">
            <v>4.75</v>
          </cell>
          <cell r="AI748">
            <v>2.75</v>
          </cell>
          <cell r="AP748">
            <v>11.25</v>
          </cell>
          <cell r="AR748">
            <v>2.75</v>
          </cell>
          <cell r="AT748">
            <v>57.75</v>
          </cell>
          <cell r="AY748">
            <v>0.75</v>
          </cell>
          <cell r="BA748">
            <v>2.75</v>
          </cell>
          <cell r="BC748">
            <v>34.5</v>
          </cell>
          <cell r="BH748">
            <v>0.75</v>
          </cell>
          <cell r="BJ748">
            <v>2.75</v>
          </cell>
          <cell r="BL748">
            <v>61.25</v>
          </cell>
          <cell r="BQ748">
            <v>7.75</v>
          </cell>
          <cell r="BS748">
            <v>2.75</v>
          </cell>
          <cell r="BU748">
            <v>4.75</v>
          </cell>
          <cell r="BZ748">
            <v>7.75</v>
          </cell>
          <cell r="CB748">
            <v>2.75</v>
          </cell>
          <cell r="CD748">
            <v>15.75</v>
          </cell>
          <cell r="CI748">
            <v>3.75</v>
          </cell>
          <cell r="CK748">
            <v>2.75</v>
          </cell>
          <cell r="CM748">
            <v>30.75</v>
          </cell>
          <cell r="CR748">
            <v>0.75</v>
          </cell>
          <cell r="CT748">
            <v>2.75</v>
          </cell>
          <cell r="CV748">
            <v>8.75</v>
          </cell>
          <cell r="DA748">
            <v>12.75</v>
          </cell>
          <cell r="DC748">
            <v>2.75</v>
          </cell>
          <cell r="DE748">
            <v>53.5</v>
          </cell>
          <cell r="DJ748">
            <v>8.75</v>
          </cell>
          <cell r="DL748">
            <v>2.75</v>
          </cell>
          <cell r="DN748">
            <v>29.5</v>
          </cell>
          <cell r="DS748">
            <v>8.75</v>
          </cell>
          <cell r="DW748">
            <v>6.5</v>
          </cell>
          <cell r="EB748">
            <v>3.25</v>
          </cell>
          <cell r="EF748">
            <v>50.75</v>
          </cell>
          <cell r="EK748">
            <v>10.5</v>
          </cell>
          <cell r="EO748">
            <v>18.25</v>
          </cell>
        </row>
        <row r="749">
          <cell r="A749">
            <v>123</v>
          </cell>
          <cell r="B749" t="str">
            <v>FG</v>
          </cell>
          <cell r="C749" t="str">
            <v>FM</v>
          </cell>
          <cell r="D749" t="str">
            <v>REFINED GLYCERINE-USP</v>
          </cell>
          <cell r="F749">
            <v>4</v>
          </cell>
          <cell r="X749">
            <v>18</v>
          </cell>
          <cell r="AY749">
            <v>18</v>
          </cell>
          <cell r="BQ749">
            <v>18</v>
          </cell>
          <cell r="CI749">
            <v>24</v>
          </cell>
          <cell r="CR749">
            <v>44</v>
          </cell>
          <cell r="DA749">
            <v>6</v>
          </cell>
        </row>
        <row r="750">
          <cell r="A750">
            <v>124</v>
          </cell>
          <cell r="B750" t="str">
            <v>FG</v>
          </cell>
          <cell r="C750" t="str">
            <v>FM</v>
          </cell>
          <cell r="D750" t="str">
            <v>REFINED GLYCERINE-JP</v>
          </cell>
        </row>
        <row r="751">
          <cell r="A751">
            <v>125</v>
          </cell>
          <cell r="B751" t="str">
            <v>FG</v>
          </cell>
          <cell r="C751" t="str">
            <v>FM</v>
          </cell>
          <cell r="D751" t="str">
            <v>DPKO</v>
          </cell>
          <cell r="F751">
            <v>17.46</v>
          </cell>
          <cell r="X751">
            <v>4.68</v>
          </cell>
          <cell r="AG751">
            <v>3.42</v>
          </cell>
          <cell r="AP751">
            <v>6.03</v>
          </cell>
          <cell r="AY751">
            <v>14.04</v>
          </cell>
          <cell r="BH751">
            <v>5.13</v>
          </cell>
          <cell r="BQ751">
            <v>19.350000000000001</v>
          </cell>
          <cell r="BZ751">
            <v>2.25</v>
          </cell>
          <cell r="CI751">
            <v>1.53</v>
          </cell>
          <cell r="CR751">
            <v>1.35</v>
          </cell>
          <cell r="DA751">
            <v>0.09</v>
          </cell>
          <cell r="DJ751">
            <v>0.72</v>
          </cell>
          <cell r="DS751">
            <v>0.72</v>
          </cell>
          <cell r="EK751">
            <v>14.67</v>
          </cell>
        </row>
        <row r="752">
          <cell r="A752">
            <v>126</v>
          </cell>
          <cell r="B752" t="str">
            <v>FG</v>
          </cell>
          <cell r="C752" t="str">
            <v>FM</v>
          </cell>
          <cell r="D752" t="str">
            <v>C6&gt;98%</v>
          </cell>
          <cell r="F752">
            <v>0.18</v>
          </cell>
          <cell r="H752">
            <v>0.89999999999999991</v>
          </cell>
          <cell r="Q752">
            <v>0.89999999999999991</v>
          </cell>
          <cell r="X752">
            <v>0.18</v>
          </cell>
          <cell r="Z752">
            <v>0.89999999999999991</v>
          </cell>
          <cell r="AG752">
            <v>0.18</v>
          </cell>
          <cell r="AI752">
            <v>0.89999999999999991</v>
          </cell>
          <cell r="AP752">
            <v>0.18</v>
          </cell>
          <cell r="AR752">
            <v>0.89999999999999991</v>
          </cell>
          <cell r="AY752">
            <v>0.18</v>
          </cell>
          <cell r="BA752">
            <v>0.89999999999999991</v>
          </cell>
          <cell r="BH752">
            <v>28.98</v>
          </cell>
          <cell r="BJ752">
            <v>0.89999999999999991</v>
          </cell>
          <cell r="BQ752">
            <v>28.98</v>
          </cell>
          <cell r="BS752">
            <v>0.89999999999999991</v>
          </cell>
          <cell r="BZ752">
            <v>57.6</v>
          </cell>
          <cell r="CB752">
            <v>0.89999999999999991</v>
          </cell>
          <cell r="CI752">
            <v>28.98</v>
          </cell>
          <cell r="CK752">
            <v>0.9</v>
          </cell>
          <cell r="CR752">
            <v>0.18</v>
          </cell>
          <cell r="CT752">
            <v>0.89999999999999991</v>
          </cell>
          <cell r="DA752">
            <v>0.18</v>
          </cell>
          <cell r="DC752">
            <v>0.89999999999999991</v>
          </cell>
          <cell r="DJ752">
            <v>0.18</v>
          </cell>
          <cell r="DL752">
            <v>0.89999999999999991</v>
          </cell>
          <cell r="DS752">
            <v>0.18</v>
          </cell>
          <cell r="DU752">
            <v>0.89999999999999991</v>
          </cell>
          <cell r="EB752">
            <v>0.18</v>
          </cell>
          <cell r="ED752">
            <v>0.89999999999999991</v>
          </cell>
          <cell r="EK752">
            <v>0.18</v>
          </cell>
          <cell r="EM752">
            <v>0.89999999999999991</v>
          </cell>
        </row>
        <row r="753">
          <cell r="A753">
            <v>127</v>
          </cell>
          <cell r="B753" t="str">
            <v>FG</v>
          </cell>
          <cell r="C753" t="str">
            <v>FM</v>
          </cell>
          <cell r="D753" t="str">
            <v>C8&gt;98%</v>
          </cell>
          <cell r="F753">
            <v>43.74</v>
          </cell>
          <cell r="H753">
            <v>7.2</v>
          </cell>
          <cell r="Q753">
            <v>7.2</v>
          </cell>
          <cell r="X753">
            <v>57.6</v>
          </cell>
          <cell r="Z753">
            <v>7.2</v>
          </cell>
          <cell r="AG753">
            <v>57.6</v>
          </cell>
          <cell r="AI753">
            <v>7.2</v>
          </cell>
          <cell r="AP753">
            <v>57.6</v>
          </cell>
          <cell r="AR753">
            <v>7.2</v>
          </cell>
          <cell r="AY753">
            <v>39.42</v>
          </cell>
          <cell r="BA753">
            <v>7.2</v>
          </cell>
          <cell r="BH753">
            <v>39.42</v>
          </cell>
          <cell r="BJ753">
            <v>7.2</v>
          </cell>
          <cell r="BQ753">
            <v>39.42</v>
          </cell>
          <cell r="BS753">
            <v>7.2</v>
          </cell>
          <cell r="BZ753">
            <v>38.880000000000003</v>
          </cell>
          <cell r="CB753">
            <v>7.2</v>
          </cell>
          <cell r="CI753">
            <v>38.340000000000003</v>
          </cell>
          <cell r="CK753">
            <v>7.2</v>
          </cell>
          <cell r="CR753">
            <v>38.340000000000003</v>
          </cell>
          <cell r="CT753">
            <v>7.2</v>
          </cell>
          <cell r="DA753">
            <v>38.340000000000003</v>
          </cell>
          <cell r="DC753">
            <v>7.2</v>
          </cell>
          <cell r="DJ753">
            <v>38.340000000000003</v>
          </cell>
          <cell r="DL753">
            <v>7.2</v>
          </cell>
          <cell r="DS753">
            <v>37.799999999999997</v>
          </cell>
          <cell r="DU753">
            <v>7.2</v>
          </cell>
          <cell r="EB753">
            <v>21.06</v>
          </cell>
          <cell r="ED753">
            <v>7.2</v>
          </cell>
          <cell r="EK753">
            <v>20.88</v>
          </cell>
          <cell r="EM753">
            <v>7.2</v>
          </cell>
        </row>
        <row r="754">
          <cell r="A754">
            <v>128</v>
          </cell>
          <cell r="B754" t="str">
            <v>FG</v>
          </cell>
          <cell r="C754" t="str">
            <v>FM</v>
          </cell>
          <cell r="D754" t="str">
            <v>C10&gt;98%</v>
          </cell>
          <cell r="F754">
            <v>1.8</v>
          </cell>
          <cell r="H754">
            <v>0.18</v>
          </cell>
          <cell r="Q754">
            <v>0.18</v>
          </cell>
          <cell r="X754">
            <v>1.8</v>
          </cell>
          <cell r="Z754">
            <v>0.18</v>
          </cell>
          <cell r="AG754">
            <v>1.8</v>
          </cell>
          <cell r="AI754">
            <v>0.18</v>
          </cell>
          <cell r="AP754">
            <v>1.8</v>
          </cell>
          <cell r="AR754">
            <v>0.18</v>
          </cell>
          <cell r="AY754">
            <v>1.8</v>
          </cell>
          <cell r="BA754">
            <v>0.18</v>
          </cell>
          <cell r="BH754">
            <v>1.8</v>
          </cell>
          <cell r="BJ754">
            <v>0.18</v>
          </cell>
          <cell r="BQ754">
            <v>1.44</v>
          </cell>
          <cell r="BS754">
            <v>0.18</v>
          </cell>
          <cell r="BZ754">
            <v>1.44</v>
          </cell>
          <cell r="CB754">
            <v>0.18</v>
          </cell>
          <cell r="CI754">
            <v>1.44</v>
          </cell>
          <cell r="CK754">
            <v>0.18</v>
          </cell>
          <cell r="CR754">
            <v>1.44</v>
          </cell>
          <cell r="CT754">
            <v>0.18</v>
          </cell>
          <cell r="DA754">
            <v>1.44</v>
          </cell>
          <cell r="DC754">
            <v>0.18</v>
          </cell>
          <cell r="DJ754">
            <v>1.44</v>
          </cell>
          <cell r="DL754">
            <v>0.18</v>
          </cell>
          <cell r="DS754">
            <v>1.44</v>
          </cell>
          <cell r="DU754">
            <v>0.18</v>
          </cell>
          <cell r="EB754">
            <v>1.44</v>
          </cell>
          <cell r="ED754">
            <v>0.18</v>
          </cell>
          <cell r="EK754">
            <v>1.44</v>
          </cell>
          <cell r="EM754">
            <v>0.18</v>
          </cell>
        </row>
        <row r="755">
          <cell r="A755">
            <v>129</v>
          </cell>
          <cell r="B755" t="str">
            <v>FG</v>
          </cell>
          <cell r="C755" t="str">
            <v>FM</v>
          </cell>
          <cell r="D755" t="str">
            <v>C8+C10&gt;98%</v>
          </cell>
          <cell r="F755">
            <v>11.7</v>
          </cell>
          <cell r="H755">
            <v>3.78</v>
          </cell>
          <cell r="Q755">
            <v>3.78</v>
          </cell>
          <cell r="X755">
            <v>11.7</v>
          </cell>
          <cell r="Z755">
            <v>3.78</v>
          </cell>
          <cell r="AG755">
            <v>11.7</v>
          </cell>
          <cell r="AI755">
            <v>3.78</v>
          </cell>
          <cell r="AP755">
            <v>11.7</v>
          </cell>
          <cell r="AR755">
            <v>3.78</v>
          </cell>
          <cell r="AY755">
            <v>11.7</v>
          </cell>
          <cell r="BA755">
            <v>3.78</v>
          </cell>
          <cell r="BH755">
            <v>11.7</v>
          </cell>
          <cell r="BJ755">
            <v>3.78</v>
          </cell>
          <cell r="BQ755">
            <v>11.7</v>
          </cell>
          <cell r="BS755">
            <v>3.78</v>
          </cell>
          <cell r="BZ755">
            <v>11.52</v>
          </cell>
          <cell r="CB755">
            <v>3.78</v>
          </cell>
          <cell r="CI755">
            <v>11.52</v>
          </cell>
          <cell r="CK755">
            <v>3.78</v>
          </cell>
          <cell r="CR755">
            <v>11.52</v>
          </cell>
          <cell r="CT755">
            <v>3.78</v>
          </cell>
          <cell r="DA755">
            <v>11.52</v>
          </cell>
          <cell r="DC755">
            <v>3.78</v>
          </cell>
          <cell r="DJ755">
            <v>11.34</v>
          </cell>
          <cell r="DL755">
            <v>3.78</v>
          </cell>
          <cell r="DS755">
            <v>4.68</v>
          </cell>
          <cell r="DU755">
            <v>3.78</v>
          </cell>
          <cell r="EB755">
            <v>4.68</v>
          </cell>
          <cell r="ED755">
            <v>3.78</v>
          </cell>
          <cell r="EK755">
            <v>4.5</v>
          </cell>
          <cell r="EM755">
            <v>3.78</v>
          </cell>
        </row>
        <row r="756">
          <cell r="A756">
            <v>130</v>
          </cell>
          <cell r="B756" t="str">
            <v>FG</v>
          </cell>
          <cell r="C756" t="str">
            <v>FM</v>
          </cell>
          <cell r="D756" t="str">
            <v>OLEIC-15</v>
          </cell>
          <cell r="F756">
            <v>16.829999999999998</v>
          </cell>
          <cell r="H756">
            <v>0.185</v>
          </cell>
          <cell r="Q756">
            <v>0.185</v>
          </cell>
          <cell r="X756">
            <v>8.64</v>
          </cell>
          <cell r="Z756">
            <v>0.185</v>
          </cell>
          <cell r="AG756">
            <v>4.1399999999999997</v>
          </cell>
          <cell r="AI756">
            <v>0.185</v>
          </cell>
          <cell r="AP756">
            <v>4.1399999999999997</v>
          </cell>
          <cell r="AR756">
            <v>0.185</v>
          </cell>
          <cell r="AY756">
            <v>4.1399999999999997</v>
          </cell>
          <cell r="BA756">
            <v>0.185</v>
          </cell>
          <cell r="BH756">
            <v>4.1399999999999997</v>
          </cell>
          <cell r="BJ756">
            <v>0.185</v>
          </cell>
          <cell r="BQ756">
            <v>3.06</v>
          </cell>
          <cell r="BS756">
            <v>0.185</v>
          </cell>
          <cell r="BZ756">
            <v>3.06</v>
          </cell>
          <cell r="CB756">
            <v>0.185</v>
          </cell>
          <cell r="CI756">
            <v>2.61</v>
          </cell>
          <cell r="CK756">
            <v>0.185</v>
          </cell>
          <cell r="CR756">
            <v>1.62</v>
          </cell>
          <cell r="CT756">
            <v>0.185</v>
          </cell>
          <cell r="DA756">
            <v>1.62</v>
          </cell>
          <cell r="DC756">
            <v>0.185</v>
          </cell>
          <cell r="DL756">
            <v>0.185</v>
          </cell>
          <cell r="DS756">
            <v>9.9</v>
          </cell>
          <cell r="DU756">
            <v>0.185</v>
          </cell>
          <cell r="EB756">
            <v>7.74</v>
          </cell>
          <cell r="ED756">
            <v>0.185</v>
          </cell>
          <cell r="EK756">
            <v>7.74</v>
          </cell>
          <cell r="EM756">
            <v>0.185</v>
          </cell>
        </row>
        <row r="757">
          <cell r="A757">
            <v>131</v>
          </cell>
          <cell r="B757" t="str">
            <v>FG</v>
          </cell>
          <cell r="C757" t="str">
            <v>NM</v>
          </cell>
          <cell r="D757" t="str">
            <v>OLEIC-20</v>
          </cell>
          <cell r="H757">
            <v>0.09</v>
          </cell>
          <cell r="Q757">
            <v>0.09</v>
          </cell>
          <cell r="Z757">
            <v>0.09</v>
          </cell>
          <cell r="AR757">
            <v>0.09</v>
          </cell>
          <cell r="BA757">
            <v>0.09</v>
          </cell>
          <cell r="BJ757">
            <v>0.09</v>
          </cell>
          <cell r="BS757">
            <v>0.09</v>
          </cell>
          <cell r="CB757">
            <v>0.09</v>
          </cell>
          <cell r="CK757">
            <v>0.09</v>
          </cell>
          <cell r="CT757">
            <v>0.09</v>
          </cell>
          <cell r="DC757">
            <v>0.09</v>
          </cell>
          <cell r="DL757">
            <v>0.09</v>
          </cell>
          <cell r="DU757">
            <v>0.09</v>
          </cell>
          <cell r="ED757">
            <v>0.09</v>
          </cell>
          <cell r="EM757">
            <v>0.09</v>
          </cell>
        </row>
        <row r="758">
          <cell r="A758">
            <v>132</v>
          </cell>
          <cell r="B758" t="str">
            <v>FG</v>
          </cell>
          <cell r="C758" t="str">
            <v>NM</v>
          </cell>
          <cell r="D758" t="str">
            <v>OLEIC-26</v>
          </cell>
          <cell r="H758">
            <v>0.63</v>
          </cell>
          <cell r="N758">
            <v>0</v>
          </cell>
          <cell r="Q758">
            <v>0.63</v>
          </cell>
          <cell r="Z758">
            <v>0.63</v>
          </cell>
          <cell r="AI758">
            <v>0.63</v>
          </cell>
          <cell r="AR758">
            <v>0.63</v>
          </cell>
          <cell r="BA758">
            <v>0.63</v>
          </cell>
          <cell r="BJ758">
            <v>0.63</v>
          </cell>
          <cell r="BS758">
            <v>0.63</v>
          </cell>
          <cell r="CB758">
            <v>0.63</v>
          </cell>
          <cell r="CK758">
            <v>0.63</v>
          </cell>
          <cell r="CT758">
            <v>0.63</v>
          </cell>
          <cell r="DC758">
            <v>0.63</v>
          </cell>
          <cell r="DL758">
            <v>0.63</v>
          </cell>
          <cell r="DU758">
            <v>0.63</v>
          </cell>
          <cell r="ED758">
            <v>0.63</v>
          </cell>
          <cell r="EM758">
            <v>0.63</v>
          </cell>
        </row>
        <row r="759">
          <cell r="A759">
            <v>133</v>
          </cell>
          <cell r="B759" t="str">
            <v>FG</v>
          </cell>
          <cell r="C759" t="str">
            <v>NM</v>
          </cell>
          <cell r="D759" t="str">
            <v>OLEIC-29</v>
          </cell>
          <cell r="H759">
            <v>0.18</v>
          </cell>
          <cell r="Q759">
            <v>0.18</v>
          </cell>
          <cell r="Z759">
            <v>0.18</v>
          </cell>
          <cell r="AI759">
            <v>0.18</v>
          </cell>
          <cell r="AR759">
            <v>0.18</v>
          </cell>
          <cell r="BA759">
            <v>0.18</v>
          </cell>
          <cell r="BJ759">
            <v>0.18</v>
          </cell>
          <cell r="BS759">
            <v>0.18</v>
          </cell>
          <cell r="CB759">
            <v>0.18</v>
          </cell>
          <cell r="CK759">
            <v>0.18</v>
          </cell>
          <cell r="CT759">
            <v>0.18</v>
          </cell>
          <cell r="DC759">
            <v>0.18</v>
          </cell>
          <cell r="DL759">
            <v>0.18</v>
          </cell>
          <cell r="DU759">
            <v>0.18</v>
          </cell>
          <cell r="ED759">
            <v>0.18</v>
          </cell>
          <cell r="EM759">
            <v>0.18</v>
          </cell>
        </row>
        <row r="760">
          <cell r="A760">
            <v>134</v>
          </cell>
          <cell r="B760" t="str">
            <v>FG</v>
          </cell>
          <cell r="C760" t="str">
            <v>FM</v>
          </cell>
          <cell r="D760" t="str">
            <v>OLEIC-K</v>
          </cell>
          <cell r="F760">
            <v>4.8600000000000003</v>
          </cell>
          <cell r="H760">
            <v>4.335</v>
          </cell>
          <cell r="Q760">
            <v>4.335</v>
          </cell>
          <cell r="X760">
            <v>4.8600000000000003</v>
          </cell>
          <cell r="Z760">
            <v>4.335</v>
          </cell>
          <cell r="AG760">
            <v>2.7</v>
          </cell>
          <cell r="AI760">
            <v>12.434999999999999</v>
          </cell>
          <cell r="AP760">
            <v>2.7</v>
          </cell>
          <cell r="AR760">
            <v>4.335</v>
          </cell>
          <cell r="AY760">
            <v>2.7</v>
          </cell>
          <cell r="BA760">
            <v>4.335</v>
          </cell>
          <cell r="BH760">
            <v>11.7</v>
          </cell>
          <cell r="BJ760">
            <v>4.335</v>
          </cell>
          <cell r="BQ760">
            <v>2.7</v>
          </cell>
          <cell r="BS760">
            <v>4.335</v>
          </cell>
          <cell r="BZ760">
            <v>2.34</v>
          </cell>
          <cell r="CB760">
            <v>4.335</v>
          </cell>
          <cell r="CI760">
            <v>2.34</v>
          </cell>
          <cell r="CK760">
            <v>4.335</v>
          </cell>
          <cell r="CR760">
            <v>2.34</v>
          </cell>
          <cell r="CT760">
            <v>4.335</v>
          </cell>
          <cell r="DA760">
            <v>2.34</v>
          </cell>
          <cell r="DC760">
            <v>4.335</v>
          </cell>
          <cell r="DJ760">
            <v>2.34</v>
          </cell>
          <cell r="DL760">
            <v>4.335</v>
          </cell>
          <cell r="DS760">
            <v>2.34</v>
          </cell>
          <cell r="DU760">
            <v>4.335</v>
          </cell>
          <cell r="EB760">
            <v>2.34</v>
          </cell>
          <cell r="ED760">
            <v>4.335</v>
          </cell>
          <cell r="EK760">
            <v>1.98</v>
          </cell>
          <cell r="EM760">
            <v>4.335</v>
          </cell>
        </row>
        <row r="761">
          <cell r="A761">
            <v>135</v>
          </cell>
          <cell r="B761" t="str">
            <v>FG</v>
          </cell>
          <cell r="C761" t="str">
            <v>NM</v>
          </cell>
          <cell r="D761" t="str">
            <v>OLEIC-70</v>
          </cell>
          <cell r="H761">
            <v>0.185</v>
          </cell>
          <cell r="Q761">
            <v>0.185</v>
          </cell>
          <cell r="Z761">
            <v>0.185</v>
          </cell>
          <cell r="AI761">
            <v>0.185</v>
          </cell>
          <cell r="AR761">
            <v>0.185</v>
          </cell>
          <cell r="BA761">
            <v>0.185</v>
          </cell>
          <cell r="BJ761">
            <v>0.185</v>
          </cell>
          <cell r="BS761">
            <v>0.185</v>
          </cell>
          <cell r="CB761">
            <v>0.185</v>
          </cell>
          <cell r="CK761">
            <v>0.185</v>
          </cell>
          <cell r="CT761">
            <v>0.185</v>
          </cell>
          <cell r="DC761">
            <v>0.185</v>
          </cell>
          <cell r="DL761">
            <v>0.185</v>
          </cell>
          <cell r="DU761">
            <v>0.185</v>
          </cell>
          <cell r="ED761">
            <v>0.185</v>
          </cell>
          <cell r="EM761">
            <v>0.185</v>
          </cell>
        </row>
        <row r="762">
          <cell r="A762">
            <v>136</v>
          </cell>
          <cell r="B762" t="str">
            <v>FG</v>
          </cell>
          <cell r="C762" t="str">
            <v>FM</v>
          </cell>
          <cell r="D762" t="str">
            <v>C22:1&gt;90</v>
          </cell>
          <cell r="F762">
            <v>0.18</v>
          </cell>
          <cell r="X762">
            <v>14.58</v>
          </cell>
          <cell r="AG762">
            <v>0.18</v>
          </cell>
          <cell r="AI762">
            <v>0.09</v>
          </cell>
          <cell r="AP762">
            <v>0.18</v>
          </cell>
          <cell r="AY762">
            <v>0.18</v>
          </cell>
          <cell r="BH762">
            <v>0.18</v>
          </cell>
          <cell r="BQ762">
            <v>0.18</v>
          </cell>
          <cell r="BZ762">
            <v>0.18</v>
          </cell>
          <cell r="CI762">
            <v>0.18</v>
          </cell>
          <cell r="CR762">
            <v>0.18</v>
          </cell>
          <cell r="DA762">
            <v>0.18</v>
          </cell>
          <cell r="DJ762">
            <v>0.18</v>
          </cell>
          <cell r="DS762">
            <v>0.18</v>
          </cell>
          <cell r="EB762">
            <v>0.18</v>
          </cell>
          <cell r="EK762">
            <v>0.18</v>
          </cell>
        </row>
        <row r="763">
          <cell r="A763">
            <v>137</v>
          </cell>
          <cell r="B763" t="str">
            <v>FG</v>
          </cell>
          <cell r="C763" t="str">
            <v>NM</v>
          </cell>
          <cell r="D763" t="str">
            <v>DCPS</v>
          </cell>
        </row>
        <row r="764">
          <cell r="A764">
            <v>138</v>
          </cell>
          <cell r="B764" t="str">
            <v>FG</v>
          </cell>
          <cell r="C764" t="str">
            <v>NM</v>
          </cell>
          <cell r="D764" t="str">
            <v>DFA C12/C14</v>
          </cell>
          <cell r="DV764">
            <v>12.58</v>
          </cell>
        </row>
        <row r="765">
          <cell r="A765">
            <v>139</v>
          </cell>
          <cell r="B765" t="str">
            <v>FG</v>
          </cell>
          <cell r="C765" t="str">
            <v>NM</v>
          </cell>
          <cell r="D765" t="str">
            <v>OLEIC-IG</v>
          </cell>
          <cell r="F765">
            <v>4.68</v>
          </cell>
          <cell r="X765">
            <v>20.16</v>
          </cell>
          <cell r="AG765">
            <v>7.56</v>
          </cell>
          <cell r="AP765">
            <v>7.56</v>
          </cell>
          <cell r="AY765">
            <v>1.17</v>
          </cell>
          <cell r="BH765">
            <v>7.56</v>
          </cell>
          <cell r="BQ765">
            <v>7.56</v>
          </cell>
          <cell r="BZ765">
            <v>7.56</v>
          </cell>
          <cell r="CI765">
            <v>7.56</v>
          </cell>
          <cell r="CR765">
            <v>7.56</v>
          </cell>
          <cell r="DA765">
            <v>7.56</v>
          </cell>
          <cell r="DJ765">
            <v>7.56</v>
          </cell>
          <cell r="DS765">
            <v>7.56</v>
          </cell>
          <cell r="EB765">
            <v>7.56</v>
          </cell>
          <cell r="EK765">
            <v>7.56</v>
          </cell>
        </row>
        <row r="766">
          <cell r="A766">
            <v>140</v>
          </cell>
          <cell r="B766" t="str">
            <v>FG</v>
          </cell>
          <cell r="C766" t="str">
            <v>NM</v>
          </cell>
          <cell r="D766" t="str">
            <v>Vegarol 1214</v>
          </cell>
          <cell r="CL766">
            <v>0.17</v>
          </cell>
          <cell r="DD766">
            <v>0.17</v>
          </cell>
          <cell r="DM766">
            <v>12.58</v>
          </cell>
        </row>
        <row r="767">
          <cell r="A767">
            <v>257</v>
          </cell>
          <cell r="B767" t="str">
            <v>FG</v>
          </cell>
          <cell r="C767" t="str">
            <v>NM</v>
          </cell>
          <cell r="D767" t="str">
            <v>Vegarol 10</v>
          </cell>
        </row>
        <row r="768">
          <cell r="F768">
            <v>111.43</v>
          </cell>
          <cell r="G768">
            <v>0</v>
          </cell>
          <cell r="H768">
            <v>22.504999999999999</v>
          </cell>
          <cell r="I768">
            <v>0</v>
          </cell>
          <cell r="J768">
            <v>14</v>
          </cell>
          <cell r="K768">
            <v>0</v>
          </cell>
          <cell r="L768">
            <v>0</v>
          </cell>
          <cell r="M768">
            <v>0</v>
          </cell>
          <cell r="O768">
            <v>0</v>
          </cell>
          <cell r="P768">
            <v>0</v>
          </cell>
          <cell r="Q768">
            <v>22.504999999999999</v>
          </cell>
          <cell r="R768">
            <v>0</v>
          </cell>
          <cell r="S768">
            <v>14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148.70000000000002</v>
          </cell>
          <cell r="Y768">
            <v>0</v>
          </cell>
          <cell r="Z768">
            <v>22.504999999999999</v>
          </cell>
          <cell r="AA768">
            <v>0</v>
          </cell>
          <cell r="AB768">
            <v>58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99.530000000000015</v>
          </cell>
          <cell r="AH768">
            <v>0</v>
          </cell>
          <cell r="AI768">
            <v>30.514999999999997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108.64000000000001</v>
          </cell>
          <cell r="AQ768">
            <v>0</v>
          </cell>
          <cell r="AR768">
            <v>22.504999999999999</v>
          </cell>
          <cell r="AS768">
            <v>0</v>
          </cell>
          <cell r="AT768">
            <v>130.25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94.580000000000013</v>
          </cell>
          <cell r="AZ768">
            <v>0</v>
          </cell>
          <cell r="BA768">
            <v>22.504999999999999</v>
          </cell>
          <cell r="BB768">
            <v>0</v>
          </cell>
          <cell r="BC768">
            <v>129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111.86000000000001</v>
          </cell>
          <cell r="BI768">
            <v>0</v>
          </cell>
          <cell r="BJ768">
            <v>22.504999999999999</v>
          </cell>
          <cell r="BK768">
            <v>0</v>
          </cell>
          <cell r="BL768">
            <v>160.75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155.63999999999999</v>
          </cell>
          <cell r="BR768">
            <v>0</v>
          </cell>
          <cell r="BS768">
            <v>22.504999999999999</v>
          </cell>
          <cell r="BT768">
            <v>0</v>
          </cell>
          <cell r="BU768">
            <v>76.75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138.82999999999998</v>
          </cell>
          <cell r="CA768">
            <v>0</v>
          </cell>
          <cell r="CB768">
            <v>22.504999999999999</v>
          </cell>
          <cell r="CC768">
            <v>0</v>
          </cell>
          <cell r="CD768">
            <v>76.75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124.50000000000001</v>
          </cell>
          <cell r="CJ768">
            <v>0</v>
          </cell>
          <cell r="CK768">
            <v>22.504999999999999</v>
          </cell>
          <cell r="CL768">
            <v>0.17</v>
          </cell>
          <cell r="CM768">
            <v>51.25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109.53000000000002</v>
          </cell>
          <cell r="CS768">
            <v>0</v>
          </cell>
          <cell r="CT768">
            <v>22.504999999999999</v>
          </cell>
          <cell r="CU768">
            <v>0</v>
          </cell>
          <cell r="CV768">
            <v>51.75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92.27000000000001</v>
          </cell>
          <cell r="DB768">
            <v>0</v>
          </cell>
          <cell r="DC768">
            <v>22.504999999999999</v>
          </cell>
          <cell r="DD768">
            <v>0.17</v>
          </cell>
          <cell r="DE768">
            <v>125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79.350000000000009</v>
          </cell>
          <cell r="DK768">
            <v>0</v>
          </cell>
          <cell r="DL768">
            <v>22.504999999999999</v>
          </cell>
          <cell r="DM768">
            <v>12.58</v>
          </cell>
          <cell r="DN768">
            <v>85.5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82.050000000000011</v>
          </cell>
          <cell r="DT768">
            <v>0</v>
          </cell>
          <cell r="DU768">
            <v>17.754999999999999</v>
          </cell>
          <cell r="DV768">
            <v>12.58</v>
          </cell>
          <cell r="DW768">
            <v>30</v>
          </cell>
          <cell r="DX768">
            <v>0</v>
          </cell>
          <cell r="DY768">
            <v>0</v>
          </cell>
          <cell r="DZ768">
            <v>0</v>
          </cell>
          <cell r="EA768">
            <v>0</v>
          </cell>
          <cell r="EB768">
            <v>51.43</v>
          </cell>
          <cell r="EC768">
            <v>0</v>
          </cell>
          <cell r="ED768">
            <v>17.754999999999999</v>
          </cell>
          <cell r="EE768">
            <v>0</v>
          </cell>
          <cell r="EF768">
            <v>61</v>
          </cell>
          <cell r="EG768">
            <v>0</v>
          </cell>
          <cell r="EH768">
            <v>0</v>
          </cell>
          <cell r="EI768">
            <v>0</v>
          </cell>
          <cell r="EJ768">
            <v>0</v>
          </cell>
          <cell r="EK768">
            <v>72.63000000000001</v>
          </cell>
          <cell r="EL768">
            <v>0</v>
          </cell>
          <cell r="EM768">
            <v>17.754999999999999</v>
          </cell>
          <cell r="EN768">
            <v>0</v>
          </cell>
          <cell r="EO768">
            <v>33.25</v>
          </cell>
          <cell r="EP768">
            <v>0</v>
          </cell>
          <cell r="EQ768">
            <v>0</v>
          </cell>
          <cell r="ER768">
            <v>0</v>
          </cell>
          <cell r="ES768">
            <v>0</v>
          </cell>
        </row>
        <row r="769">
          <cell r="A769" t="str">
            <v>FATTY ACID FLAKES</v>
          </cell>
        </row>
        <row r="770">
          <cell r="A770">
            <v>141</v>
          </cell>
          <cell r="B770" t="str">
            <v>FG</v>
          </cell>
          <cell r="C770" t="str">
            <v>FM</v>
          </cell>
          <cell r="D770" t="str">
            <v>C14&gt;99%</v>
          </cell>
          <cell r="I770">
            <v>32.875</v>
          </cell>
          <cell r="R770">
            <v>32.875</v>
          </cell>
          <cell r="AA770">
            <v>32.875</v>
          </cell>
          <cell r="AJ770">
            <v>32.875</v>
          </cell>
          <cell r="AS770">
            <v>32.875</v>
          </cell>
          <cell r="BB770">
            <v>32.875</v>
          </cell>
          <cell r="BK770">
            <v>32.875</v>
          </cell>
          <cell r="BT770">
            <v>32.875</v>
          </cell>
          <cell r="CC770">
            <v>32.875</v>
          </cell>
          <cell r="CL770">
            <v>32.875</v>
          </cell>
          <cell r="CU770">
            <v>32.875</v>
          </cell>
          <cell r="DD770">
            <v>32.875</v>
          </cell>
          <cell r="DM770">
            <v>32.875</v>
          </cell>
          <cell r="DV770">
            <v>32.875</v>
          </cell>
          <cell r="EE770">
            <v>32.875</v>
          </cell>
          <cell r="EN770">
            <v>32.875</v>
          </cell>
        </row>
        <row r="771">
          <cell r="A771">
            <v>142</v>
          </cell>
          <cell r="B771" t="str">
            <v>FG</v>
          </cell>
          <cell r="C771" t="str">
            <v>FM</v>
          </cell>
          <cell r="D771" t="str">
            <v>C16 85%</v>
          </cell>
          <cell r="R771">
            <v>0</v>
          </cell>
          <cell r="AS771">
            <v>0</v>
          </cell>
          <cell r="BB771">
            <v>0</v>
          </cell>
          <cell r="BK771">
            <v>0</v>
          </cell>
          <cell r="BT771">
            <v>0</v>
          </cell>
          <cell r="CC771">
            <v>0</v>
          </cell>
          <cell r="CU771">
            <v>0</v>
          </cell>
          <cell r="EE771">
            <v>0</v>
          </cell>
          <cell r="EN771">
            <v>0</v>
          </cell>
        </row>
        <row r="772">
          <cell r="A772">
            <v>143</v>
          </cell>
          <cell r="B772" t="str">
            <v>FG</v>
          </cell>
          <cell r="C772" t="str">
            <v>FM</v>
          </cell>
          <cell r="D772" t="str">
            <v>UTSR</v>
          </cell>
          <cell r="F772">
            <v>19.600000000000001</v>
          </cell>
          <cell r="H772">
            <v>6.85</v>
          </cell>
          <cell r="I772">
            <v>551.30999999999995</v>
          </cell>
          <cell r="Q772">
            <v>6.85</v>
          </cell>
          <cell r="R772">
            <v>475.31</v>
          </cell>
          <cell r="X772">
            <v>92.6</v>
          </cell>
          <cell r="Z772">
            <v>25.85</v>
          </cell>
          <cell r="AA772">
            <v>427.56</v>
          </cell>
          <cell r="AG772">
            <v>66.75</v>
          </cell>
          <cell r="AI772">
            <v>0.85</v>
          </cell>
          <cell r="AJ772">
            <v>493.66</v>
          </cell>
          <cell r="AP772">
            <v>81.599999999999994</v>
          </cell>
          <cell r="AR772">
            <v>10.85</v>
          </cell>
          <cell r="AS772">
            <v>376.83499999999998</v>
          </cell>
          <cell r="AY772">
            <v>111.8</v>
          </cell>
          <cell r="BA772">
            <v>68.849999999999994</v>
          </cell>
          <cell r="BB772">
            <v>315.98500000000001</v>
          </cell>
          <cell r="BH772">
            <v>66.849999999999994</v>
          </cell>
          <cell r="BJ772">
            <v>58.85</v>
          </cell>
          <cell r="BK772">
            <v>255.08500000000001</v>
          </cell>
          <cell r="BQ772">
            <v>25.85</v>
          </cell>
          <cell r="BS772">
            <v>49.85</v>
          </cell>
          <cell r="BT772">
            <v>205.88499999999999</v>
          </cell>
          <cell r="BZ772">
            <v>19.850000000000001</v>
          </cell>
          <cell r="CB772">
            <v>65.849999999999994</v>
          </cell>
          <cell r="CC772">
            <v>202.935</v>
          </cell>
          <cell r="CI772">
            <v>81.349999999999994</v>
          </cell>
          <cell r="CK772">
            <v>60.85</v>
          </cell>
          <cell r="CL772">
            <v>199.83500000000001</v>
          </cell>
          <cell r="CR772">
            <v>50.35</v>
          </cell>
          <cell r="CT772">
            <v>51.85</v>
          </cell>
          <cell r="CU772">
            <v>292.56</v>
          </cell>
          <cell r="DA772">
            <v>62.8</v>
          </cell>
          <cell r="DC772">
            <v>87.85</v>
          </cell>
          <cell r="DD772">
            <v>319.56</v>
          </cell>
          <cell r="DJ772">
            <v>35.799999999999997</v>
          </cell>
          <cell r="DL772">
            <v>27.85</v>
          </cell>
          <cell r="DM772">
            <v>308.91000000000003</v>
          </cell>
          <cell r="DS772">
            <v>75.05</v>
          </cell>
          <cell r="DU772">
            <v>8.35</v>
          </cell>
          <cell r="DV772">
            <v>264.81</v>
          </cell>
          <cell r="EB772">
            <v>154.30000000000001</v>
          </cell>
          <cell r="ED772">
            <v>8.35</v>
          </cell>
          <cell r="EE772">
            <v>254.81</v>
          </cell>
          <cell r="EK772">
            <v>195.8</v>
          </cell>
          <cell r="EM772">
            <v>52.35</v>
          </cell>
          <cell r="EN772">
            <v>293.16000000000003</v>
          </cell>
        </row>
        <row r="773">
          <cell r="A773">
            <v>144</v>
          </cell>
          <cell r="B773" t="str">
            <v>FG</v>
          </cell>
          <cell r="C773" t="str">
            <v>FM</v>
          </cell>
          <cell r="D773" t="str">
            <v>UTSR SPECIAL</v>
          </cell>
          <cell r="I773">
            <v>0.45</v>
          </cell>
          <cell r="R773">
            <v>0.45</v>
          </cell>
          <cell r="AA773">
            <v>0.45</v>
          </cell>
          <cell r="AI773">
            <v>1.05</v>
          </cell>
          <cell r="AJ773">
            <v>0.45</v>
          </cell>
          <cell r="AS773">
            <v>0.45</v>
          </cell>
          <cell r="BB773">
            <v>0.45</v>
          </cell>
          <cell r="BK773">
            <v>0.45</v>
          </cell>
          <cell r="BT773">
            <v>0.45</v>
          </cell>
          <cell r="CC773">
            <v>0.45</v>
          </cell>
          <cell r="CL773">
            <v>0.45</v>
          </cell>
          <cell r="CU773">
            <v>0.45</v>
          </cell>
          <cell r="DD773">
            <v>0.45</v>
          </cell>
          <cell r="DM773">
            <v>0.45</v>
          </cell>
          <cell r="DV773">
            <v>0.45</v>
          </cell>
          <cell r="EE773">
            <v>0.45</v>
          </cell>
          <cell r="EN773">
            <v>0.45</v>
          </cell>
        </row>
        <row r="774">
          <cell r="A774">
            <v>145</v>
          </cell>
          <cell r="B774" t="str">
            <v>FG</v>
          </cell>
          <cell r="C774" t="str">
            <v>FM</v>
          </cell>
          <cell r="D774" t="str">
            <v>DTP-7</v>
          </cell>
          <cell r="F774">
            <v>48.3</v>
          </cell>
          <cell r="I774">
            <v>48.1</v>
          </cell>
          <cell r="R774">
            <v>35.799999999999997</v>
          </cell>
          <cell r="X774">
            <v>36.9</v>
          </cell>
          <cell r="AA774">
            <v>3.8</v>
          </cell>
          <cell r="AG774">
            <v>34.9</v>
          </cell>
          <cell r="AJ774">
            <v>1.1499999999999999</v>
          </cell>
          <cell r="AP774">
            <v>43.9</v>
          </cell>
          <cell r="AS774">
            <v>34.5</v>
          </cell>
          <cell r="AY774">
            <v>17.600000000000001</v>
          </cell>
          <cell r="BB774">
            <v>11</v>
          </cell>
          <cell r="BH774">
            <v>8.6</v>
          </cell>
          <cell r="BK774">
            <v>2</v>
          </cell>
          <cell r="BQ774">
            <v>5.6</v>
          </cell>
          <cell r="BT774">
            <v>34.950000000000003</v>
          </cell>
          <cell r="BZ774">
            <v>20.6</v>
          </cell>
          <cell r="CC774">
            <v>76.05</v>
          </cell>
          <cell r="CI774">
            <v>34.799999999999997</v>
          </cell>
          <cell r="CK774">
            <v>31</v>
          </cell>
          <cell r="CL774">
            <v>42.8</v>
          </cell>
          <cell r="CR774">
            <v>45.8</v>
          </cell>
          <cell r="CT774">
            <v>41.2</v>
          </cell>
          <cell r="CU774">
            <v>26.8</v>
          </cell>
          <cell r="DA774">
            <v>36.799999999999997</v>
          </cell>
          <cell r="DC774">
            <v>41.2</v>
          </cell>
          <cell r="DD774">
            <v>50.35</v>
          </cell>
          <cell r="DJ774">
            <v>16.3</v>
          </cell>
          <cell r="DL774">
            <v>41.2</v>
          </cell>
          <cell r="DM774">
            <v>55.35</v>
          </cell>
          <cell r="DS774">
            <v>9.3000000000000007</v>
          </cell>
          <cell r="DU774">
            <v>41.2</v>
          </cell>
          <cell r="DV774">
            <v>78.900000000000006</v>
          </cell>
          <cell r="EB774">
            <v>1.8</v>
          </cell>
          <cell r="ED774">
            <v>41.2</v>
          </cell>
          <cell r="EE774">
            <v>49.95</v>
          </cell>
          <cell r="EK774">
            <v>1.8</v>
          </cell>
          <cell r="EM774">
            <v>36.200000000000003</v>
          </cell>
          <cell r="EN774">
            <v>53.05</v>
          </cell>
        </row>
        <row r="775">
          <cell r="A775">
            <v>146</v>
          </cell>
          <cell r="B775" t="str">
            <v>FG</v>
          </cell>
          <cell r="C775" t="str">
            <v>FM</v>
          </cell>
          <cell r="D775" t="str">
            <v>DTP-CT</v>
          </cell>
          <cell r="F775">
            <v>27.3</v>
          </cell>
          <cell r="R775">
            <v>0</v>
          </cell>
          <cell r="X775">
            <v>22.6</v>
          </cell>
          <cell r="AG775">
            <v>18.600000000000001</v>
          </cell>
          <cell r="AJ775">
            <v>0</v>
          </cell>
          <cell r="AP775">
            <v>18.600000000000001</v>
          </cell>
          <cell r="AS775">
            <v>0</v>
          </cell>
          <cell r="AY775">
            <v>2.6</v>
          </cell>
          <cell r="BB775">
            <v>0</v>
          </cell>
          <cell r="BH775">
            <v>2.6</v>
          </cell>
          <cell r="BK775">
            <v>0</v>
          </cell>
          <cell r="BQ775">
            <v>26.6</v>
          </cell>
          <cell r="BT775">
            <v>0</v>
          </cell>
          <cell r="BZ775">
            <v>37.6</v>
          </cell>
          <cell r="CC775">
            <v>0</v>
          </cell>
          <cell r="CI775">
            <v>0.4</v>
          </cell>
          <cell r="CR775">
            <v>47.4</v>
          </cell>
          <cell r="CU775">
            <v>0</v>
          </cell>
          <cell r="DA775">
            <v>57.65</v>
          </cell>
          <cell r="DC775">
            <v>20</v>
          </cell>
          <cell r="DJ775">
            <v>44.65</v>
          </cell>
          <cell r="DL775">
            <v>20</v>
          </cell>
          <cell r="DS775">
            <v>44.65</v>
          </cell>
          <cell r="DU775">
            <v>20</v>
          </cell>
          <cell r="EB775">
            <v>13.65</v>
          </cell>
          <cell r="ED775">
            <v>20</v>
          </cell>
          <cell r="EE775">
            <v>0</v>
          </cell>
          <cell r="EK775">
            <v>4.6500000000000004</v>
          </cell>
          <cell r="EM775">
            <v>20</v>
          </cell>
          <cell r="EN775">
            <v>0</v>
          </cell>
        </row>
        <row r="776">
          <cell r="A776">
            <v>147</v>
          </cell>
          <cell r="B776" t="str">
            <v>FG</v>
          </cell>
          <cell r="C776" t="str">
            <v>FM</v>
          </cell>
          <cell r="D776" t="str">
            <v>P-12</v>
          </cell>
          <cell r="F776">
            <v>1.25</v>
          </cell>
          <cell r="H776">
            <v>12</v>
          </cell>
          <cell r="I776">
            <v>27.65</v>
          </cell>
          <cell r="Q776">
            <v>6</v>
          </cell>
          <cell r="R776">
            <v>86.4</v>
          </cell>
          <cell r="X776">
            <v>1.25</v>
          </cell>
          <cell r="AA776">
            <v>115.1</v>
          </cell>
          <cell r="AG776">
            <v>1.25</v>
          </cell>
          <cell r="AJ776">
            <v>109.1</v>
          </cell>
          <cell r="AR776">
            <v>4</v>
          </cell>
          <cell r="AS776">
            <v>103.1</v>
          </cell>
          <cell r="BA776">
            <v>4</v>
          </cell>
          <cell r="BB776">
            <v>69.099999999999994</v>
          </cell>
          <cell r="BH776">
            <v>51.4</v>
          </cell>
          <cell r="BJ776">
            <v>24</v>
          </cell>
          <cell r="BK776">
            <v>124.4</v>
          </cell>
          <cell r="BQ776">
            <v>39.4</v>
          </cell>
          <cell r="BS776">
            <v>34</v>
          </cell>
          <cell r="BT776">
            <v>130.1</v>
          </cell>
          <cell r="BZ776">
            <v>23.4</v>
          </cell>
          <cell r="CB776">
            <v>34</v>
          </cell>
          <cell r="CC776">
            <v>117.1</v>
          </cell>
          <cell r="CI776">
            <v>39.4</v>
          </cell>
          <cell r="CK776">
            <v>34.049999999999997</v>
          </cell>
          <cell r="CL776">
            <v>107.4</v>
          </cell>
          <cell r="CR776">
            <v>14.4</v>
          </cell>
          <cell r="CT776">
            <v>34</v>
          </cell>
          <cell r="CU776">
            <v>92.4</v>
          </cell>
          <cell r="DA776">
            <v>14.4</v>
          </cell>
          <cell r="DC776">
            <v>34</v>
          </cell>
          <cell r="DD776">
            <v>92.4</v>
          </cell>
          <cell r="DJ776">
            <v>13.4</v>
          </cell>
          <cell r="DL776">
            <v>34</v>
          </cell>
          <cell r="DM776">
            <v>74.400000000000006</v>
          </cell>
          <cell r="DS776">
            <v>13.4</v>
          </cell>
          <cell r="DU776">
            <v>34</v>
          </cell>
          <cell r="DV776">
            <v>74.400000000000006</v>
          </cell>
          <cell r="EB776">
            <v>0.4</v>
          </cell>
          <cell r="ED776">
            <v>18</v>
          </cell>
          <cell r="EE776">
            <v>65.400000000000006</v>
          </cell>
          <cell r="EK776">
            <v>0.4</v>
          </cell>
          <cell r="EM776">
            <v>18</v>
          </cell>
          <cell r="EN776">
            <v>40.4</v>
          </cell>
        </row>
        <row r="777">
          <cell r="A777">
            <v>148</v>
          </cell>
          <cell r="B777" t="str">
            <v>FG</v>
          </cell>
          <cell r="C777" t="str">
            <v>FM</v>
          </cell>
          <cell r="D777" t="str">
            <v>P-12 SPECIAL</v>
          </cell>
          <cell r="R777">
            <v>0</v>
          </cell>
          <cell r="AJ777">
            <v>0</v>
          </cell>
          <cell r="AS777">
            <v>0</v>
          </cell>
          <cell r="BB777">
            <v>0</v>
          </cell>
          <cell r="BK777">
            <v>0</v>
          </cell>
          <cell r="BT777">
            <v>0</v>
          </cell>
          <cell r="CC777">
            <v>0</v>
          </cell>
          <cell r="CU777">
            <v>0</v>
          </cell>
          <cell r="EE777">
            <v>25</v>
          </cell>
          <cell r="EN777">
            <v>25</v>
          </cell>
        </row>
        <row r="778">
          <cell r="A778">
            <v>149</v>
          </cell>
          <cell r="B778" t="str">
            <v>FG</v>
          </cell>
          <cell r="C778" t="str">
            <v>NM</v>
          </cell>
          <cell r="D778" t="str">
            <v>BEHENIC-75</v>
          </cell>
          <cell r="R778">
            <v>0</v>
          </cell>
          <cell r="AJ778">
            <v>0</v>
          </cell>
          <cell r="AS778">
            <v>0</v>
          </cell>
          <cell r="BB778">
            <v>0</v>
          </cell>
          <cell r="BK778">
            <v>0</v>
          </cell>
          <cell r="BT778">
            <v>0</v>
          </cell>
          <cell r="CC778">
            <v>0</v>
          </cell>
          <cell r="CU778">
            <v>0</v>
          </cell>
          <cell r="EE778">
            <v>0</v>
          </cell>
          <cell r="EN778">
            <v>0</v>
          </cell>
        </row>
        <row r="779">
          <cell r="A779">
            <v>150</v>
          </cell>
          <cell r="B779" t="str">
            <v>FG</v>
          </cell>
          <cell r="C779" t="str">
            <v>NM</v>
          </cell>
          <cell r="D779" t="str">
            <v>BEHENIC-85</v>
          </cell>
          <cell r="R779">
            <v>0</v>
          </cell>
          <cell r="AJ779">
            <v>0</v>
          </cell>
          <cell r="AS779">
            <v>0</v>
          </cell>
          <cell r="BB779">
            <v>0</v>
          </cell>
          <cell r="BK779">
            <v>0</v>
          </cell>
          <cell r="BT779">
            <v>0</v>
          </cell>
          <cell r="CC779">
            <v>0</v>
          </cell>
          <cell r="CU779">
            <v>0</v>
          </cell>
          <cell r="EE779">
            <v>0</v>
          </cell>
          <cell r="EN779">
            <v>0</v>
          </cell>
        </row>
        <row r="780">
          <cell r="A780">
            <v>151</v>
          </cell>
          <cell r="B780" t="str">
            <v>FG</v>
          </cell>
          <cell r="C780" t="str">
            <v>FM</v>
          </cell>
          <cell r="D780" t="str">
            <v>BEHENIC-90</v>
          </cell>
          <cell r="F780">
            <v>144.94999999999999</v>
          </cell>
          <cell r="N780">
            <v>0</v>
          </cell>
          <cell r="R780">
            <v>0</v>
          </cell>
          <cell r="X780">
            <v>144.94999999999999</v>
          </cell>
          <cell r="AG780">
            <v>144.94999999999999</v>
          </cell>
          <cell r="AJ780">
            <v>0</v>
          </cell>
          <cell r="AP780">
            <v>144.94999999999999</v>
          </cell>
          <cell r="AS780">
            <v>0</v>
          </cell>
          <cell r="AY780">
            <v>144.94999999999999</v>
          </cell>
          <cell r="BB780">
            <v>0</v>
          </cell>
          <cell r="BH780">
            <v>144.94999999999999</v>
          </cell>
          <cell r="BK780">
            <v>0</v>
          </cell>
          <cell r="BQ780">
            <v>117.7</v>
          </cell>
          <cell r="BT780">
            <v>0</v>
          </cell>
          <cell r="BZ780">
            <v>117.7</v>
          </cell>
          <cell r="CC780">
            <v>0</v>
          </cell>
          <cell r="CI780">
            <v>117.7</v>
          </cell>
          <cell r="CR780">
            <v>117.7</v>
          </cell>
          <cell r="CU780">
            <v>0</v>
          </cell>
          <cell r="DA780">
            <v>117.7</v>
          </cell>
          <cell r="DJ780">
            <v>77.7</v>
          </cell>
          <cell r="DS780">
            <v>77.7</v>
          </cell>
          <cell r="EB780">
            <v>77.7</v>
          </cell>
          <cell r="EE780">
            <v>0</v>
          </cell>
          <cell r="EK780">
            <v>77.7</v>
          </cell>
          <cell r="EN780">
            <v>0</v>
          </cell>
        </row>
        <row r="781">
          <cell r="A781">
            <v>152</v>
          </cell>
          <cell r="B781" t="str">
            <v>FG</v>
          </cell>
          <cell r="C781" t="str">
            <v>FM</v>
          </cell>
          <cell r="D781" t="str">
            <v>G3 STEARIC</v>
          </cell>
          <cell r="H781">
            <v>1.75</v>
          </cell>
          <cell r="Q781">
            <v>1.75</v>
          </cell>
          <cell r="R781">
            <v>0</v>
          </cell>
          <cell r="Z781">
            <v>1.75</v>
          </cell>
          <cell r="AJ781">
            <v>0</v>
          </cell>
          <cell r="AR781">
            <v>1.75</v>
          </cell>
          <cell r="AS781">
            <v>0</v>
          </cell>
          <cell r="BA781">
            <v>1.75</v>
          </cell>
          <cell r="BB781">
            <v>0</v>
          </cell>
          <cell r="BJ781">
            <v>1.75</v>
          </cell>
          <cell r="BK781">
            <v>0</v>
          </cell>
          <cell r="BS781">
            <v>1.75</v>
          </cell>
          <cell r="BT781">
            <v>0</v>
          </cell>
          <cell r="CB781">
            <v>1.75</v>
          </cell>
          <cell r="CC781">
            <v>0</v>
          </cell>
          <cell r="CT781">
            <v>1.75</v>
          </cell>
          <cell r="CU781">
            <v>0</v>
          </cell>
          <cell r="DC781">
            <v>1.75</v>
          </cell>
          <cell r="DL781">
            <v>1.75</v>
          </cell>
          <cell r="DU781">
            <v>1.75</v>
          </cell>
          <cell r="ED781">
            <v>1.75</v>
          </cell>
          <cell r="EE781">
            <v>0</v>
          </cell>
          <cell r="EM781">
            <v>1.75</v>
          </cell>
          <cell r="EN781">
            <v>0</v>
          </cell>
        </row>
        <row r="782">
          <cell r="A782">
            <v>153</v>
          </cell>
          <cell r="B782" t="str">
            <v>FG</v>
          </cell>
          <cell r="C782" t="str">
            <v>NM</v>
          </cell>
          <cell r="D782" t="str">
            <v>HYD.CASTOR OIL</v>
          </cell>
          <cell r="R782">
            <v>0</v>
          </cell>
          <cell r="AJ782">
            <v>0</v>
          </cell>
          <cell r="AS782">
            <v>0</v>
          </cell>
          <cell r="BB782">
            <v>0</v>
          </cell>
          <cell r="BK782">
            <v>0</v>
          </cell>
          <cell r="BT782">
            <v>0</v>
          </cell>
          <cell r="CC782">
            <v>0</v>
          </cell>
          <cell r="CU782">
            <v>0</v>
          </cell>
          <cell r="EE782">
            <v>0</v>
          </cell>
          <cell r="EN782">
            <v>0</v>
          </cell>
        </row>
        <row r="783">
          <cell r="A783">
            <v>154</v>
          </cell>
          <cell r="B783" t="str">
            <v>FG</v>
          </cell>
          <cell r="C783" t="str">
            <v>FM</v>
          </cell>
          <cell r="D783" t="str">
            <v>C16  W/E</v>
          </cell>
          <cell r="I783">
            <v>32.979999999999997</v>
          </cell>
          <cell r="R783">
            <v>32.979999999999997</v>
          </cell>
          <cell r="AA783">
            <v>32.979999999999997</v>
          </cell>
          <cell r="AJ783">
            <v>32.979999999999997</v>
          </cell>
          <cell r="AS783">
            <v>32.979999999999997</v>
          </cell>
          <cell r="BB783">
            <v>32.979999999999997</v>
          </cell>
          <cell r="BK783">
            <v>32.979999999999997</v>
          </cell>
          <cell r="BT783">
            <v>32.979999999999997</v>
          </cell>
          <cell r="CC783">
            <v>32.979999999999997</v>
          </cell>
          <cell r="CL783">
            <v>25.98</v>
          </cell>
          <cell r="CU783">
            <v>25.98</v>
          </cell>
          <cell r="DD783">
            <v>25.98</v>
          </cell>
          <cell r="DM783">
            <v>25.98</v>
          </cell>
          <cell r="DV783">
            <v>25.98</v>
          </cell>
          <cell r="EE783">
            <v>25.98</v>
          </cell>
          <cell r="EN783">
            <v>25.98</v>
          </cell>
        </row>
        <row r="784">
          <cell r="A784">
            <v>155</v>
          </cell>
          <cell r="B784" t="str">
            <v>FG</v>
          </cell>
          <cell r="C784" t="str">
            <v>FM</v>
          </cell>
          <cell r="D784" t="str">
            <v>C18  W/E</v>
          </cell>
          <cell r="I784">
            <v>15.64</v>
          </cell>
          <cell r="R784">
            <v>15.64</v>
          </cell>
          <cell r="AA784">
            <v>15.64</v>
          </cell>
          <cell r="AJ784">
            <v>15.64</v>
          </cell>
          <cell r="AS784">
            <v>15.64</v>
          </cell>
          <cell r="BB784">
            <v>15.64</v>
          </cell>
          <cell r="BK784">
            <v>15.64</v>
          </cell>
          <cell r="BT784">
            <v>15.64</v>
          </cell>
          <cell r="CC784">
            <v>15.64</v>
          </cell>
          <cell r="CL784">
            <v>15.64</v>
          </cell>
          <cell r="CU784">
            <v>15.64</v>
          </cell>
          <cell r="DD784">
            <v>15.64</v>
          </cell>
          <cell r="DM784">
            <v>15.64</v>
          </cell>
          <cell r="DV784">
            <v>15.64</v>
          </cell>
          <cell r="EE784">
            <v>15.64</v>
          </cell>
          <cell r="EN784">
            <v>15.64</v>
          </cell>
        </row>
        <row r="785">
          <cell r="A785">
            <v>156</v>
          </cell>
          <cell r="B785" t="str">
            <v>FG</v>
          </cell>
          <cell r="C785" t="str">
            <v>FM</v>
          </cell>
          <cell r="D785" t="str">
            <v>C1618  W/E</v>
          </cell>
          <cell r="I785">
            <v>15.46</v>
          </cell>
          <cell r="R785">
            <v>15.46</v>
          </cell>
          <cell r="AA785">
            <v>15.46</v>
          </cell>
          <cell r="AJ785">
            <v>15.46</v>
          </cell>
          <cell r="AS785">
            <v>15.46</v>
          </cell>
          <cell r="BB785">
            <v>15.46</v>
          </cell>
          <cell r="BK785">
            <v>15.46</v>
          </cell>
          <cell r="BT785">
            <v>15.46</v>
          </cell>
          <cell r="CC785">
            <v>15.46</v>
          </cell>
          <cell r="CL785">
            <v>15.46</v>
          </cell>
          <cell r="CU785">
            <v>15.46</v>
          </cell>
          <cell r="DD785">
            <v>15.46</v>
          </cell>
          <cell r="DM785">
            <v>15.46</v>
          </cell>
          <cell r="DV785">
            <v>15.46</v>
          </cell>
          <cell r="EE785">
            <v>15.46</v>
          </cell>
          <cell r="EN785">
            <v>15.46</v>
          </cell>
        </row>
        <row r="786">
          <cell r="A786">
            <v>157</v>
          </cell>
          <cell r="B786" t="str">
            <v>FG</v>
          </cell>
          <cell r="C786" t="str">
            <v>NM</v>
          </cell>
          <cell r="D786" t="str">
            <v>CONTAMINATED FATTY ACID</v>
          </cell>
          <cell r="I786">
            <v>23</v>
          </cell>
          <cell r="R786">
            <v>23</v>
          </cell>
          <cell r="AA786">
            <v>24</v>
          </cell>
          <cell r="AJ786">
            <v>25</v>
          </cell>
          <cell r="AS786">
            <v>26</v>
          </cell>
          <cell r="BB786">
            <v>27</v>
          </cell>
          <cell r="BK786">
            <v>28</v>
          </cell>
          <cell r="BT786">
            <v>30</v>
          </cell>
          <cell r="CC786">
            <v>30</v>
          </cell>
          <cell r="CL786">
            <v>32</v>
          </cell>
          <cell r="CU786">
            <v>32</v>
          </cell>
          <cell r="DD786">
            <v>33</v>
          </cell>
          <cell r="DM786">
            <v>33</v>
          </cell>
          <cell r="DV786">
            <v>35</v>
          </cell>
          <cell r="EE786">
            <v>36</v>
          </cell>
          <cell r="EN786">
            <v>37</v>
          </cell>
        </row>
        <row r="787">
          <cell r="A787">
            <v>158</v>
          </cell>
          <cell r="B787" t="str">
            <v>FG</v>
          </cell>
          <cell r="C787" t="str">
            <v>NM</v>
          </cell>
          <cell r="D787" t="str">
            <v>STEARIC ACID - SPECIAL</v>
          </cell>
          <cell r="F787">
            <v>1.35</v>
          </cell>
          <cell r="H787">
            <v>1.05</v>
          </cell>
          <cell r="Q787">
            <v>1.05</v>
          </cell>
          <cell r="R787">
            <v>0</v>
          </cell>
          <cell r="X787">
            <v>1.35</v>
          </cell>
          <cell r="Z787">
            <v>1.05</v>
          </cell>
          <cell r="AG787">
            <v>1.35</v>
          </cell>
          <cell r="AJ787">
            <v>0</v>
          </cell>
          <cell r="AP787">
            <v>1.35</v>
          </cell>
          <cell r="AR787">
            <v>1.05</v>
          </cell>
          <cell r="AS787">
            <v>0</v>
          </cell>
          <cell r="BA787">
            <v>1.05</v>
          </cell>
          <cell r="BB787">
            <v>0</v>
          </cell>
          <cell r="BH787">
            <v>1.35</v>
          </cell>
          <cell r="BJ787">
            <v>1.05</v>
          </cell>
          <cell r="BK787">
            <v>0</v>
          </cell>
          <cell r="BQ787">
            <v>1.35</v>
          </cell>
          <cell r="BS787">
            <v>1.05</v>
          </cell>
          <cell r="BT787">
            <v>0</v>
          </cell>
          <cell r="BZ787">
            <v>1.35</v>
          </cell>
          <cell r="CB787">
            <v>1.05</v>
          </cell>
          <cell r="CC787">
            <v>0</v>
          </cell>
          <cell r="CI787">
            <v>1.35</v>
          </cell>
          <cell r="CK787">
            <v>1.05</v>
          </cell>
          <cell r="CR787">
            <v>1.35</v>
          </cell>
          <cell r="CT787">
            <v>1.05</v>
          </cell>
          <cell r="CU787">
            <v>0</v>
          </cell>
          <cell r="DA787">
            <v>1.35</v>
          </cell>
          <cell r="DC787">
            <v>1.05</v>
          </cell>
          <cell r="DJ787">
            <v>1.35</v>
          </cell>
          <cell r="DL787">
            <v>1.05</v>
          </cell>
          <cell r="DS787">
            <v>1.35</v>
          </cell>
          <cell r="DU787">
            <v>1.05</v>
          </cell>
          <cell r="EB787">
            <v>1.35</v>
          </cell>
          <cell r="ED787">
            <v>1.05</v>
          </cell>
          <cell r="EE787">
            <v>0</v>
          </cell>
          <cell r="EK787">
            <v>1.35</v>
          </cell>
          <cell r="EM787">
            <v>1.05</v>
          </cell>
          <cell r="EN787">
            <v>0</v>
          </cell>
        </row>
        <row r="788">
          <cell r="A788">
            <v>159</v>
          </cell>
          <cell r="B788" t="str">
            <v>FG</v>
          </cell>
          <cell r="C788" t="str">
            <v>NM</v>
          </cell>
          <cell r="D788" t="str">
            <v>DFA-C18/22</v>
          </cell>
          <cell r="F788">
            <v>15.2</v>
          </cell>
          <cell r="X788">
            <v>15.2</v>
          </cell>
          <cell r="AG788">
            <v>15.2</v>
          </cell>
          <cell r="AY788">
            <v>15.2</v>
          </cell>
          <cell r="BQ788">
            <v>15.2</v>
          </cell>
          <cell r="BZ788">
            <v>15.2</v>
          </cell>
          <cell r="CI788">
            <v>15.2</v>
          </cell>
          <cell r="CR788">
            <v>15.2</v>
          </cell>
          <cell r="DA788">
            <v>15.2</v>
          </cell>
          <cell r="DJ788">
            <v>15.2</v>
          </cell>
          <cell r="DS788">
            <v>15.2</v>
          </cell>
          <cell r="EB788">
            <v>15.2</v>
          </cell>
          <cell r="EK788">
            <v>15.2</v>
          </cell>
        </row>
        <row r="789">
          <cell r="A789">
            <v>160</v>
          </cell>
          <cell r="B789" t="str">
            <v>FG</v>
          </cell>
          <cell r="C789" t="str">
            <v>NM</v>
          </cell>
          <cell r="D789" t="str">
            <v>C10 Alc (14 * 170 kgs)</v>
          </cell>
          <cell r="I789">
            <v>2.38</v>
          </cell>
        </row>
        <row r="790">
          <cell r="A790">
            <v>241</v>
          </cell>
          <cell r="B790" t="str">
            <v>FG</v>
          </cell>
          <cell r="C790" t="str">
            <v>NM</v>
          </cell>
          <cell r="D790" t="str">
            <v>C12</v>
          </cell>
        </row>
        <row r="791">
          <cell r="A791">
            <v>244</v>
          </cell>
          <cell r="B791" t="str">
            <v>FG</v>
          </cell>
          <cell r="C791" t="str">
            <v>NM</v>
          </cell>
          <cell r="D791" t="str">
            <v>STEARIC-90</v>
          </cell>
          <cell r="E791" t="str">
            <v>STEARIC-90</v>
          </cell>
        </row>
        <row r="792">
          <cell r="A792">
            <v>246</v>
          </cell>
          <cell r="B792" t="str">
            <v>FG</v>
          </cell>
          <cell r="C792" t="str">
            <v>NM</v>
          </cell>
          <cell r="D792" t="str">
            <v>HPS 25 KGS</v>
          </cell>
        </row>
        <row r="793">
          <cell r="F793">
            <v>257.95</v>
          </cell>
          <cell r="G793">
            <v>0</v>
          </cell>
          <cell r="H793">
            <v>21.650000000000002</v>
          </cell>
          <cell r="I793">
            <v>749.84500000000003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O793">
            <v>0</v>
          </cell>
          <cell r="P793">
            <v>0</v>
          </cell>
          <cell r="Q793">
            <v>15.65</v>
          </cell>
          <cell r="R793">
            <v>717.91499999999996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314.84999999999997</v>
          </cell>
          <cell r="Y793">
            <v>0</v>
          </cell>
          <cell r="Z793">
            <v>28.650000000000002</v>
          </cell>
          <cell r="AA793">
            <v>667.86500000000001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283</v>
          </cell>
          <cell r="AH793">
            <v>0</v>
          </cell>
          <cell r="AI793">
            <v>1.9</v>
          </cell>
          <cell r="AJ793">
            <v>726.31500000000017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290.39999999999998</v>
          </cell>
          <cell r="AQ793">
            <v>0</v>
          </cell>
          <cell r="AR793">
            <v>17.650000000000002</v>
          </cell>
          <cell r="AS793">
            <v>637.84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292.14999999999998</v>
          </cell>
          <cell r="AZ793">
            <v>0</v>
          </cell>
          <cell r="BA793">
            <v>75.649999999999991</v>
          </cell>
          <cell r="BB793">
            <v>520.49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275.75</v>
          </cell>
          <cell r="BI793">
            <v>0</v>
          </cell>
          <cell r="BJ793">
            <v>85.649999999999991</v>
          </cell>
          <cell r="BK793">
            <v>506.89000000000004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231.7</v>
          </cell>
          <cell r="BR793">
            <v>0</v>
          </cell>
          <cell r="BS793">
            <v>86.649999999999991</v>
          </cell>
          <cell r="BT793">
            <v>498.34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235.70000000000002</v>
          </cell>
          <cell r="CA793">
            <v>0</v>
          </cell>
          <cell r="CB793">
            <v>102.64999999999999</v>
          </cell>
          <cell r="CC793">
            <v>523.49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290.2</v>
          </cell>
          <cell r="CJ793">
            <v>0</v>
          </cell>
          <cell r="CK793">
            <v>126.94999999999999</v>
          </cell>
          <cell r="CL793">
            <v>472.44</v>
          </cell>
          <cell r="CM793">
            <v>0</v>
          </cell>
          <cell r="CN793">
            <v>0</v>
          </cell>
          <cell r="CO793">
            <v>0</v>
          </cell>
          <cell r="CP793">
            <v>0</v>
          </cell>
          <cell r="CQ793">
            <v>0</v>
          </cell>
          <cell r="CR793">
            <v>292.20000000000005</v>
          </cell>
          <cell r="CS793">
            <v>0</v>
          </cell>
          <cell r="CT793">
            <v>129.85000000000002</v>
          </cell>
          <cell r="CU793">
            <v>534.16499999999996</v>
          </cell>
          <cell r="CV793">
            <v>0</v>
          </cell>
          <cell r="CW793">
            <v>0</v>
          </cell>
          <cell r="CX793">
            <v>0</v>
          </cell>
          <cell r="CY793">
            <v>0</v>
          </cell>
          <cell r="CZ793">
            <v>0</v>
          </cell>
          <cell r="DA793">
            <v>305.90000000000003</v>
          </cell>
          <cell r="DB793">
            <v>0</v>
          </cell>
          <cell r="DC793">
            <v>185.85000000000002</v>
          </cell>
          <cell r="DD793">
            <v>585.71500000000003</v>
          </cell>
          <cell r="DE793">
            <v>0</v>
          </cell>
          <cell r="DF793">
            <v>0</v>
          </cell>
          <cell r="DG793">
            <v>0</v>
          </cell>
          <cell r="DH793">
            <v>0</v>
          </cell>
          <cell r="DI793">
            <v>0</v>
          </cell>
          <cell r="DJ793">
            <v>204.4</v>
          </cell>
          <cell r="DK793">
            <v>0</v>
          </cell>
          <cell r="DL793">
            <v>125.85000000000001</v>
          </cell>
          <cell r="DM793">
            <v>562.06500000000005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236.65</v>
          </cell>
          <cell r="DT793">
            <v>0</v>
          </cell>
          <cell r="DU793">
            <v>106.35000000000001</v>
          </cell>
          <cell r="DV793">
            <v>543.51499999999987</v>
          </cell>
          <cell r="DW793">
            <v>0</v>
          </cell>
          <cell r="DX793">
            <v>0</v>
          </cell>
          <cell r="DY793">
            <v>0</v>
          </cell>
          <cell r="DZ793">
            <v>0</v>
          </cell>
          <cell r="EA793">
            <v>0</v>
          </cell>
          <cell r="EB793">
            <v>264.40000000000003</v>
          </cell>
          <cell r="EC793">
            <v>0</v>
          </cell>
          <cell r="ED793">
            <v>90.350000000000009</v>
          </cell>
          <cell r="EE793">
            <v>521.56500000000005</v>
          </cell>
          <cell r="EF793">
            <v>0</v>
          </cell>
          <cell r="EG793">
            <v>0</v>
          </cell>
          <cell r="EH793">
            <v>0</v>
          </cell>
          <cell r="EI793">
            <v>0</v>
          </cell>
          <cell r="EJ793">
            <v>0</v>
          </cell>
          <cell r="EK793">
            <v>296.90000000000003</v>
          </cell>
          <cell r="EL793">
            <v>0</v>
          </cell>
          <cell r="EM793">
            <v>129.35000000000002</v>
          </cell>
          <cell r="EN793">
            <v>539.01499999999999</v>
          </cell>
          <cell r="EO793">
            <v>0</v>
          </cell>
          <cell r="EP793">
            <v>0</v>
          </cell>
          <cell r="EQ793">
            <v>0</v>
          </cell>
          <cell r="ER793">
            <v>0</v>
          </cell>
          <cell r="ES793">
            <v>0</v>
          </cell>
        </row>
        <row r="794">
          <cell r="A794" t="str">
            <v>FATTY ALCOHOLS</v>
          </cell>
        </row>
        <row r="795">
          <cell r="A795">
            <v>256</v>
          </cell>
          <cell r="B795" t="str">
            <v>FG</v>
          </cell>
          <cell r="C795" t="str">
            <v>FM</v>
          </cell>
          <cell r="D795" t="str">
            <v>VEGROL10</v>
          </cell>
          <cell r="N795">
            <v>0</v>
          </cell>
        </row>
        <row r="796">
          <cell r="A796">
            <v>161</v>
          </cell>
          <cell r="B796" t="str">
            <v>FG</v>
          </cell>
          <cell r="C796" t="str">
            <v>FM</v>
          </cell>
          <cell r="D796" t="str">
            <v>VEGROL1214</v>
          </cell>
          <cell r="H796">
            <v>640.02</v>
          </cell>
          <cell r="I796">
            <v>151.68</v>
          </cell>
          <cell r="M796">
            <v>16.87</v>
          </cell>
          <cell r="Q796">
            <v>640.02</v>
          </cell>
          <cell r="R796">
            <v>134</v>
          </cell>
          <cell r="Z796">
            <v>47.6</v>
          </cell>
          <cell r="AA796">
            <v>126.37</v>
          </cell>
          <cell r="AE796">
            <v>8.49</v>
          </cell>
          <cell r="AI796">
            <v>47.6</v>
          </cell>
          <cell r="AJ796">
            <v>185.35</v>
          </cell>
          <cell r="AN796">
            <v>8.49</v>
          </cell>
          <cell r="AR796">
            <v>500.64</v>
          </cell>
          <cell r="AS796">
            <v>454.92</v>
          </cell>
          <cell r="BB796">
            <v>1300.1600000000001</v>
          </cell>
          <cell r="BF796">
            <v>74.599999999999994</v>
          </cell>
          <cell r="BK796">
            <v>714.11</v>
          </cell>
          <cell r="BS796">
            <v>103.3</v>
          </cell>
          <cell r="BT796">
            <v>1225.26</v>
          </cell>
          <cell r="CC796">
            <v>966.3</v>
          </cell>
          <cell r="CG796">
            <v>15.16</v>
          </cell>
          <cell r="CL796">
            <v>1070.08</v>
          </cell>
          <cell r="CP796">
            <v>15.94</v>
          </cell>
          <cell r="CU796">
            <v>1643.15</v>
          </cell>
          <cell r="CY796">
            <v>60.94</v>
          </cell>
          <cell r="DD796">
            <v>1979.49</v>
          </cell>
          <cell r="DM796">
            <v>1992.72</v>
          </cell>
          <cell r="DQ796">
            <v>54.5</v>
          </cell>
          <cell r="DV796">
            <v>1720.85</v>
          </cell>
          <cell r="DZ796">
            <v>74.75</v>
          </cell>
          <cell r="EE796">
            <v>1201.3399999999999</v>
          </cell>
          <cell r="EI796">
            <v>75.56</v>
          </cell>
          <cell r="EN796">
            <v>926.94</v>
          </cell>
          <cell r="ER796">
            <v>45.5</v>
          </cell>
        </row>
        <row r="797">
          <cell r="A797">
            <v>162</v>
          </cell>
          <cell r="B797" t="str">
            <v>FG</v>
          </cell>
          <cell r="C797" t="str">
            <v>FM</v>
          </cell>
          <cell r="D797" t="str">
            <v>VEGROL1216</v>
          </cell>
          <cell r="H797">
            <v>2039.95</v>
          </cell>
          <cell r="I797">
            <v>1435.09</v>
          </cell>
          <cell r="Q797">
            <v>2039.95</v>
          </cell>
          <cell r="R797">
            <v>1376.17</v>
          </cell>
          <cell r="Z797">
            <v>1920.89</v>
          </cell>
          <cell r="AA797">
            <v>22.87</v>
          </cell>
          <cell r="AI797">
            <v>1447.16</v>
          </cell>
          <cell r="AJ797">
            <v>251.13762999999997</v>
          </cell>
          <cell r="AR797">
            <v>1327.49</v>
          </cell>
          <cell r="AS797">
            <v>228.74</v>
          </cell>
          <cell r="BA797">
            <v>477.83</v>
          </cell>
          <cell r="BB797">
            <v>159.81</v>
          </cell>
          <cell r="BJ797">
            <v>379.33</v>
          </cell>
          <cell r="BK797">
            <v>216.00662999999997</v>
          </cell>
          <cell r="BT797">
            <v>505.99</v>
          </cell>
          <cell r="CB797">
            <v>103.3</v>
          </cell>
          <cell r="CC797">
            <v>366.1</v>
          </cell>
          <cell r="CG797">
            <v>30.09</v>
          </cell>
          <cell r="CK797">
            <v>103.3</v>
          </cell>
          <cell r="CL797">
            <v>262.14999999999998</v>
          </cell>
          <cell r="CP797">
            <v>61</v>
          </cell>
          <cell r="CT797">
            <v>103.3</v>
          </cell>
          <cell r="CU797">
            <v>172.05</v>
          </cell>
          <cell r="DC797">
            <v>103.3</v>
          </cell>
          <cell r="DD797">
            <v>359.89</v>
          </cell>
          <cell r="DL797">
            <v>381.65</v>
          </cell>
          <cell r="DM797">
            <v>396.9</v>
          </cell>
          <cell r="DQ797">
            <v>65.64</v>
          </cell>
          <cell r="DU797">
            <v>1098.72</v>
          </cell>
          <cell r="DV797">
            <v>282.70999999999998</v>
          </cell>
          <cell r="ED797">
            <v>1098.72</v>
          </cell>
          <cell r="EE797">
            <v>530.27</v>
          </cell>
          <cell r="EM797">
            <v>1098.72</v>
          </cell>
          <cell r="EN797">
            <v>391.51</v>
          </cell>
        </row>
        <row r="798">
          <cell r="A798">
            <v>163</v>
          </cell>
          <cell r="B798" t="str">
            <v>FG</v>
          </cell>
          <cell r="C798" t="str">
            <v>FM</v>
          </cell>
          <cell r="D798" t="str">
            <v>VEGROL 1218</v>
          </cell>
          <cell r="I798">
            <v>505.86</v>
          </cell>
          <cell r="R798">
            <v>472.86</v>
          </cell>
          <cell r="AA798">
            <v>481.84</v>
          </cell>
          <cell r="AJ798">
            <v>530.19214999999997</v>
          </cell>
          <cell r="AS798">
            <v>605.92999999999995</v>
          </cell>
          <cell r="BB798">
            <v>504.15</v>
          </cell>
          <cell r="BF798">
            <v>17.170000000000002</v>
          </cell>
          <cell r="BK798">
            <v>625.04999999999995</v>
          </cell>
          <cell r="BT798">
            <v>655.29999999999995</v>
          </cell>
          <cell r="CC798">
            <v>608.4</v>
          </cell>
          <cell r="CL798">
            <v>562.66999999999996</v>
          </cell>
          <cell r="CU798">
            <v>562.66999999999996</v>
          </cell>
          <cell r="DD798">
            <v>562.66999999999996</v>
          </cell>
          <cell r="DM798">
            <v>580.34</v>
          </cell>
          <cell r="DQ798">
            <v>15.49</v>
          </cell>
          <cell r="DV798">
            <v>565.26</v>
          </cell>
          <cell r="EE798">
            <v>537.87</v>
          </cell>
          <cell r="EN798">
            <v>491.79</v>
          </cell>
        </row>
        <row r="799">
          <cell r="A799">
            <v>164</v>
          </cell>
          <cell r="B799" t="str">
            <v>FG</v>
          </cell>
          <cell r="C799" t="str">
            <v>FM</v>
          </cell>
          <cell r="D799" t="str">
            <v>VEGROL C1618TA</v>
          </cell>
          <cell r="I799">
            <v>758.56</v>
          </cell>
          <cell r="M799">
            <v>18.77</v>
          </cell>
          <cell r="R799">
            <v>755.47</v>
          </cell>
          <cell r="AA799">
            <v>753.33</v>
          </cell>
          <cell r="AJ799">
            <v>674.13875199999995</v>
          </cell>
          <cell r="AS799">
            <v>605.55999999999995</v>
          </cell>
          <cell r="BB799">
            <v>605.45000000000005</v>
          </cell>
          <cell r="BK799">
            <v>906.86</v>
          </cell>
          <cell r="BT799">
            <v>1022.6</v>
          </cell>
          <cell r="CC799">
            <v>1019.1</v>
          </cell>
          <cell r="CL799">
            <v>1019.1</v>
          </cell>
          <cell r="CU799">
            <v>984.2</v>
          </cell>
          <cell r="DD799">
            <v>923.89</v>
          </cell>
          <cell r="DM799">
            <v>854.51</v>
          </cell>
          <cell r="DV799">
            <v>689.41</v>
          </cell>
          <cell r="EE799">
            <v>1123.9000000000001</v>
          </cell>
          <cell r="EN799">
            <v>1509.1</v>
          </cell>
        </row>
        <row r="800">
          <cell r="A800">
            <v>165</v>
          </cell>
          <cell r="B800" t="str">
            <v>FG</v>
          </cell>
          <cell r="C800" t="str">
            <v>FM</v>
          </cell>
          <cell r="D800" t="str">
            <v>VEGROL C1618(50:50)</v>
          </cell>
          <cell r="I800">
            <v>379.25</v>
          </cell>
          <cell r="R800">
            <v>379.25</v>
          </cell>
          <cell r="AA800">
            <v>378.59</v>
          </cell>
          <cell r="AJ800">
            <v>378.58676800000001</v>
          </cell>
          <cell r="AS800">
            <v>379.45</v>
          </cell>
          <cell r="BB800">
            <v>378.9</v>
          </cell>
          <cell r="BK800">
            <v>378.92075199999999</v>
          </cell>
          <cell r="BT800">
            <v>379.45</v>
          </cell>
          <cell r="CC800">
            <v>379.45</v>
          </cell>
          <cell r="CL800">
            <v>364.32</v>
          </cell>
          <cell r="CU800">
            <v>364.32</v>
          </cell>
          <cell r="DD800">
            <v>364.32</v>
          </cell>
          <cell r="DM800">
            <v>317.41000000000003</v>
          </cell>
          <cell r="DV800">
            <v>303.88</v>
          </cell>
          <cell r="EE800">
            <v>243.66</v>
          </cell>
          <cell r="EN800">
            <v>243.66</v>
          </cell>
        </row>
        <row r="801">
          <cell r="A801">
            <v>166</v>
          </cell>
          <cell r="B801" t="str">
            <v>FG</v>
          </cell>
          <cell r="C801" t="str">
            <v>FM</v>
          </cell>
          <cell r="D801" t="str">
            <v>VEGROL C1618PS</v>
          </cell>
        </row>
        <row r="802">
          <cell r="A802">
            <v>167</v>
          </cell>
          <cell r="B802" t="str">
            <v>FG</v>
          </cell>
          <cell r="C802" t="str">
            <v>FM</v>
          </cell>
          <cell r="D802" t="str">
            <v>VEGROL C1698</v>
          </cell>
          <cell r="I802">
            <v>249.89</v>
          </cell>
          <cell r="R802">
            <v>195.49</v>
          </cell>
          <cell r="AA802">
            <v>160.82</v>
          </cell>
          <cell r="AJ802">
            <v>160.70196799999999</v>
          </cell>
          <cell r="AS802">
            <v>160.69999999999999</v>
          </cell>
          <cell r="BB802">
            <v>179.58</v>
          </cell>
          <cell r="BK802">
            <v>834.48</v>
          </cell>
          <cell r="BT802">
            <v>700.8</v>
          </cell>
          <cell r="CC802">
            <v>456.53</v>
          </cell>
          <cell r="CL802">
            <v>336.04</v>
          </cell>
          <cell r="CU802">
            <v>336.04</v>
          </cell>
          <cell r="DD802">
            <v>262.69</v>
          </cell>
          <cell r="DM802">
            <v>153.56</v>
          </cell>
          <cell r="DV802">
            <v>67.77</v>
          </cell>
          <cell r="EE802">
            <v>640.33000000000004</v>
          </cell>
          <cell r="EN802">
            <v>550.64</v>
          </cell>
        </row>
        <row r="803">
          <cell r="A803">
            <v>168</v>
          </cell>
          <cell r="B803" t="str">
            <v>FG</v>
          </cell>
          <cell r="C803" t="str">
            <v>FM</v>
          </cell>
          <cell r="D803" t="str">
            <v>VEGROL C1895</v>
          </cell>
        </row>
        <row r="804">
          <cell r="A804">
            <v>169</v>
          </cell>
          <cell r="B804" t="str">
            <v>FG</v>
          </cell>
          <cell r="C804" t="str">
            <v>FM</v>
          </cell>
          <cell r="D804" t="str">
            <v>VEGROL C1898</v>
          </cell>
          <cell r="I804">
            <v>511.02</v>
          </cell>
          <cell r="R804">
            <v>528.61</v>
          </cell>
          <cell r="AA804">
            <v>491.67</v>
          </cell>
          <cell r="AJ804">
            <v>485.43779200000006</v>
          </cell>
          <cell r="AS804">
            <v>479.07</v>
          </cell>
          <cell r="BB804">
            <v>477.45</v>
          </cell>
          <cell r="BK804">
            <v>399.63855000000001</v>
          </cell>
          <cell r="BT804">
            <v>398.22</v>
          </cell>
          <cell r="CC804">
            <v>396.38</v>
          </cell>
          <cell r="CL804">
            <v>324.33999999999997</v>
          </cell>
          <cell r="CU804">
            <v>304.5</v>
          </cell>
          <cell r="DD804">
            <v>304.5</v>
          </cell>
          <cell r="DM804">
            <v>302.08</v>
          </cell>
          <cell r="DV804">
            <v>224.33</v>
          </cell>
          <cell r="EE804">
            <v>181.3</v>
          </cell>
          <cell r="EN804">
            <v>433.54</v>
          </cell>
        </row>
        <row r="805">
          <cell r="A805">
            <v>170</v>
          </cell>
          <cell r="B805" t="str">
            <v>FG</v>
          </cell>
          <cell r="C805" t="str">
            <v>FM</v>
          </cell>
          <cell r="D805" t="str">
            <v>VEGROL C1822 (seed alc)</v>
          </cell>
          <cell r="AA805">
            <v>644.11</v>
          </cell>
          <cell r="AJ805">
            <v>209.06559999999999</v>
          </cell>
          <cell r="AS805">
            <v>210.38</v>
          </cell>
          <cell r="BB805">
            <v>254.12</v>
          </cell>
          <cell r="BK805">
            <v>254.4511</v>
          </cell>
          <cell r="BT805">
            <v>254.22</v>
          </cell>
          <cell r="CC805">
            <v>251.4</v>
          </cell>
          <cell r="CL805">
            <v>254.62</v>
          </cell>
          <cell r="CU805">
            <v>254.62</v>
          </cell>
          <cell r="DD805">
            <v>254.62</v>
          </cell>
          <cell r="DM805">
            <v>254.62</v>
          </cell>
          <cell r="DV805">
            <v>254.62</v>
          </cell>
          <cell r="EE805">
            <v>254.62</v>
          </cell>
          <cell r="EN805">
            <v>254.62</v>
          </cell>
        </row>
        <row r="806">
          <cell r="A806">
            <v>171</v>
          </cell>
          <cell r="B806" t="str">
            <v>FG</v>
          </cell>
          <cell r="C806" t="str">
            <v>SM</v>
          </cell>
          <cell r="D806" t="str">
            <v>VEGROL C20:2250:50</v>
          </cell>
        </row>
        <row r="807">
          <cell r="A807">
            <v>172</v>
          </cell>
          <cell r="B807" t="str">
            <v>FG</v>
          </cell>
          <cell r="C807" t="str">
            <v>SM</v>
          </cell>
          <cell r="D807" t="str">
            <v>VEGROL C2280</v>
          </cell>
          <cell r="I807">
            <v>164.94</v>
          </cell>
          <cell r="N807">
            <v>0</v>
          </cell>
          <cell r="R807">
            <v>38.15</v>
          </cell>
          <cell r="AA807">
            <v>49.45</v>
          </cell>
          <cell r="AJ807">
            <v>507.48020000000002</v>
          </cell>
          <cell r="AS807">
            <v>449.58</v>
          </cell>
          <cell r="BB807">
            <v>310.70999999999998</v>
          </cell>
          <cell r="BK807">
            <v>310.69119999999998</v>
          </cell>
          <cell r="BT807">
            <v>310.75</v>
          </cell>
          <cell r="CC807">
            <v>309</v>
          </cell>
          <cell r="CL807">
            <v>310.94</v>
          </cell>
          <cell r="CU807">
            <v>310.94</v>
          </cell>
          <cell r="DD807">
            <v>274.45</v>
          </cell>
          <cell r="DM807">
            <v>274.45</v>
          </cell>
          <cell r="DV807">
            <v>274.45</v>
          </cell>
          <cell r="EE807">
            <v>274.45</v>
          </cell>
          <cell r="EN807">
            <v>258.73</v>
          </cell>
        </row>
        <row r="808">
          <cell r="A808">
            <v>173</v>
          </cell>
          <cell r="B808" t="str">
            <v>FG</v>
          </cell>
          <cell r="C808" t="str">
            <v>SM</v>
          </cell>
          <cell r="D808" t="str">
            <v>VEGROL1216 CONCENTRATED</v>
          </cell>
          <cell r="AA808">
            <v>1376.17</v>
          </cell>
          <cell r="AJ808">
            <v>1228.83</v>
          </cell>
          <cell r="AS808">
            <v>1130.02</v>
          </cell>
          <cell r="BB808">
            <v>1129.1600000000001</v>
          </cell>
          <cell r="BK808">
            <v>1688.8429999999998</v>
          </cell>
          <cell r="BT808">
            <v>2005.13</v>
          </cell>
          <cell r="CC808">
            <v>2140.6</v>
          </cell>
          <cell r="CL808">
            <v>2136.6999999999998</v>
          </cell>
          <cell r="CU808">
            <v>2135.1</v>
          </cell>
          <cell r="DD808">
            <v>1923.81</v>
          </cell>
          <cell r="DM808">
            <v>1399</v>
          </cell>
          <cell r="DV808">
            <v>1114.7</v>
          </cell>
          <cell r="EE808">
            <v>963.4</v>
          </cell>
          <cell r="EN808">
            <v>960.5</v>
          </cell>
        </row>
        <row r="809">
          <cell r="A809">
            <v>250</v>
          </cell>
          <cell r="B809" t="str">
            <v>FG</v>
          </cell>
          <cell r="C809" t="str">
            <v>SM</v>
          </cell>
          <cell r="D809" t="str">
            <v>VEGROL C2270</v>
          </cell>
        </row>
        <row r="810">
          <cell r="F810">
            <v>0</v>
          </cell>
          <cell r="G810">
            <v>0</v>
          </cell>
          <cell r="H810">
            <v>2679.9700000000003</v>
          </cell>
          <cell r="I810">
            <v>4156.29</v>
          </cell>
          <cell r="J810">
            <v>0</v>
          </cell>
          <cell r="K810">
            <v>0</v>
          </cell>
          <cell r="L810">
            <v>0</v>
          </cell>
          <cell r="M810">
            <v>35.64</v>
          </cell>
          <cell r="O810">
            <v>0</v>
          </cell>
          <cell r="P810">
            <v>0</v>
          </cell>
          <cell r="Q810">
            <v>2679.9700000000003</v>
          </cell>
          <cell r="R810">
            <v>3880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1968.49</v>
          </cell>
          <cell r="AA810">
            <v>4485.2199999999993</v>
          </cell>
          <cell r="AB810">
            <v>0</v>
          </cell>
          <cell r="AC810">
            <v>0</v>
          </cell>
          <cell r="AD810">
            <v>0</v>
          </cell>
          <cell r="AE810">
            <v>8.49</v>
          </cell>
          <cell r="AF810">
            <v>0</v>
          </cell>
          <cell r="AG810">
            <v>0</v>
          </cell>
          <cell r="AH810">
            <v>0</v>
          </cell>
          <cell r="AI810">
            <v>1494.76</v>
          </cell>
          <cell r="AJ810">
            <v>4610.9208600000002</v>
          </cell>
          <cell r="AK810">
            <v>0</v>
          </cell>
          <cell r="AL810">
            <v>0</v>
          </cell>
          <cell r="AM810">
            <v>0</v>
          </cell>
          <cell r="AN810">
            <v>8.49</v>
          </cell>
          <cell r="AO810">
            <v>0</v>
          </cell>
          <cell r="AP810">
            <v>0</v>
          </cell>
          <cell r="AQ810">
            <v>0</v>
          </cell>
          <cell r="AR810">
            <v>1828.13</v>
          </cell>
          <cell r="AS810">
            <v>4704.3500000000004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477.83</v>
          </cell>
          <cell r="BB810">
            <v>5299.4899999999989</v>
          </cell>
          <cell r="BC810">
            <v>0</v>
          </cell>
          <cell r="BD810">
            <v>0</v>
          </cell>
          <cell r="BE810">
            <v>0</v>
          </cell>
          <cell r="BF810">
            <v>91.77</v>
          </cell>
          <cell r="BG810">
            <v>0</v>
          </cell>
          <cell r="BH810">
            <v>0</v>
          </cell>
          <cell r="BI810">
            <v>0</v>
          </cell>
          <cell r="BJ810">
            <v>379.33</v>
          </cell>
          <cell r="BK810">
            <v>6329.0512319999998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103.3</v>
          </cell>
          <cell r="BT810">
            <v>7457.72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103.3</v>
          </cell>
          <cell r="CC810">
            <v>6893.26</v>
          </cell>
          <cell r="CD810">
            <v>0</v>
          </cell>
          <cell r="CE810">
            <v>0</v>
          </cell>
          <cell r="CF810">
            <v>0</v>
          </cell>
          <cell r="CG810">
            <v>45.25</v>
          </cell>
          <cell r="CH810">
            <v>0</v>
          </cell>
          <cell r="CI810">
            <v>0</v>
          </cell>
          <cell r="CJ810">
            <v>0</v>
          </cell>
          <cell r="CK810">
            <v>103.3</v>
          </cell>
          <cell r="CL810">
            <v>6640.96</v>
          </cell>
          <cell r="CM810">
            <v>0</v>
          </cell>
          <cell r="CN810">
            <v>0</v>
          </cell>
          <cell r="CO810">
            <v>0</v>
          </cell>
          <cell r="CP810">
            <v>76.94</v>
          </cell>
          <cell r="CQ810">
            <v>0</v>
          </cell>
          <cell r="CR810">
            <v>0</v>
          </cell>
          <cell r="CS810">
            <v>0</v>
          </cell>
          <cell r="CT810">
            <v>103.3</v>
          </cell>
          <cell r="CU810">
            <v>7067.59</v>
          </cell>
          <cell r="CV810">
            <v>0</v>
          </cell>
          <cell r="CW810">
            <v>0</v>
          </cell>
          <cell r="CX810">
            <v>0</v>
          </cell>
          <cell r="CY810">
            <v>60.94</v>
          </cell>
          <cell r="CZ810">
            <v>0</v>
          </cell>
          <cell r="DA810">
            <v>0</v>
          </cell>
          <cell r="DB810">
            <v>0</v>
          </cell>
          <cell r="DC810">
            <v>103.3</v>
          </cell>
          <cell r="DD810">
            <v>7210.33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  <cell r="DL810">
            <v>381.65</v>
          </cell>
          <cell r="DM810">
            <v>6525.59</v>
          </cell>
          <cell r="DN810">
            <v>0</v>
          </cell>
          <cell r="DO810">
            <v>0</v>
          </cell>
          <cell r="DP810">
            <v>0</v>
          </cell>
          <cell r="DQ810">
            <v>135.63</v>
          </cell>
          <cell r="DR810">
            <v>0</v>
          </cell>
          <cell r="DS810">
            <v>0</v>
          </cell>
          <cell r="DT810">
            <v>0</v>
          </cell>
          <cell r="DU810">
            <v>1098.72</v>
          </cell>
          <cell r="DV810">
            <v>5497.98</v>
          </cell>
          <cell r="DW810">
            <v>0</v>
          </cell>
          <cell r="DX810">
            <v>0</v>
          </cell>
          <cell r="DY810">
            <v>0</v>
          </cell>
          <cell r="DZ810">
            <v>74.75</v>
          </cell>
          <cell r="EA810">
            <v>0</v>
          </cell>
          <cell r="EB810">
            <v>0</v>
          </cell>
          <cell r="EC810">
            <v>0</v>
          </cell>
          <cell r="ED810">
            <v>1098.72</v>
          </cell>
          <cell r="EE810">
            <v>5951.1399999999994</v>
          </cell>
          <cell r="EF810">
            <v>0</v>
          </cell>
          <cell r="EG810">
            <v>0</v>
          </cell>
          <cell r="EH810">
            <v>0</v>
          </cell>
          <cell r="EI810">
            <v>75.56</v>
          </cell>
          <cell r="EJ810">
            <v>0</v>
          </cell>
          <cell r="EK810">
            <v>0</v>
          </cell>
          <cell r="EL810">
            <v>0</v>
          </cell>
          <cell r="EM810">
            <v>1098.72</v>
          </cell>
          <cell r="EN810">
            <v>6021.0300000000007</v>
          </cell>
          <cell r="EO810">
            <v>0</v>
          </cell>
          <cell r="EP810">
            <v>0</v>
          </cell>
          <cell r="EQ810">
            <v>0</v>
          </cell>
          <cell r="ER810">
            <v>45.5</v>
          </cell>
          <cell r="ES810">
            <v>0</v>
          </cell>
        </row>
        <row r="811">
          <cell r="A811" t="str">
            <v>PASTILLES</v>
          </cell>
        </row>
        <row r="812">
          <cell r="A812">
            <v>174</v>
          </cell>
          <cell r="B812" t="str">
            <v>FG</v>
          </cell>
          <cell r="C812" t="str">
            <v>FM</v>
          </cell>
          <cell r="D812" t="str">
            <v>VEGROL C1618TA</v>
          </cell>
          <cell r="I812">
            <v>336.52</v>
          </cell>
          <cell r="R812">
            <v>315.92</v>
          </cell>
          <cell r="AA812">
            <v>273.02</v>
          </cell>
          <cell r="AJ812">
            <v>314.995</v>
          </cell>
          <cell r="AS812">
            <v>302.52</v>
          </cell>
          <cell r="BB812">
            <v>265.52</v>
          </cell>
          <cell r="BK812">
            <v>221.72</v>
          </cell>
          <cell r="BT812">
            <v>310.72000000000003</v>
          </cell>
          <cell r="CC812">
            <v>247.47</v>
          </cell>
          <cell r="CL812">
            <v>149.87</v>
          </cell>
          <cell r="CU812">
            <v>174.17</v>
          </cell>
          <cell r="DD812">
            <v>162.54499999999999</v>
          </cell>
          <cell r="DM812">
            <v>183.94499999999999</v>
          </cell>
          <cell r="DV812">
            <v>327.245</v>
          </cell>
          <cell r="EE812">
            <v>282.59500000000003</v>
          </cell>
          <cell r="EN812">
            <v>266.995</v>
          </cell>
        </row>
        <row r="813">
          <cell r="A813">
            <v>175</v>
          </cell>
          <cell r="B813" t="str">
            <v>FG</v>
          </cell>
          <cell r="C813" t="str">
            <v>FM</v>
          </cell>
          <cell r="D813" t="str">
            <v>VEGROL C1618(50:50)</v>
          </cell>
          <cell r="I813">
            <v>176.53</v>
          </cell>
          <cell r="R813">
            <v>168.53</v>
          </cell>
          <cell r="AA813">
            <v>165.53</v>
          </cell>
          <cell r="AJ813">
            <v>151.52000000000001</v>
          </cell>
          <cell r="AS813">
            <v>142.02000000000001</v>
          </cell>
          <cell r="BB813">
            <v>127.02</v>
          </cell>
          <cell r="BK813">
            <v>111.02</v>
          </cell>
          <cell r="BT813">
            <v>105.02</v>
          </cell>
          <cell r="CC813">
            <v>102.02</v>
          </cell>
          <cell r="CL813">
            <v>108.02</v>
          </cell>
          <cell r="CU813">
            <v>135.12</v>
          </cell>
          <cell r="DD813">
            <v>101.52</v>
          </cell>
          <cell r="DM813">
            <v>114.72</v>
          </cell>
          <cell r="DV813">
            <v>107.27</v>
          </cell>
          <cell r="EE813">
            <v>146.77000000000001</v>
          </cell>
          <cell r="EN813">
            <v>117.77</v>
          </cell>
        </row>
        <row r="814">
          <cell r="A814">
            <v>176</v>
          </cell>
          <cell r="B814" t="str">
            <v>FG</v>
          </cell>
          <cell r="C814" t="str">
            <v>FM</v>
          </cell>
          <cell r="D814" t="str">
            <v>VEGROL C1618PS</v>
          </cell>
          <cell r="I814">
            <v>11.08</v>
          </cell>
          <cell r="R814">
            <v>11.08</v>
          </cell>
          <cell r="AA814">
            <v>11.08</v>
          </cell>
          <cell r="AJ814">
            <v>11.08</v>
          </cell>
          <cell r="AS814">
            <v>11.08</v>
          </cell>
          <cell r="BB814">
            <v>11.08</v>
          </cell>
          <cell r="BK814">
            <v>11.08</v>
          </cell>
          <cell r="BT814">
            <v>11.08</v>
          </cell>
          <cell r="CC814">
            <v>11.08</v>
          </cell>
          <cell r="CL814">
            <v>11.08</v>
          </cell>
          <cell r="CU814">
            <v>11.08</v>
          </cell>
          <cell r="DD814">
            <v>11.08</v>
          </cell>
          <cell r="DM814">
            <v>11.08</v>
          </cell>
          <cell r="DV814">
            <v>11.08</v>
          </cell>
          <cell r="EE814">
            <v>11.08</v>
          </cell>
          <cell r="EN814">
            <v>11.08</v>
          </cell>
        </row>
        <row r="815">
          <cell r="A815">
            <v>177</v>
          </cell>
          <cell r="B815" t="str">
            <v>FG</v>
          </cell>
          <cell r="C815" t="str">
            <v>FM</v>
          </cell>
          <cell r="D815" t="str">
            <v>VEGROL C1698</v>
          </cell>
          <cell r="I815">
            <v>95.04</v>
          </cell>
          <cell r="R815">
            <v>142.63</v>
          </cell>
          <cell r="AA815">
            <v>80.203000000000003</v>
          </cell>
          <cell r="AJ815">
            <v>51.4</v>
          </cell>
          <cell r="AS815">
            <v>21.4</v>
          </cell>
          <cell r="BB815">
            <v>13.9</v>
          </cell>
          <cell r="BK815">
            <v>119.95</v>
          </cell>
          <cell r="BT815">
            <v>69.42</v>
          </cell>
          <cell r="CC815">
            <v>150.62</v>
          </cell>
          <cell r="CL815">
            <v>157.03</v>
          </cell>
          <cell r="CU815">
            <v>149.83000000000001</v>
          </cell>
          <cell r="DD815">
            <v>143.22999999999999</v>
          </cell>
          <cell r="DM815">
            <v>89.59</v>
          </cell>
          <cell r="DV815">
            <v>41.99</v>
          </cell>
          <cell r="EE815">
            <v>52.36</v>
          </cell>
          <cell r="EN815">
            <v>96.15</v>
          </cell>
        </row>
        <row r="816">
          <cell r="A816">
            <v>178</v>
          </cell>
          <cell r="B816" t="str">
            <v>FG</v>
          </cell>
          <cell r="C816" t="str">
            <v>FM</v>
          </cell>
          <cell r="D816" t="str">
            <v>VEGROL C1895</v>
          </cell>
          <cell r="R816">
            <v>0</v>
          </cell>
          <cell r="AJ816">
            <v>0</v>
          </cell>
          <cell r="AS816">
            <v>0</v>
          </cell>
          <cell r="BB816">
            <v>0</v>
          </cell>
          <cell r="BK816">
            <v>0</v>
          </cell>
          <cell r="BT816">
            <v>0</v>
          </cell>
          <cell r="CC816">
            <v>0</v>
          </cell>
          <cell r="CU816">
            <v>0</v>
          </cell>
          <cell r="DM816">
            <v>0</v>
          </cell>
          <cell r="DV816">
            <v>0</v>
          </cell>
          <cell r="EE816">
            <v>0</v>
          </cell>
          <cell r="EN816">
            <v>0</v>
          </cell>
        </row>
        <row r="817">
          <cell r="A817">
            <v>179</v>
          </cell>
          <cell r="B817" t="str">
            <v>FG</v>
          </cell>
          <cell r="C817" t="str">
            <v>FM</v>
          </cell>
          <cell r="D817" t="str">
            <v>VEGROL C1898</v>
          </cell>
          <cell r="I817">
            <v>1.66</v>
          </cell>
          <cell r="R817">
            <v>1.66</v>
          </cell>
          <cell r="AA817">
            <v>84.26</v>
          </cell>
          <cell r="AJ817">
            <v>81.260000000000005</v>
          </cell>
          <cell r="AS817">
            <v>66.86</v>
          </cell>
          <cell r="BB817">
            <v>54.61</v>
          </cell>
          <cell r="BK817">
            <v>88.674000000000007</v>
          </cell>
          <cell r="BT817">
            <v>63.024000000000001</v>
          </cell>
          <cell r="CC817">
            <v>31.943999999999999</v>
          </cell>
          <cell r="CL817">
            <v>103.117</v>
          </cell>
          <cell r="CU817">
            <v>81.522000000000006</v>
          </cell>
          <cell r="DD817">
            <v>49.048000000000002</v>
          </cell>
          <cell r="DM817">
            <v>32.548000000000002</v>
          </cell>
          <cell r="DV817">
            <v>87.47</v>
          </cell>
          <cell r="EE817">
            <v>108.15</v>
          </cell>
          <cell r="EN817">
            <v>93.15</v>
          </cell>
        </row>
        <row r="818">
          <cell r="A818">
            <v>180</v>
          </cell>
          <cell r="B818" t="str">
            <v>FG</v>
          </cell>
          <cell r="C818" t="str">
            <v>FM</v>
          </cell>
          <cell r="D818" t="str">
            <v>VEGROL C1822</v>
          </cell>
          <cell r="I818">
            <v>129.22499999999999</v>
          </cell>
          <cell r="R818">
            <v>129.22499999999999</v>
          </cell>
          <cell r="AA818">
            <v>129.22499999999999</v>
          </cell>
          <cell r="AJ818">
            <v>129.22499999999999</v>
          </cell>
          <cell r="AS818">
            <v>129.22499999999999</v>
          </cell>
          <cell r="BB818">
            <v>129.22499999999999</v>
          </cell>
          <cell r="BK818">
            <v>129.22499999999999</v>
          </cell>
          <cell r="BT818">
            <v>120.22499999999999</v>
          </cell>
          <cell r="CC818">
            <v>120.22499999999999</v>
          </cell>
          <cell r="CL818">
            <v>116.2</v>
          </cell>
          <cell r="CU818">
            <v>116.2</v>
          </cell>
          <cell r="DD818">
            <v>116.2</v>
          </cell>
          <cell r="DM818">
            <v>115.2</v>
          </cell>
          <cell r="DV818">
            <v>115.2</v>
          </cell>
          <cell r="EE818">
            <v>103.2</v>
          </cell>
          <cell r="EN818">
            <v>71.2</v>
          </cell>
        </row>
        <row r="819">
          <cell r="A819">
            <v>181</v>
          </cell>
          <cell r="B819" t="str">
            <v>FG</v>
          </cell>
          <cell r="C819" t="str">
            <v>FM</v>
          </cell>
          <cell r="D819" t="str">
            <v>VEGROL C22</v>
          </cell>
          <cell r="I819">
            <v>61.161999999999999</v>
          </cell>
          <cell r="R819">
            <v>54.762</v>
          </cell>
          <cell r="AA819">
            <v>65.311999999999998</v>
          </cell>
          <cell r="AJ819">
            <v>11.762</v>
          </cell>
          <cell r="AS819">
            <v>64.512</v>
          </cell>
          <cell r="BB819">
            <v>205.762</v>
          </cell>
          <cell r="BK819">
            <v>205.762</v>
          </cell>
          <cell r="BT819">
            <v>191.262</v>
          </cell>
          <cell r="CC819">
            <v>190.012</v>
          </cell>
          <cell r="CL819">
            <v>189.512</v>
          </cell>
          <cell r="CU819">
            <v>189.512</v>
          </cell>
          <cell r="DD819">
            <v>172.08199999999999</v>
          </cell>
          <cell r="DM819">
            <v>129.422</v>
          </cell>
          <cell r="DV819">
            <v>99.921999999999997</v>
          </cell>
          <cell r="EE819">
            <v>88.572000000000003</v>
          </cell>
          <cell r="EN819">
            <v>64.572000000000003</v>
          </cell>
        </row>
        <row r="820">
          <cell r="A820">
            <v>182</v>
          </cell>
          <cell r="B820" t="str">
            <v>FG</v>
          </cell>
          <cell r="C820" t="str">
            <v>FM</v>
          </cell>
          <cell r="D820" t="str">
            <v>VEGROL C2280</v>
          </cell>
          <cell r="R820">
            <v>0</v>
          </cell>
          <cell r="AJ820">
            <v>2.75</v>
          </cell>
          <cell r="AS820">
            <v>2.75</v>
          </cell>
          <cell r="BB820">
            <v>2.75</v>
          </cell>
          <cell r="BK820">
            <v>2.75</v>
          </cell>
          <cell r="BT820">
            <v>2.75</v>
          </cell>
          <cell r="CC820">
            <v>2.75</v>
          </cell>
          <cell r="CL820">
            <v>2.75</v>
          </cell>
          <cell r="CU820">
            <v>2.75</v>
          </cell>
          <cell r="DD820">
            <v>2.75</v>
          </cell>
          <cell r="DM820">
            <v>2.75</v>
          </cell>
          <cell r="DV820">
            <v>2.75</v>
          </cell>
          <cell r="EE820">
            <v>2.75</v>
          </cell>
          <cell r="EN820">
            <v>2.75</v>
          </cell>
        </row>
        <row r="821">
          <cell r="A821">
            <v>183</v>
          </cell>
          <cell r="B821" t="str">
            <v>FG</v>
          </cell>
          <cell r="C821" t="str">
            <v>FM</v>
          </cell>
          <cell r="D821" t="str">
            <v>OFF GRADE PASTILLES</v>
          </cell>
          <cell r="I821">
            <v>190</v>
          </cell>
          <cell r="R821">
            <v>190</v>
          </cell>
          <cell r="AA821">
            <v>192</v>
          </cell>
          <cell r="AJ821">
            <v>193</v>
          </cell>
          <cell r="AS821">
            <v>194</v>
          </cell>
          <cell r="BB821">
            <v>194</v>
          </cell>
          <cell r="BK821">
            <v>194</v>
          </cell>
          <cell r="BT821">
            <v>196</v>
          </cell>
          <cell r="CC821">
            <v>198</v>
          </cell>
          <cell r="CL821">
            <v>200</v>
          </cell>
          <cell r="CU821">
            <v>200</v>
          </cell>
          <cell r="DD821">
            <v>200</v>
          </cell>
          <cell r="DM821">
            <v>200</v>
          </cell>
          <cell r="DV821">
            <v>201</v>
          </cell>
          <cell r="EE821">
            <v>202</v>
          </cell>
          <cell r="EN821">
            <v>202</v>
          </cell>
        </row>
        <row r="822">
          <cell r="F822">
            <v>0</v>
          </cell>
          <cell r="G822">
            <v>0</v>
          </cell>
          <cell r="H822">
            <v>0</v>
          </cell>
          <cell r="I822">
            <v>1001.217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1013.807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1000.63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946.99199999999996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934.36699999999996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1003.867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1084.181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1069.501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1054.1210000000001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1037.579</v>
          </cell>
          <cell r="CM822">
            <v>0</v>
          </cell>
          <cell r="CN822">
            <v>0</v>
          </cell>
          <cell r="CO822">
            <v>0</v>
          </cell>
          <cell r="CP822">
            <v>0</v>
          </cell>
          <cell r="CQ822">
            <v>0</v>
          </cell>
          <cell r="CR822">
            <v>0</v>
          </cell>
          <cell r="CS822">
            <v>0</v>
          </cell>
          <cell r="CT822">
            <v>0</v>
          </cell>
          <cell r="CU822">
            <v>1060.184</v>
          </cell>
          <cell r="CV822">
            <v>0</v>
          </cell>
          <cell r="CW822">
            <v>0</v>
          </cell>
          <cell r="CX822">
            <v>0</v>
          </cell>
          <cell r="CY822">
            <v>0</v>
          </cell>
          <cell r="CZ822">
            <v>0</v>
          </cell>
          <cell r="DA822">
            <v>0</v>
          </cell>
          <cell r="DB822">
            <v>0</v>
          </cell>
          <cell r="DC822">
            <v>0</v>
          </cell>
          <cell r="DD822">
            <v>958.45500000000004</v>
          </cell>
          <cell r="DE822">
            <v>0</v>
          </cell>
          <cell r="DF822">
            <v>0</v>
          </cell>
          <cell r="DG822">
            <v>0</v>
          </cell>
          <cell r="DH822">
            <v>0</v>
          </cell>
          <cell r="DI822">
            <v>0</v>
          </cell>
          <cell r="DJ822">
            <v>0</v>
          </cell>
          <cell r="DK822">
            <v>0</v>
          </cell>
          <cell r="DL822">
            <v>0</v>
          </cell>
          <cell r="DM822">
            <v>879.255</v>
          </cell>
          <cell r="DN822">
            <v>0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>
            <v>0</v>
          </cell>
          <cell r="DV822">
            <v>993.92700000000002</v>
          </cell>
          <cell r="DW822">
            <v>0</v>
          </cell>
          <cell r="DX822">
            <v>0</v>
          </cell>
          <cell r="DY822">
            <v>0</v>
          </cell>
          <cell r="DZ822">
            <v>0</v>
          </cell>
          <cell r="EA822">
            <v>0</v>
          </cell>
          <cell r="EB822">
            <v>0</v>
          </cell>
          <cell r="EC822">
            <v>0</v>
          </cell>
          <cell r="ED822">
            <v>0</v>
          </cell>
          <cell r="EE822">
            <v>997.47700000000009</v>
          </cell>
          <cell r="EF822">
            <v>0</v>
          </cell>
          <cell r="EG822">
            <v>0</v>
          </cell>
          <cell r="EH822">
            <v>0</v>
          </cell>
          <cell r="EI822">
            <v>0</v>
          </cell>
          <cell r="EJ822">
            <v>0</v>
          </cell>
          <cell r="EK822">
            <v>0</v>
          </cell>
          <cell r="EL822">
            <v>0</v>
          </cell>
          <cell r="EM822">
            <v>0</v>
          </cell>
          <cell r="EN822">
            <v>925.66700000000003</v>
          </cell>
          <cell r="EO822">
            <v>0</v>
          </cell>
          <cell r="EP822">
            <v>0</v>
          </cell>
          <cell r="EQ822">
            <v>0</v>
          </cell>
          <cell r="ER822">
            <v>0</v>
          </cell>
          <cell r="ES822">
            <v>0</v>
          </cell>
        </row>
        <row r="823">
          <cell r="A823" t="str">
            <v xml:space="preserve">ALCOHOL-INTERMEDIATES </v>
          </cell>
        </row>
        <row r="824">
          <cell r="A824">
            <v>184</v>
          </cell>
          <cell r="B824" t="str">
            <v>IPRM</v>
          </cell>
          <cell r="C824" t="str">
            <v>NM</v>
          </cell>
          <cell r="D824" t="str">
            <v>ALCOHOL-L/E-C-12 88%</v>
          </cell>
        </row>
        <row r="825">
          <cell r="A825">
            <v>185</v>
          </cell>
          <cell r="B825" t="str">
            <v>IPRM</v>
          </cell>
          <cell r="C825" t="str">
            <v>NM</v>
          </cell>
          <cell r="D825" t="str">
            <v>ALCOHOL-L/E-1(1214)</v>
          </cell>
          <cell r="AJ825">
            <v>9.3000000000000007</v>
          </cell>
          <cell r="AS825">
            <v>18.899999999999999</v>
          </cell>
          <cell r="BK825">
            <v>9.3000000000000007</v>
          </cell>
          <cell r="BT825">
            <v>5</v>
          </cell>
          <cell r="CC825">
            <v>15.2</v>
          </cell>
          <cell r="CL825">
            <v>4</v>
          </cell>
          <cell r="CU825">
            <v>6.7</v>
          </cell>
          <cell r="DD825">
            <v>10.6</v>
          </cell>
          <cell r="DM825">
            <v>13.2</v>
          </cell>
          <cell r="DV825">
            <v>1.8</v>
          </cell>
          <cell r="EE825">
            <v>2.4</v>
          </cell>
          <cell r="EN825">
            <v>2.4</v>
          </cell>
        </row>
        <row r="826">
          <cell r="A826">
            <v>186</v>
          </cell>
          <cell r="B826" t="str">
            <v>IPRM</v>
          </cell>
          <cell r="C826" t="str">
            <v>NM</v>
          </cell>
          <cell r="D826" t="str">
            <v>ALCOHOL-L/E-2(C12C16)</v>
          </cell>
          <cell r="I826">
            <v>2465.36</v>
          </cell>
          <cell r="AJ826">
            <v>698.3</v>
          </cell>
        </row>
        <row r="827">
          <cell r="A827">
            <v>187</v>
          </cell>
          <cell r="B827" t="str">
            <v>IPRM</v>
          </cell>
          <cell r="C827" t="str">
            <v>NM</v>
          </cell>
          <cell r="D827" t="str">
            <v>ALCOHOL-L/E-C1618,22</v>
          </cell>
          <cell r="R827">
            <v>80</v>
          </cell>
          <cell r="AA827">
            <v>360.8</v>
          </cell>
          <cell r="AJ827">
            <v>369.05399999999997</v>
          </cell>
          <cell r="AS827">
            <v>405</v>
          </cell>
          <cell r="BK827">
            <v>181.8</v>
          </cell>
          <cell r="BT827">
            <v>786.6</v>
          </cell>
          <cell r="CC827">
            <v>490.8</v>
          </cell>
          <cell r="CL827">
            <v>495.2</v>
          </cell>
          <cell r="CU827">
            <v>495.2</v>
          </cell>
          <cell r="DD827">
            <v>495.2</v>
          </cell>
          <cell r="DM827">
            <v>495.2</v>
          </cell>
          <cell r="DV827">
            <v>495.2</v>
          </cell>
          <cell r="EE827">
            <v>547.5</v>
          </cell>
          <cell r="EN827">
            <v>550.6</v>
          </cell>
        </row>
        <row r="828">
          <cell r="A828">
            <v>188</v>
          </cell>
          <cell r="B828" t="str">
            <v>IPRM</v>
          </cell>
          <cell r="C828" t="str">
            <v>NM</v>
          </cell>
          <cell r="D828" t="str">
            <v>ALCOHOL-L/E-2(C12C18)</v>
          </cell>
          <cell r="AA828">
            <v>143.4</v>
          </cell>
          <cell r="AS828">
            <v>144.1</v>
          </cell>
          <cell r="BT828">
            <v>199</v>
          </cell>
          <cell r="CC828">
            <v>199</v>
          </cell>
          <cell r="CL828">
            <v>201</v>
          </cell>
          <cell r="CU828">
            <v>201</v>
          </cell>
          <cell r="DD828">
            <v>201</v>
          </cell>
          <cell r="DM828">
            <v>201</v>
          </cell>
          <cell r="DV828">
            <v>201</v>
          </cell>
          <cell r="EE828">
            <v>201</v>
          </cell>
          <cell r="EN828">
            <v>201</v>
          </cell>
        </row>
        <row r="829">
          <cell r="A829">
            <v>189</v>
          </cell>
          <cell r="B829" t="str">
            <v>IPRM</v>
          </cell>
          <cell r="C829" t="str">
            <v>NM</v>
          </cell>
          <cell r="D829" t="str">
            <v>ALCOHOL-C16RICH</v>
          </cell>
        </row>
        <row r="830">
          <cell r="A830">
            <v>190</v>
          </cell>
          <cell r="B830" t="str">
            <v>IPRM</v>
          </cell>
          <cell r="C830" t="str">
            <v>NM</v>
          </cell>
          <cell r="D830" t="str">
            <v>ALCOHOL-CRUDE / L/E'S</v>
          </cell>
          <cell r="I830">
            <v>116.8</v>
          </cell>
          <cell r="R830">
            <v>2465.36</v>
          </cell>
          <cell r="AA830">
            <v>2318.84</v>
          </cell>
          <cell r="AS830">
            <v>2315.67</v>
          </cell>
          <cell r="BT830">
            <v>42.9</v>
          </cell>
        </row>
        <row r="831">
          <cell r="A831">
            <v>191</v>
          </cell>
          <cell r="B831" t="str">
            <v>IPRM</v>
          </cell>
          <cell r="C831" t="str">
            <v>NM</v>
          </cell>
          <cell r="D831" t="str">
            <v>L/E of ALC . 18</v>
          </cell>
          <cell r="AJ831">
            <v>55</v>
          </cell>
          <cell r="BB831">
            <v>55</v>
          </cell>
          <cell r="BK831">
            <v>86.8</v>
          </cell>
        </row>
        <row r="832">
          <cell r="A832">
            <v>192</v>
          </cell>
          <cell r="B832" t="str">
            <v>IPRM</v>
          </cell>
          <cell r="C832" t="str">
            <v>NM</v>
          </cell>
          <cell r="D832" t="str">
            <v>L.E.of C 1822</v>
          </cell>
          <cell r="AJ832">
            <v>350</v>
          </cell>
          <cell r="BK832">
            <v>377</v>
          </cell>
        </row>
        <row r="833">
          <cell r="A833">
            <v>251</v>
          </cell>
          <cell r="B833" t="str">
            <v>IPRM</v>
          </cell>
          <cell r="C833" t="str">
            <v>NM</v>
          </cell>
          <cell r="D833" t="str">
            <v>ALCOHOL-C12/C14 (seed alc)</v>
          </cell>
        </row>
        <row r="834">
          <cell r="A834">
            <v>252</v>
          </cell>
          <cell r="B834" t="str">
            <v>IPRM</v>
          </cell>
          <cell r="C834" t="str">
            <v>NM</v>
          </cell>
          <cell r="D834" t="str">
            <v>ALCOHOL-C16 98 (seed alc)</v>
          </cell>
        </row>
        <row r="835">
          <cell r="A835">
            <v>253</v>
          </cell>
          <cell r="B835" t="str">
            <v>IPRM</v>
          </cell>
          <cell r="C835" t="str">
            <v>NM</v>
          </cell>
          <cell r="D835" t="str">
            <v>ALCOHOL-C18 98 (seed alc)</v>
          </cell>
        </row>
        <row r="836">
          <cell r="A836">
            <v>254</v>
          </cell>
          <cell r="B836" t="str">
            <v>IPRM</v>
          </cell>
          <cell r="C836" t="str">
            <v>NM</v>
          </cell>
          <cell r="D836" t="str">
            <v>ALCOHOL-C16/C18 TA (seed alc)</v>
          </cell>
        </row>
        <row r="837">
          <cell r="A837">
            <v>193</v>
          </cell>
          <cell r="B837" t="str">
            <v>IPRM</v>
          </cell>
          <cell r="C837" t="str">
            <v>NM</v>
          </cell>
          <cell r="D837" t="str">
            <v>ALCOHOL-C16/C18 (seed alc)</v>
          </cell>
          <cell r="I837">
            <v>407.4</v>
          </cell>
          <cell r="R837">
            <v>468.1</v>
          </cell>
          <cell r="AA837">
            <v>369.1</v>
          </cell>
          <cell r="AS837">
            <v>369.1</v>
          </cell>
          <cell r="BT837">
            <v>253.8</v>
          </cell>
          <cell r="CC837">
            <v>395.8</v>
          </cell>
          <cell r="CL837">
            <v>395.8</v>
          </cell>
          <cell r="CU837">
            <v>395.8</v>
          </cell>
          <cell r="DD837">
            <v>395.8</v>
          </cell>
          <cell r="DM837">
            <v>395.8</v>
          </cell>
          <cell r="DV837">
            <v>395.8</v>
          </cell>
          <cell r="EE837">
            <v>395.8</v>
          </cell>
          <cell r="EN837">
            <v>395.8</v>
          </cell>
        </row>
        <row r="838">
          <cell r="A838">
            <v>194</v>
          </cell>
          <cell r="B838" t="str">
            <v>IPRM</v>
          </cell>
          <cell r="C838" t="str">
            <v>NM</v>
          </cell>
          <cell r="D838" t="str">
            <v>ALCOHOL-C18/C22 (seed alc)</v>
          </cell>
          <cell r="I838">
            <v>205.7</v>
          </cell>
          <cell r="R838">
            <v>205.4</v>
          </cell>
          <cell r="AA838">
            <v>49.5</v>
          </cell>
          <cell r="AJ838">
            <v>43.7</v>
          </cell>
          <cell r="AS838">
            <v>93.2</v>
          </cell>
          <cell r="BT838">
            <v>49.5</v>
          </cell>
          <cell r="CC838">
            <v>49.9</v>
          </cell>
          <cell r="CL838">
            <v>49.9</v>
          </cell>
          <cell r="CU838">
            <v>49.9</v>
          </cell>
          <cell r="DD838">
            <v>49.9</v>
          </cell>
          <cell r="DM838">
            <v>49.9</v>
          </cell>
          <cell r="DV838">
            <v>49.9</v>
          </cell>
          <cell r="EE838">
            <v>49.9</v>
          </cell>
          <cell r="EN838">
            <v>49.9</v>
          </cell>
        </row>
        <row r="839">
          <cell r="A839">
            <v>255</v>
          </cell>
          <cell r="B839" t="str">
            <v>IPRM</v>
          </cell>
          <cell r="C839" t="str">
            <v>NM</v>
          </cell>
          <cell r="D839" t="str">
            <v>ALCOHOL-C22 70 (seed alc)</v>
          </cell>
        </row>
        <row r="840">
          <cell r="A840">
            <v>195</v>
          </cell>
          <cell r="B840" t="str">
            <v>IPRM</v>
          </cell>
          <cell r="C840" t="str">
            <v>NM</v>
          </cell>
          <cell r="D840" t="str">
            <v>Int. Alc.20-22</v>
          </cell>
          <cell r="AJ840">
            <v>49.5</v>
          </cell>
          <cell r="BB840">
            <v>426.2</v>
          </cell>
          <cell r="BK840">
            <v>49.5</v>
          </cell>
        </row>
        <row r="841">
          <cell r="A841">
            <v>196</v>
          </cell>
          <cell r="B841" t="str">
            <v>IPRM</v>
          </cell>
          <cell r="C841" t="str">
            <v>NM</v>
          </cell>
          <cell r="D841" t="str">
            <v>ALCOHOL-RESIDUE</v>
          </cell>
          <cell r="I841">
            <v>63.6</v>
          </cell>
          <cell r="R841">
            <v>63.6</v>
          </cell>
          <cell r="AA841">
            <v>63.6</v>
          </cell>
          <cell r="AJ841">
            <v>80.629714285714286</v>
          </cell>
          <cell r="AS841">
            <v>77.5</v>
          </cell>
          <cell r="BB841">
            <v>50.4</v>
          </cell>
          <cell r="BK841">
            <v>48.455357142857146</v>
          </cell>
          <cell r="BT841">
            <v>51.9</v>
          </cell>
          <cell r="CC841">
            <v>55</v>
          </cell>
          <cell r="CL841">
            <v>71.3</v>
          </cell>
          <cell r="CU841">
            <v>81.8</v>
          </cell>
          <cell r="DD841">
            <v>75.2</v>
          </cell>
          <cell r="DM841">
            <v>78.3</v>
          </cell>
          <cell r="DV841">
            <v>89.2</v>
          </cell>
          <cell r="EE841">
            <v>92.3</v>
          </cell>
          <cell r="EN841">
            <v>100.8</v>
          </cell>
          <cell r="ER841">
            <v>5.39</v>
          </cell>
        </row>
        <row r="842">
          <cell r="A842">
            <v>197</v>
          </cell>
          <cell r="B842" t="str">
            <v>IPRM</v>
          </cell>
          <cell r="C842" t="str">
            <v>NM</v>
          </cell>
          <cell r="D842" t="str">
            <v>ALCOHOL-HYDROCARBON</v>
          </cell>
        </row>
        <row r="843">
          <cell r="A843">
            <v>198</v>
          </cell>
          <cell r="B843" t="str">
            <v>IPRM</v>
          </cell>
          <cell r="C843" t="str">
            <v>NM</v>
          </cell>
          <cell r="D843" t="str">
            <v>Int. Alc. V1218</v>
          </cell>
          <cell r="R843">
            <v>125.8</v>
          </cell>
        </row>
        <row r="844">
          <cell r="A844">
            <v>199</v>
          </cell>
          <cell r="B844" t="str">
            <v>IPRM</v>
          </cell>
          <cell r="C844" t="str">
            <v>NM</v>
          </cell>
          <cell r="D844" t="str">
            <v>Int. Alc. V1216</v>
          </cell>
          <cell r="BB844">
            <v>149.5</v>
          </cell>
          <cell r="BK844">
            <v>198.76442857142857</v>
          </cell>
        </row>
        <row r="845">
          <cell r="A845">
            <v>200</v>
          </cell>
          <cell r="B845" t="str">
            <v>IPRM</v>
          </cell>
          <cell r="C845" t="str">
            <v>NM</v>
          </cell>
          <cell r="D845" t="str">
            <v>Int. Alc. V1618</v>
          </cell>
          <cell r="AJ845">
            <v>890.81594999999982</v>
          </cell>
          <cell r="BB845">
            <v>443.1</v>
          </cell>
          <cell r="BK845">
            <v>253.82784000000001</v>
          </cell>
        </row>
        <row r="846">
          <cell r="A846">
            <v>259</v>
          </cell>
          <cell r="B846" t="str">
            <v>IPRM</v>
          </cell>
          <cell r="C846" t="str">
            <v>NM</v>
          </cell>
          <cell r="D846" t="str">
            <v>Int. Alc. V1822</v>
          </cell>
        </row>
        <row r="847">
          <cell r="A847">
            <v>201</v>
          </cell>
          <cell r="B847" t="str">
            <v>IPRM</v>
          </cell>
          <cell r="C847" t="str">
            <v>NM</v>
          </cell>
          <cell r="D847" t="str">
            <v>Wax ester 1214/1618</v>
          </cell>
          <cell r="I847">
            <v>105</v>
          </cell>
          <cell r="R847">
            <v>105</v>
          </cell>
          <cell r="AA847">
            <v>105</v>
          </cell>
          <cell r="AJ847">
            <v>105</v>
          </cell>
          <cell r="AS847">
            <v>105</v>
          </cell>
          <cell r="BB847">
            <v>105</v>
          </cell>
          <cell r="BK847">
            <v>105</v>
          </cell>
          <cell r="BT847">
            <v>105</v>
          </cell>
          <cell r="CC847">
            <v>105</v>
          </cell>
          <cell r="CL847">
            <v>73.2</v>
          </cell>
          <cell r="CU847">
            <v>94.8</v>
          </cell>
          <cell r="DD847">
            <v>94.8</v>
          </cell>
          <cell r="DM847">
            <v>94.8</v>
          </cell>
          <cell r="DV847">
            <v>94.8</v>
          </cell>
          <cell r="EE847">
            <v>94.8</v>
          </cell>
          <cell r="EN847">
            <v>23.8</v>
          </cell>
        </row>
        <row r="848">
          <cell r="A848">
            <v>202</v>
          </cell>
          <cell r="B848" t="str">
            <v>IPRM</v>
          </cell>
          <cell r="C848" t="str">
            <v>NM</v>
          </cell>
          <cell r="D848" t="str">
            <v>Wax ester 1216/1218</v>
          </cell>
        </row>
        <row r="849">
          <cell r="A849">
            <v>203</v>
          </cell>
          <cell r="B849" t="str">
            <v>IPRM</v>
          </cell>
          <cell r="C849" t="str">
            <v>SM</v>
          </cell>
          <cell r="D849" t="str">
            <v>ALCOHOL Residue 1618</v>
          </cell>
        </row>
        <row r="850">
          <cell r="A850">
            <v>204</v>
          </cell>
          <cell r="B850" t="str">
            <v>IPRM</v>
          </cell>
          <cell r="C850" t="str">
            <v>SM</v>
          </cell>
          <cell r="D850" t="str">
            <v>ALCOHOL Residue 1822</v>
          </cell>
        </row>
        <row r="851">
          <cell r="A851">
            <v>205</v>
          </cell>
          <cell r="B851" t="str">
            <v>IPRM</v>
          </cell>
          <cell r="C851" t="str">
            <v>SM</v>
          </cell>
          <cell r="D851" t="str">
            <v>ALCOHOL Residue 2022</v>
          </cell>
          <cell r="AJ851">
            <v>51.026100000000007</v>
          </cell>
          <cell r="AS851">
            <v>52</v>
          </cell>
          <cell r="BB851">
            <v>50.8</v>
          </cell>
          <cell r="BK851">
            <v>50.228200000000001</v>
          </cell>
          <cell r="BT851">
            <v>50</v>
          </cell>
          <cell r="CC851">
            <v>50</v>
          </cell>
          <cell r="CL851">
            <v>50</v>
          </cell>
          <cell r="CU851">
            <v>50</v>
          </cell>
          <cell r="DD851">
            <v>50</v>
          </cell>
          <cell r="DM851">
            <v>50</v>
          </cell>
          <cell r="DV851">
            <v>50</v>
          </cell>
          <cell r="EE851">
            <v>51</v>
          </cell>
          <cell r="EN851">
            <v>51</v>
          </cell>
        </row>
        <row r="852">
          <cell r="A852">
            <v>206</v>
          </cell>
          <cell r="B852" t="str">
            <v>IPRM</v>
          </cell>
          <cell r="C852" t="str">
            <v>SM</v>
          </cell>
          <cell r="D852" t="str">
            <v>ALCOHOL B/P&gt;C18</v>
          </cell>
          <cell r="I852">
            <v>193.8</v>
          </cell>
          <cell r="R852">
            <v>193.8</v>
          </cell>
          <cell r="AA852">
            <v>193.8</v>
          </cell>
          <cell r="AJ852">
            <v>193.76112857142854</v>
          </cell>
          <cell r="AS852">
            <v>193.8</v>
          </cell>
          <cell r="BB852">
            <v>193.8</v>
          </cell>
          <cell r="BK852">
            <v>193.76112857142854</v>
          </cell>
          <cell r="BT852">
            <v>512.79999999999995</v>
          </cell>
          <cell r="CC852">
            <v>526.70000000000005</v>
          </cell>
          <cell r="CL852">
            <v>511.8</v>
          </cell>
          <cell r="CU852">
            <v>511.8</v>
          </cell>
          <cell r="DD852">
            <v>511.8</v>
          </cell>
          <cell r="DM852">
            <v>511.8</v>
          </cell>
          <cell r="DV852">
            <v>514.20000000000005</v>
          </cell>
          <cell r="EE852">
            <v>569</v>
          </cell>
          <cell r="EN852">
            <v>607</v>
          </cell>
        </row>
        <row r="853">
          <cell r="A853">
            <v>207</v>
          </cell>
          <cell r="B853" t="str">
            <v>IPRM</v>
          </cell>
          <cell r="C853" t="str">
            <v>SM</v>
          </cell>
          <cell r="D853" t="str">
            <v>Crude Alc. 1216</v>
          </cell>
          <cell r="AJ853">
            <v>871.9</v>
          </cell>
          <cell r="BB853">
            <v>2314.29</v>
          </cell>
          <cell r="BK853">
            <v>575.62400000000002</v>
          </cell>
        </row>
        <row r="854">
          <cell r="F854">
            <v>0</v>
          </cell>
          <cell r="G854">
            <v>0</v>
          </cell>
          <cell r="H854">
            <v>0</v>
          </cell>
          <cell r="I854">
            <v>3557.6600000000003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3707.0600000000004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3604.04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3767.9868928571427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3774.27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3788.09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2130.0609542857146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2056.5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1887.4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1852.2</v>
          </cell>
          <cell r="CM854">
            <v>0</v>
          </cell>
          <cell r="CN854">
            <v>0</v>
          </cell>
          <cell r="CO854">
            <v>0</v>
          </cell>
          <cell r="CP854">
            <v>0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1887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0</v>
          </cell>
          <cell r="DA854">
            <v>0</v>
          </cell>
          <cell r="DB854">
            <v>0</v>
          </cell>
          <cell r="DC854">
            <v>0</v>
          </cell>
          <cell r="DD854">
            <v>1884.3</v>
          </cell>
          <cell r="DE854">
            <v>0</v>
          </cell>
          <cell r="DF854">
            <v>0</v>
          </cell>
          <cell r="DG854">
            <v>0</v>
          </cell>
          <cell r="DH854">
            <v>0</v>
          </cell>
          <cell r="DI854">
            <v>0</v>
          </cell>
          <cell r="DJ854">
            <v>0</v>
          </cell>
          <cell r="DK854">
            <v>0</v>
          </cell>
          <cell r="DL854">
            <v>0</v>
          </cell>
          <cell r="DM854">
            <v>1890</v>
          </cell>
          <cell r="DN854">
            <v>0</v>
          </cell>
          <cell r="DO854">
            <v>0</v>
          </cell>
          <cell r="DP854">
            <v>0</v>
          </cell>
          <cell r="DQ854">
            <v>0</v>
          </cell>
          <cell r="DR854">
            <v>0</v>
          </cell>
          <cell r="DS854">
            <v>0</v>
          </cell>
          <cell r="DT854">
            <v>0</v>
          </cell>
          <cell r="DU854">
            <v>0</v>
          </cell>
          <cell r="DV854">
            <v>1891.9</v>
          </cell>
          <cell r="DW854">
            <v>0</v>
          </cell>
          <cell r="DX854">
            <v>0</v>
          </cell>
          <cell r="DY854">
            <v>0</v>
          </cell>
          <cell r="DZ854">
            <v>0</v>
          </cell>
          <cell r="EA854">
            <v>0</v>
          </cell>
          <cell r="EB854">
            <v>0</v>
          </cell>
          <cell r="EC854">
            <v>0</v>
          </cell>
          <cell r="ED854">
            <v>0</v>
          </cell>
          <cell r="EE854">
            <v>2003.7</v>
          </cell>
          <cell r="EF854">
            <v>0</v>
          </cell>
          <cell r="EG854">
            <v>0</v>
          </cell>
          <cell r="EH854">
            <v>0</v>
          </cell>
          <cell r="EI854">
            <v>0</v>
          </cell>
          <cell r="EJ854">
            <v>0</v>
          </cell>
          <cell r="EK854">
            <v>0</v>
          </cell>
          <cell r="EL854">
            <v>0</v>
          </cell>
          <cell r="EM854">
            <v>0</v>
          </cell>
          <cell r="EN854">
            <v>1982.3</v>
          </cell>
          <cell r="EO854">
            <v>0</v>
          </cell>
          <cell r="EP854">
            <v>0</v>
          </cell>
          <cell r="EQ854">
            <v>0</v>
          </cell>
          <cell r="ER854">
            <v>5.39</v>
          </cell>
          <cell r="ES854">
            <v>0</v>
          </cell>
        </row>
        <row r="855">
          <cell r="A855" t="str">
            <v>SOAP NOODLES</v>
          </cell>
        </row>
        <row r="856">
          <cell r="A856">
            <v>208</v>
          </cell>
          <cell r="B856" t="str">
            <v>FG</v>
          </cell>
          <cell r="C856" t="str">
            <v>FM</v>
          </cell>
          <cell r="D856" t="str">
            <v>DETTOL</v>
          </cell>
          <cell r="E856" t="str">
            <v>AL</v>
          </cell>
          <cell r="I856">
            <v>209.6</v>
          </cell>
          <cell r="J856">
            <v>1.7250000000000001</v>
          </cell>
          <cell r="N856">
            <v>52.15</v>
          </cell>
          <cell r="R856">
            <v>161.6</v>
          </cell>
          <cell r="S856">
            <v>1.7250000000000001</v>
          </cell>
          <cell r="W856">
            <v>52.15</v>
          </cell>
          <cell r="AA856">
            <v>146.6</v>
          </cell>
          <cell r="AB856">
            <v>1.7250000000000001</v>
          </cell>
          <cell r="AF856">
            <v>52.15</v>
          </cell>
          <cell r="AJ856">
            <v>59</v>
          </cell>
          <cell r="AK856">
            <v>1.7250000000000001</v>
          </cell>
          <cell r="AO856">
            <v>97.75</v>
          </cell>
          <cell r="AS856">
            <v>114</v>
          </cell>
          <cell r="AT856">
            <v>1.7250000000000001</v>
          </cell>
          <cell r="AX856">
            <v>97.75</v>
          </cell>
          <cell r="BB856">
            <v>83</v>
          </cell>
          <cell r="BC856">
            <v>1.7250000000000001</v>
          </cell>
          <cell r="BG856">
            <v>97.75</v>
          </cell>
          <cell r="BK856">
            <v>19</v>
          </cell>
          <cell r="BL856">
            <v>1.7250000000000001</v>
          </cell>
          <cell r="BO856">
            <v>52.4</v>
          </cell>
          <cell r="BP856">
            <v>145.6</v>
          </cell>
          <cell r="BT856">
            <v>46</v>
          </cell>
          <cell r="BU856">
            <v>1.7250000000000001</v>
          </cell>
          <cell r="BY856">
            <v>55.38</v>
          </cell>
          <cell r="CC856">
            <v>59</v>
          </cell>
          <cell r="CD856">
            <v>1.7250000000000001</v>
          </cell>
          <cell r="CH856">
            <v>35.880000000000003</v>
          </cell>
          <cell r="CL856">
            <v>2.6</v>
          </cell>
          <cell r="CM856">
            <v>1.7250000000000001</v>
          </cell>
          <cell r="CP856">
            <v>16.8</v>
          </cell>
          <cell r="CQ856">
            <v>131.88</v>
          </cell>
          <cell r="CU856">
            <v>34.6</v>
          </cell>
          <cell r="CV856">
            <v>1.7250000000000001</v>
          </cell>
          <cell r="CZ856">
            <v>116.05</v>
          </cell>
          <cell r="DD856">
            <v>142.6</v>
          </cell>
          <cell r="DI856">
            <v>103.3</v>
          </cell>
          <cell r="DM856">
            <v>129.6</v>
          </cell>
          <cell r="DN856">
            <v>1.7250000000000001</v>
          </cell>
          <cell r="DR856">
            <v>103.3</v>
          </cell>
          <cell r="DV856">
            <v>42.75</v>
          </cell>
          <cell r="DW856">
            <v>1.7250000000000001</v>
          </cell>
          <cell r="EA856">
            <v>103.3</v>
          </cell>
          <cell r="EE856">
            <v>42.75</v>
          </cell>
          <cell r="EF856">
            <v>1.7250000000000001</v>
          </cell>
          <cell r="EJ856">
            <v>103.3</v>
          </cell>
          <cell r="EN856">
            <v>69.25</v>
          </cell>
          <cell r="EO856">
            <v>1.7250000000000001</v>
          </cell>
          <cell r="ES856">
            <v>103.3</v>
          </cell>
        </row>
        <row r="857">
          <cell r="A857">
            <v>209</v>
          </cell>
          <cell r="B857" t="str">
            <v>FG</v>
          </cell>
          <cell r="C857" t="str">
            <v>FM</v>
          </cell>
          <cell r="D857" t="str">
            <v>DETTOL SKINCARE</v>
          </cell>
          <cell r="I857">
            <v>120.5</v>
          </cell>
          <cell r="N857">
            <v>7.5</v>
          </cell>
          <cell r="R857">
            <v>120.5</v>
          </cell>
          <cell r="W857">
            <v>7.5</v>
          </cell>
          <cell r="AA857">
            <v>120.5</v>
          </cell>
          <cell r="AF857">
            <v>7.5</v>
          </cell>
          <cell r="AJ857">
            <v>245.5</v>
          </cell>
          <cell r="AO857">
            <v>7.5</v>
          </cell>
          <cell r="AS857">
            <v>135.5</v>
          </cell>
          <cell r="AX857">
            <v>7.5</v>
          </cell>
          <cell r="BB857">
            <v>205.5</v>
          </cell>
          <cell r="BG857">
            <v>7.5</v>
          </cell>
          <cell r="BK857">
            <v>255.5</v>
          </cell>
          <cell r="BP857">
            <v>7.5</v>
          </cell>
          <cell r="BT857">
            <v>267.5</v>
          </cell>
          <cell r="CC857">
            <v>267.5</v>
          </cell>
          <cell r="CH857">
            <v>7.5</v>
          </cell>
          <cell r="CL857">
            <v>252</v>
          </cell>
          <cell r="CQ857">
            <v>7.5</v>
          </cell>
          <cell r="CU857">
            <v>232</v>
          </cell>
          <cell r="CZ857">
            <v>7.5</v>
          </cell>
          <cell r="DD857">
            <v>232</v>
          </cell>
          <cell r="DI857">
            <v>7.5</v>
          </cell>
          <cell r="DM857">
            <v>164.2</v>
          </cell>
          <cell r="DR857">
            <v>7.5</v>
          </cell>
          <cell r="DV857">
            <v>164.2</v>
          </cell>
          <cell r="EA857">
            <v>7.5</v>
          </cell>
          <cell r="EE857">
            <v>144.19999999999999</v>
          </cell>
          <cell r="EJ857">
            <v>7.5</v>
          </cell>
          <cell r="EN857">
            <v>119.8</v>
          </cell>
          <cell r="ES857">
            <v>7.5</v>
          </cell>
        </row>
        <row r="858">
          <cell r="A858">
            <v>210</v>
          </cell>
          <cell r="B858" t="str">
            <v>FG</v>
          </cell>
          <cell r="C858" t="str">
            <v>FM</v>
          </cell>
          <cell r="D858" t="str">
            <v>JBMS 40:60</v>
          </cell>
          <cell r="E858" t="str">
            <v>W</v>
          </cell>
          <cell r="I858">
            <v>91.4</v>
          </cell>
          <cell r="J858">
            <v>4</v>
          </cell>
          <cell r="M858">
            <v>300.8</v>
          </cell>
          <cell r="N858">
            <v>106.5</v>
          </cell>
          <cell r="R858">
            <v>13.4</v>
          </cell>
          <cell r="S858">
            <v>4</v>
          </cell>
          <cell r="V858">
            <v>264.39999999999998</v>
          </cell>
          <cell r="W858">
            <v>165.3</v>
          </cell>
          <cell r="AA858">
            <v>0</v>
          </cell>
          <cell r="AB858">
            <v>4</v>
          </cell>
          <cell r="AE858">
            <v>66</v>
          </cell>
          <cell r="AF858">
            <v>271.7</v>
          </cell>
          <cell r="AJ858">
            <v>15.8</v>
          </cell>
          <cell r="AK858">
            <v>50.53</v>
          </cell>
          <cell r="AN858">
            <v>457.6</v>
          </cell>
          <cell r="AO858">
            <v>107.3</v>
          </cell>
          <cell r="AS858">
            <v>0</v>
          </cell>
          <cell r="AT858">
            <v>14.53</v>
          </cell>
          <cell r="AX858">
            <v>345.7</v>
          </cell>
          <cell r="BB858">
            <v>0</v>
          </cell>
          <cell r="BC858">
            <v>14.53</v>
          </cell>
          <cell r="BG858">
            <v>188.9</v>
          </cell>
          <cell r="BK858">
            <v>40</v>
          </cell>
          <cell r="BL858">
            <v>14.53</v>
          </cell>
          <cell r="BO858">
            <v>314</v>
          </cell>
          <cell r="BP858">
            <v>21.7</v>
          </cell>
          <cell r="BT858">
            <v>171.6</v>
          </cell>
          <cell r="BU858">
            <v>14.53</v>
          </cell>
          <cell r="BX858">
            <v>66.400000000000006</v>
          </cell>
          <cell r="BY858">
            <v>279.3</v>
          </cell>
          <cell r="CC858">
            <v>58.4</v>
          </cell>
          <cell r="CD858">
            <v>30.53</v>
          </cell>
          <cell r="CG858">
            <v>114</v>
          </cell>
          <cell r="CH858">
            <v>228.1</v>
          </cell>
          <cell r="CL858">
            <v>0</v>
          </cell>
          <cell r="CM858">
            <v>34.93</v>
          </cell>
          <cell r="CP858">
            <v>144</v>
          </cell>
          <cell r="CQ858">
            <v>192.9</v>
          </cell>
          <cell r="CU858">
            <v>17.600000000000001</v>
          </cell>
          <cell r="CV858">
            <v>8.93</v>
          </cell>
          <cell r="CY858">
            <v>154</v>
          </cell>
          <cell r="CZ858">
            <v>262.89999999999998</v>
          </cell>
          <cell r="DD858">
            <v>14.8</v>
          </cell>
          <cell r="DH858">
            <v>18.8</v>
          </cell>
          <cell r="DI858">
            <v>307.3</v>
          </cell>
          <cell r="DM858">
            <v>5.2</v>
          </cell>
          <cell r="DQ858">
            <v>218.4</v>
          </cell>
          <cell r="DR858">
            <v>122.9</v>
          </cell>
          <cell r="DV858">
            <v>0</v>
          </cell>
          <cell r="DZ858">
            <v>58</v>
          </cell>
          <cell r="EA858">
            <v>269.3</v>
          </cell>
          <cell r="EE858">
            <v>207.4</v>
          </cell>
          <cell r="EI858">
            <v>292</v>
          </cell>
          <cell r="EJ858">
            <v>172.1</v>
          </cell>
          <cell r="EN858">
            <v>6</v>
          </cell>
          <cell r="ER858">
            <v>448</v>
          </cell>
          <cell r="ES858">
            <v>396.1</v>
          </cell>
        </row>
        <row r="859">
          <cell r="A859">
            <v>211</v>
          </cell>
          <cell r="B859" t="str">
            <v>FG</v>
          </cell>
          <cell r="C859" t="str">
            <v>FM</v>
          </cell>
          <cell r="D859" t="str">
            <v>JNC 99</v>
          </cell>
          <cell r="E859">
            <v>99</v>
          </cell>
          <cell r="I859">
            <v>0</v>
          </cell>
          <cell r="J859">
            <v>13.711999999999993</v>
          </cell>
          <cell r="M859">
            <v>26</v>
          </cell>
          <cell r="N859">
            <v>160.05000000000001</v>
          </cell>
          <cell r="R859">
            <v>0</v>
          </cell>
          <cell r="S859">
            <v>13.711999999999993</v>
          </cell>
          <cell r="V859">
            <v>26</v>
          </cell>
          <cell r="W859">
            <v>160.05000000000001</v>
          </cell>
          <cell r="AA859">
            <v>0</v>
          </cell>
          <cell r="AB859">
            <v>13.711999999999993</v>
          </cell>
          <cell r="AF859">
            <v>199.85000000000002</v>
          </cell>
          <cell r="AJ859">
            <v>0</v>
          </cell>
          <cell r="AK859">
            <v>13.711999999999993</v>
          </cell>
          <cell r="AO859">
            <v>199.85000000000002</v>
          </cell>
          <cell r="AS859">
            <v>0</v>
          </cell>
          <cell r="AT859">
            <v>13.711999999999993</v>
          </cell>
          <cell r="AX859">
            <v>188.65</v>
          </cell>
          <cell r="BB859">
            <v>72.2</v>
          </cell>
          <cell r="BC859">
            <v>13.711999999999993</v>
          </cell>
          <cell r="BG859">
            <v>136.6</v>
          </cell>
          <cell r="BK859">
            <v>30.6</v>
          </cell>
          <cell r="BL859">
            <v>29.711999999999993</v>
          </cell>
          <cell r="BP859">
            <v>122.2</v>
          </cell>
          <cell r="BT859">
            <v>17</v>
          </cell>
          <cell r="BU859">
            <v>37.711999999999989</v>
          </cell>
          <cell r="BY859">
            <v>122.2</v>
          </cell>
          <cell r="CC859">
            <v>22.4</v>
          </cell>
          <cell r="CD859">
            <v>6.0119999999999854</v>
          </cell>
          <cell r="CG859">
            <v>41.6</v>
          </cell>
          <cell r="CH859">
            <v>122.2</v>
          </cell>
          <cell r="CL859">
            <v>17.600000000000001</v>
          </cell>
          <cell r="CM859">
            <v>6.0119999999999854</v>
          </cell>
          <cell r="CQ859">
            <v>161.80000000000001</v>
          </cell>
          <cell r="CU859">
            <v>17.600000000000001</v>
          </cell>
          <cell r="CV859">
            <v>6.0119999999999854</v>
          </cell>
          <cell r="CY859">
            <v>2.4</v>
          </cell>
          <cell r="CZ859">
            <v>133.4</v>
          </cell>
          <cell r="DD859">
            <v>17.600000000000001</v>
          </cell>
          <cell r="DI859">
            <v>122</v>
          </cell>
          <cell r="DM859">
            <v>42.6</v>
          </cell>
          <cell r="DN859">
            <v>6.0119999999999854</v>
          </cell>
          <cell r="DQ859">
            <v>6.4</v>
          </cell>
          <cell r="DR859">
            <v>138.4</v>
          </cell>
          <cell r="DV859">
            <v>24.4</v>
          </cell>
          <cell r="DW859">
            <v>6.0119999999999854</v>
          </cell>
          <cell r="DZ859">
            <v>80</v>
          </cell>
          <cell r="EA859">
            <v>162</v>
          </cell>
          <cell r="EE859">
            <v>8.4</v>
          </cell>
          <cell r="EF859">
            <v>6.0119999999999854</v>
          </cell>
          <cell r="EJ859">
            <v>183.56</v>
          </cell>
          <cell r="EN859">
            <v>0</v>
          </cell>
          <cell r="EO859">
            <v>6.0119999999999854</v>
          </cell>
          <cell r="ES859">
            <v>167.81</v>
          </cell>
        </row>
        <row r="860">
          <cell r="A860">
            <v>212</v>
          </cell>
          <cell r="B860" t="str">
            <v>FG</v>
          </cell>
          <cell r="C860" t="str">
            <v>FM</v>
          </cell>
          <cell r="D860" t="str">
            <v>JO TF 70%</v>
          </cell>
          <cell r="E860" t="str">
            <v>TF</v>
          </cell>
          <cell r="I860">
            <v>0</v>
          </cell>
          <cell r="J860">
            <v>122.289</v>
          </cell>
          <cell r="M860">
            <v>111.3</v>
          </cell>
          <cell r="N860">
            <v>61.1</v>
          </cell>
          <cell r="R860">
            <v>127</v>
          </cell>
          <cell r="S860">
            <v>111.089</v>
          </cell>
          <cell r="V860">
            <v>159</v>
          </cell>
          <cell r="W860">
            <v>37.1</v>
          </cell>
          <cell r="AA860">
            <v>0</v>
          </cell>
          <cell r="AB860">
            <v>337.589</v>
          </cell>
          <cell r="AE860">
            <v>228.4</v>
          </cell>
          <cell r="AF860">
            <v>33.4</v>
          </cell>
          <cell r="AJ860">
            <v>0</v>
          </cell>
          <cell r="AK860">
            <v>298.03899999999999</v>
          </cell>
          <cell r="AN860">
            <v>113.7</v>
          </cell>
          <cell r="AO860">
            <v>104.02000000000001</v>
          </cell>
          <cell r="AS860">
            <v>0</v>
          </cell>
          <cell r="AT860">
            <v>153.13900000000001</v>
          </cell>
          <cell r="AW860">
            <v>15.9</v>
          </cell>
          <cell r="AX860">
            <v>30.38</v>
          </cell>
          <cell r="BB860">
            <v>6.9999999999999929</v>
          </cell>
          <cell r="BC860">
            <v>206.239</v>
          </cell>
          <cell r="BF860">
            <v>304.5</v>
          </cell>
          <cell r="BG860">
            <v>39.18</v>
          </cell>
          <cell r="BK860">
            <v>6.9999999999999929</v>
          </cell>
          <cell r="BL860">
            <v>537.41399999999999</v>
          </cell>
          <cell r="BO860">
            <v>80.7</v>
          </cell>
          <cell r="BP860">
            <v>342.81</v>
          </cell>
          <cell r="BT860">
            <v>0</v>
          </cell>
          <cell r="BU860">
            <v>334.26399999999995</v>
          </cell>
          <cell r="BY860">
            <v>324.23</v>
          </cell>
          <cell r="CC860">
            <v>0</v>
          </cell>
          <cell r="CD860">
            <v>335.964</v>
          </cell>
          <cell r="CH860">
            <v>229.82999999999998</v>
          </cell>
          <cell r="CL860">
            <v>0</v>
          </cell>
          <cell r="CM860">
            <v>263.51400000000001</v>
          </cell>
          <cell r="CQ860">
            <v>136</v>
          </cell>
          <cell r="CU860">
            <v>137.19999999999999</v>
          </cell>
          <cell r="CV860">
            <v>154.714</v>
          </cell>
          <cell r="CY860">
            <v>162.80000000000001</v>
          </cell>
          <cell r="CZ860">
            <v>109.83</v>
          </cell>
          <cell r="DD860">
            <v>71.2</v>
          </cell>
          <cell r="DH860">
            <v>191.2</v>
          </cell>
          <cell r="DI860">
            <v>134.22999999999999</v>
          </cell>
          <cell r="DM860">
            <v>56</v>
          </cell>
          <cell r="DN860">
            <v>250.38899999999998</v>
          </cell>
          <cell r="DQ860">
            <v>81.2</v>
          </cell>
          <cell r="DR860">
            <v>144.63</v>
          </cell>
          <cell r="DV860">
            <v>0</v>
          </cell>
          <cell r="DW860">
            <v>393.91399999999999</v>
          </cell>
          <cell r="DZ860">
            <v>138.4</v>
          </cell>
          <cell r="EA860">
            <v>160.22999999999999</v>
          </cell>
          <cell r="EE860">
            <v>0</v>
          </cell>
          <cell r="EF860">
            <v>448.66399999999999</v>
          </cell>
          <cell r="EJ860">
            <v>193.82999999999998</v>
          </cell>
          <cell r="EN860">
            <v>0</v>
          </cell>
          <cell r="EO860">
            <v>51.363999999999997</v>
          </cell>
          <cell r="ER860">
            <v>96.6</v>
          </cell>
          <cell r="ES860">
            <v>79.37</v>
          </cell>
        </row>
        <row r="861">
          <cell r="A861">
            <v>213</v>
          </cell>
          <cell r="B861" t="str">
            <v>FG</v>
          </cell>
          <cell r="C861" t="str">
            <v>FM</v>
          </cell>
          <cell r="D861" t="str">
            <v>DR TF 70%</v>
          </cell>
          <cell r="E861" t="str">
            <v>TF D</v>
          </cell>
          <cell r="I861">
            <v>11.6</v>
          </cell>
          <cell r="J861">
            <v>264.7</v>
          </cell>
          <cell r="N861">
            <v>255.8</v>
          </cell>
          <cell r="R861">
            <v>11.6</v>
          </cell>
          <cell r="S861">
            <v>253.9</v>
          </cell>
          <cell r="W861">
            <v>255.8</v>
          </cell>
          <cell r="AA861">
            <v>5.4000000000000057</v>
          </cell>
          <cell r="AE861">
            <v>273.10000000000002</v>
          </cell>
          <cell r="AF861">
            <v>186.6</v>
          </cell>
          <cell r="AJ861">
            <v>1.4000000000000057</v>
          </cell>
          <cell r="AO861">
            <v>351.8</v>
          </cell>
          <cell r="AS861">
            <v>0</v>
          </cell>
          <cell r="AX861">
            <v>272.2</v>
          </cell>
          <cell r="BB861">
            <v>0</v>
          </cell>
          <cell r="BF861">
            <v>98.4</v>
          </cell>
          <cell r="BG861">
            <v>97</v>
          </cell>
          <cell r="BK861">
            <v>1.6</v>
          </cell>
          <cell r="BT861">
            <v>24.4</v>
          </cell>
          <cell r="BX861">
            <v>375.2</v>
          </cell>
          <cell r="BY861">
            <v>98.2</v>
          </cell>
          <cell r="CC861">
            <v>98.8</v>
          </cell>
          <cell r="CG861">
            <v>182.4</v>
          </cell>
          <cell r="CH861">
            <v>263.8</v>
          </cell>
          <cell r="CL861">
            <v>0</v>
          </cell>
          <cell r="CP861">
            <v>17.600000000000001</v>
          </cell>
          <cell r="CQ861">
            <v>340.2</v>
          </cell>
          <cell r="CU861">
            <v>0</v>
          </cell>
          <cell r="CY861">
            <v>28</v>
          </cell>
          <cell r="CZ861">
            <v>233.8</v>
          </cell>
          <cell r="DD861">
            <v>22.6</v>
          </cell>
          <cell r="DH861">
            <v>146.4</v>
          </cell>
          <cell r="DI861">
            <v>96.6</v>
          </cell>
          <cell r="DM861">
            <v>0</v>
          </cell>
          <cell r="DQ861">
            <v>117.6</v>
          </cell>
          <cell r="DR861">
            <v>336.6</v>
          </cell>
          <cell r="DV861">
            <v>84.4</v>
          </cell>
          <cell r="EA861">
            <v>172.6</v>
          </cell>
          <cell r="EE861">
            <v>178.8</v>
          </cell>
          <cell r="EI861">
            <v>322</v>
          </cell>
          <cell r="EJ861">
            <v>100.6</v>
          </cell>
          <cell r="EN861">
            <v>0</v>
          </cell>
          <cell r="ER861">
            <v>196.8</v>
          </cell>
          <cell r="ES861">
            <v>429</v>
          </cell>
        </row>
        <row r="862">
          <cell r="A862">
            <v>214</v>
          </cell>
          <cell r="B862" t="str">
            <v>FG</v>
          </cell>
          <cell r="C862" t="str">
            <v>FM</v>
          </cell>
          <cell r="D862" t="str">
            <v>JO ALMOND W TF 70%</v>
          </cell>
          <cell r="E862" t="str">
            <v>VITAVON W TF</v>
          </cell>
          <cell r="I862">
            <v>144</v>
          </cell>
          <cell r="J862">
            <v>74.8</v>
          </cell>
          <cell r="M862">
            <v>65.2</v>
          </cell>
          <cell r="N862">
            <v>241.6</v>
          </cell>
          <cell r="R862">
            <v>0</v>
          </cell>
          <cell r="S862">
            <v>64.400000000000006</v>
          </cell>
          <cell r="V862">
            <v>306.39999999999998</v>
          </cell>
          <cell r="W862">
            <v>95.4</v>
          </cell>
          <cell r="AA862">
            <v>112.2</v>
          </cell>
          <cell r="AB862">
            <v>152.4</v>
          </cell>
          <cell r="AE862">
            <v>163.19999999999999</v>
          </cell>
          <cell r="AF862">
            <v>238.6</v>
          </cell>
          <cell r="AJ862">
            <v>51.4</v>
          </cell>
          <cell r="AK862">
            <v>153.6</v>
          </cell>
          <cell r="AN862">
            <v>81.599999999999994</v>
          </cell>
          <cell r="AO862">
            <v>152.4</v>
          </cell>
          <cell r="AS862">
            <v>346.6</v>
          </cell>
          <cell r="AT862">
            <v>190.8</v>
          </cell>
          <cell r="AW862">
            <v>279.2</v>
          </cell>
          <cell r="BB862">
            <v>33.4</v>
          </cell>
          <cell r="BC862">
            <v>156.80000000000001</v>
          </cell>
          <cell r="BF862">
            <v>182.8</v>
          </cell>
          <cell r="BG862">
            <v>363.2</v>
          </cell>
          <cell r="BK862">
            <v>5.2</v>
          </cell>
          <cell r="BL862">
            <v>8.4</v>
          </cell>
          <cell r="BO862">
            <v>40.799999999999947</v>
          </cell>
          <cell r="BP862">
            <v>532.79999999999995</v>
          </cell>
          <cell r="BT862">
            <v>0</v>
          </cell>
          <cell r="BY862">
            <v>573.6</v>
          </cell>
          <cell r="CC862">
            <v>0.19999999999999929</v>
          </cell>
          <cell r="CH862">
            <v>573.6</v>
          </cell>
          <cell r="CL862">
            <v>0</v>
          </cell>
          <cell r="CQ862">
            <v>522.23</v>
          </cell>
          <cell r="CU862">
            <v>0</v>
          </cell>
          <cell r="CY862">
            <v>5.2</v>
          </cell>
          <cell r="CZ862">
            <v>507.2</v>
          </cell>
          <cell r="DD862">
            <v>0</v>
          </cell>
          <cell r="DI862">
            <v>512.4</v>
          </cell>
          <cell r="DM862">
            <v>0</v>
          </cell>
          <cell r="DR862">
            <v>322</v>
          </cell>
          <cell r="DV862">
            <v>0</v>
          </cell>
          <cell r="EA862">
            <v>296.8</v>
          </cell>
          <cell r="EE862">
            <v>0</v>
          </cell>
          <cell r="EJ862">
            <v>239.6</v>
          </cell>
          <cell r="EN862">
            <v>0</v>
          </cell>
          <cell r="EO862">
            <v>389.22500000000002</v>
          </cell>
          <cell r="ES862">
            <v>211.2</v>
          </cell>
        </row>
        <row r="863">
          <cell r="A863">
            <v>215</v>
          </cell>
          <cell r="B863" t="str">
            <v>FG</v>
          </cell>
          <cell r="C863" t="str">
            <v>FM</v>
          </cell>
          <cell r="D863" t="str">
            <v>AMWAY</v>
          </cell>
          <cell r="I863">
            <v>27.8</v>
          </cell>
          <cell r="M863">
            <v>99.2</v>
          </cell>
          <cell r="N863">
            <v>40.200000000000003</v>
          </cell>
          <cell r="R863">
            <v>0</v>
          </cell>
          <cell r="V863">
            <v>120</v>
          </cell>
          <cell r="W863">
            <v>40.200000000000003</v>
          </cell>
          <cell r="AA863">
            <v>0</v>
          </cell>
          <cell r="AF863">
            <v>115</v>
          </cell>
          <cell r="AJ863">
            <v>0</v>
          </cell>
          <cell r="AO863">
            <v>92.6</v>
          </cell>
          <cell r="AS863">
            <v>0</v>
          </cell>
          <cell r="AX863">
            <v>47</v>
          </cell>
          <cell r="BB863">
            <v>57</v>
          </cell>
          <cell r="BG863">
            <v>14.2</v>
          </cell>
          <cell r="BK863">
            <v>7.6000000000000085</v>
          </cell>
          <cell r="BO863">
            <v>32.4</v>
          </cell>
          <cell r="BP863">
            <v>52.4</v>
          </cell>
          <cell r="BT863">
            <v>0</v>
          </cell>
          <cell r="BY863">
            <v>75</v>
          </cell>
          <cell r="CC863">
            <v>0</v>
          </cell>
          <cell r="CH863">
            <v>26.2</v>
          </cell>
          <cell r="CL863">
            <v>0.4</v>
          </cell>
          <cell r="CP863">
            <v>71.599999999999994</v>
          </cell>
          <cell r="CQ863">
            <v>41.4</v>
          </cell>
          <cell r="CU863">
            <v>0.4</v>
          </cell>
          <cell r="CY863">
            <v>15.2</v>
          </cell>
          <cell r="CZ863">
            <v>113</v>
          </cell>
          <cell r="DD863">
            <v>0.4</v>
          </cell>
          <cell r="DI863">
            <v>128.19999999999999</v>
          </cell>
          <cell r="DM863">
            <v>0</v>
          </cell>
          <cell r="DR863">
            <v>113.8</v>
          </cell>
          <cell r="DV863">
            <v>0</v>
          </cell>
          <cell r="EA863">
            <v>80.599999999999994</v>
          </cell>
          <cell r="EE863">
            <v>4.2</v>
          </cell>
          <cell r="EI863">
            <v>80.8</v>
          </cell>
          <cell r="EJ863">
            <v>80.599999999999994</v>
          </cell>
          <cell r="EN863">
            <v>0</v>
          </cell>
          <cell r="ES863">
            <v>132.19999999999999</v>
          </cell>
        </row>
        <row r="864">
          <cell r="A864">
            <v>216</v>
          </cell>
          <cell r="B864" t="str">
            <v>FG</v>
          </cell>
          <cell r="C864" t="str">
            <v>FM</v>
          </cell>
          <cell r="D864" t="str">
            <v>FA SAUDI</v>
          </cell>
          <cell r="I864">
            <v>16</v>
          </cell>
          <cell r="J864">
            <v>29.2</v>
          </cell>
          <cell r="R864">
            <v>16</v>
          </cell>
          <cell r="S864">
            <v>29.2</v>
          </cell>
          <cell r="AA864">
            <v>16</v>
          </cell>
          <cell r="AB864">
            <v>29.2</v>
          </cell>
          <cell r="AJ864">
            <v>16</v>
          </cell>
          <cell r="AK864">
            <v>29.2</v>
          </cell>
          <cell r="AS864">
            <v>16</v>
          </cell>
          <cell r="AT864">
            <v>29.2</v>
          </cell>
          <cell r="BB864">
            <v>16</v>
          </cell>
          <cell r="BC864">
            <v>29.2</v>
          </cell>
          <cell r="BK864">
            <v>16</v>
          </cell>
          <cell r="BL864">
            <v>29.2</v>
          </cell>
          <cell r="BT864">
            <v>16</v>
          </cell>
          <cell r="BU864">
            <v>29.2</v>
          </cell>
          <cell r="CC864">
            <v>16</v>
          </cell>
          <cell r="CD864">
            <v>29.2</v>
          </cell>
          <cell r="CL864">
            <v>16</v>
          </cell>
          <cell r="CM864">
            <v>29.2</v>
          </cell>
          <cell r="CU864">
            <v>16</v>
          </cell>
          <cell r="CV864">
            <v>29.2</v>
          </cell>
          <cell r="DD864">
            <v>16</v>
          </cell>
          <cell r="DM864">
            <v>16</v>
          </cell>
          <cell r="DN864">
            <v>29.2</v>
          </cell>
          <cell r="DV864">
            <v>16</v>
          </cell>
          <cell r="DW864">
            <v>29.2</v>
          </cell>
          <cell r="EE864">
            <v>16</v>
          </cell>
          <cell r="EF864">
            <v>29.2</v>
          </cell>
          <cell r="EN864">
            <v>210</v>
          </cell>
          <cell r="EO864">
            <v>29.2</v>
          </cell>
        </row>
        <row r="865">
          <cell r="A865">
            <v>217</v>
          </cell>
          <cell r="B865" t="str">
            <v>FG</v>
          </cell>
          <cell r="C865" t="str">
            <v>FM</v>
          </cell>
          <cell r="D865" t="str">
            <v>LE CHAT</v>
          </cell>
          <cell r="I865">
            <v>5</v>
          </cell>
          <cell r="R865">
            <v>5</v>
          </cell>
          <cell r="AA865">
            <v>5</v>
          </cell>
          <cell r="AJ865">
            <v>5</v>
          </cell>
          <cell r="AS865">
            <v>5</v>
          </cell>
          <cell r="BB865">
            <v>5</v>
          </cell>
          <cell r="BK865">
            <v>15</v>
          </cell>
          <cell r="BT865">
            <v>8</v>
          </cell>
          <cell r="CC865">
            <v>8</v>
          </cell>
          <cell r="CL865">
            <v>8</v>
          </cell>
          <cell r="CU865">
            <v>8</v>
          </cell>
          <cell r="DD865">
            <v>8</v>
          </cell>
          <cell r="DM865">
            <v>8</v>
          </cell>
          <cell r="DV865">
            <v>103</v>
          </cell>
          <cell r="EE865">
            <v>23</v>
          </cell>
          <cell r="EN865">
            <v>23</v>
          </cell>
        </row>
        <row r="866">
          <cell r="A866">
            <v>218</v>
          </cell>
          <cell r="B866" t="str">
            <v>FG</v>
          </cell>
          <cell r="C866" t="str">
            <v>FM</v>
          </cell>
          <cell r="D866" t="str">
            <v>SDM NOODLES</v>
          </cell>
          <cell r="I866">
            <v>10</v>
          </cell>
          <cell r="R866">
            <v>0</v>
          </cell>
          <cell r="AA866">
            <v>0</v>
          </cell>
          <cell r="AJ866">
            <v>0</v>
          </cell>
          <cell r="AS866">
            <v>0</v>
          </cell>
          <cell r="BB866">
            <v>0</v>
          </cell>
          <cell r="BK866">
            <v>26</v>
          </cell>
          <cell r="BT866">
            <v>26</v>
          </cell>
          <cell r="CC866">
            <v>26</v>
          </cell>
          <cell r="CL866">
            <v>26</v>
          </cell>
          <cell r="CU866">
            <v>26</v>
          </cell>
          <cell r="DD866">
            <v>26</v>
          </cell>
          <cell r="DM866">
            <v>26</v>
          </cell>
          <cell r="DV866">
            <v>26</v>
          </cell>
          <cell r="EE866">
            <v>26</v>
          </cell>
          <cell r="EN866">
            <v>26</v>
          </cell>
        </row>
        <row r="867">
          <cell r="A867">
            <v>219</v>
          </cell>
          <cell r="B867" t="str">
            <v>FG</v>
          </cell>
          <cell r="C867" t="str">
            <v>FM</v>
          </cell>
          <cell r="D867" t="str">
            <v>ITC</v>
          </cell>
          <cell r="I867">
            <v>5.6</v>
          </cell>
          <cell r="J867">
            <v>128.05000000000001</v>
          </cell>
          <cell r="R867">
            <v>5.6</v>
          </cell>
          <cell r="S867">
            <v>100.45</v>
          </cell>
          <cell r="AA867">
            <v>5.6</v>
          </cell>
          <cell r="AB867">
            <v>100.45</v>
          </cell>
          <cell r="AJ867">
            <v>5.6</v>
          </cell>
          <cell r="AK867">
            <v>151.25</v>
          </cell>
          <cell r="AS867">
            <v>0</v>
          </cell>
          <cell r="AT867">
            <v>134.05000000000001</v>
          </cell>
          <cell r="BB867">
            <v>0</v>
          </cell>
          <cell r="BC867">
            <v>169.25</v>
          </cell>
          <cell r="BK867">
            <v>0</v>
          </cell>
          <cell r="BL867">
            <v>82.05</v>
          </cell>
          <cell r="BT867">
            <v>78</v>
          </cell>
          <cell r="BU867">
            <v>214.4</v>
          </cell>
          <cell r="CC867">
            <v>0</v>
          </cell>
          <cell r="CD867">
            <v>391.6</v>
          </cell>
          <cell r="CL867">
            <v>0</v>
          </cell>
          <cell r="CM867">
            <v>340</v>
          </cell>
          <cell r="CU867">
            <v>0</v>
          </cell>
          <cell r="CV867">
            <v>296.8</v>
          </cell>
          <cell r="DD867">
            <v>0</v>
          </cell>
          <cell r="DM867">
            <v>0</v>
          </cell>
          <cell r="DN867">
            <v>388.6</v>
          </cell>
          <cell r="DV867">
            <v>0</v>
          </cell>
          <cell r="DW867">
            <v>370.2</v>
          </cell>
          <cell r="EE867">
            <v>0</v>
          </cell>
          <cell r="EF867">
            <v>284.89999999999998</v>
          </cell>
          <cell r="EN867">
            <v>0</v>
          </cell>
          <cell r="EO867">
            <v>169.3</v>
          </cell>
        </row>
        <row r="868">
          <cell r="A868">
            <v>220</v>
          </cell>
          <cell r="B868" t="str">
            <v>FG</v>
          </cell>
          <cell r="C868" t="str">
            <v>FM</v>
          </cell>
          <cell r="D868" t="str">
            <v>GENERAL NOODLES</v>
          </cell>
          <cell r="I868">
            <v>37.799999999999997</v>
          </cell>
          <cell r="R868">
            <v>45.8</v>
          </cell>
          <cell r="AA868">
            <v>28.8</v>
          </cell>
          <cell r="AJ868">
            <v>28.8</v>
          </cell>
          <cell r="AS868">
            <v>32.200000000000003</v>
          </cell>
          <cell r="BB868">
            <v>32.200000000000003</v>
          </cell>
          <cell r="BK868">
            <v>32.200000000000003</v>
          </cell>
          <cell r="BT868">
            <v>52</v>
          </cell>
          <cell r="CC868">
            <v>50</v>
          </cell>
          <cell r="CL868">
            <v>23.2</v>
          </cell>
          <cell r="CU868">
            <v>23.2</v>
          </cell>
          <cell r="DD868">
            <v>23.2</v>
          </cell>
          <cell r="DM868">
            <v>24.6</v>
          </cell>
          <cell r="DV868">
            <v>4.8</v>
          </cell>
          <cell r="EE868">
            <v>4.8</v>
          </cell>
          <cell r="EN868">
            <v>4.8</v>
          </cell>
        </row>
        <row r="869">
          <cell r="A869">
            <v>221</v>
          </cell>
          <cell r="B869" t="str">
            <v>FG</v>
          </cell>
          <cell r="C869" t="str">
            <v>FM</v>
          </cell>
          <cell r="D869" t="str">
            <v>NEAT SCRAP SOAP</v>
          </cell>
          <cell r="R869">
            <v>3</v>
          </cell>
          <cell r="AJ869">
            <v>16</v>
          </cell>
          <cell r="AS869">
            <v>16.5</v>
          </cell>
          <cell r="BB869">
            <v>17</v>
          </cell>
          <cell r="BK869">
            <v>18</v>
          </cell>
          <cell r="BT869">
            <v>20</v>
          </cell>
          <cell r="CC869">
            <v>24</v>
          </cell>
          <cell r="CL869">
            <v>30</v>
          </cell>
          <cell r="CU869">
            <v>30</v>
          </cell>
          <cell r="DD869">
            <v>30</v>
          </cell>
          <cell r="DM869">
            <v>32</v>
          </cell>
          <cell r="DV869">
            <v>32</v>
          </cell>
          <cell r="EE869">
            <v>33</v>
          </cell>
          <cell r="EN869">
            <v>33</v>
          </cell>
        </row>
        <row r="870">
          <cell r="A870">
            <v>222</v>
          </cell>
          <cell r="B870" t="str">
            <v>FG</v>
          </cell>
          <cell r="C870" t="str">
            <v>FM</v>
          </cell>
          <cell r="D870" t="str">
            <v>DAVID OPEC</v>
          </cell>
          <cell r="J870">
            <v>0.8</v>
          </cell>
          <cell r="S870">
            <v>0.8</v>
          </cell>
          <cell r="AB870">
            <v>0.8</v>
          </cell>
          <cell r="AK870">
            <v>0.8</v>
          </cell>
          <cell r="AT870">
            <v>0.8</v>
          </cell>
          <cell r="BC870">
            <v>0.8</v>
          </cell>
          <cell r="BL870">
            <v>0.8</v>
          </cell>
          <cell r="BU870">
            <v>0.8</v>
          </cell>
          <cell r="CD870">
            <v>0.8</v>
          </cell>
          <cell r="CM870">
            <v>0.8</v>
          </cell>
          <cell r="CV870">
            <v>0.8</v>
          </cell>
          <cell r="DN870">
            <v>0.8</v>
          </cell>
          <cell r="DW870">
            <v>0.8</v>
          </cell>
          <cell r="EF870">
            <v>0.8</v>
          </cell>
          <cell r="EO870">
            <v>0.8</v>
          </cell>
        </row>
        <row r="871">
          <cell r="A871">
            <v>223</v>
          </cell>
          <cell r="B871" t="str">
            <v>FG</v>
          </cell>
          <cell r="C871" t="str">
            <v>FM</v>
          </cell>
          <cell r="D871" t="str">
            <v>DABUR VATICA</v>
          </cell>
          <cell r="J871">
            <v>1.756</v>
          </cell>
          <cell r="S871">
            <v>1.756</v>
          </cell>
          <cell r="AB871">
            <v>1.756</v>
          </cell>
          <cell r="AK871">
            <v>1.756</v>
          </cell>
          <cell r="AT871">
            <v>1.756</v>
          </cell>
          <cell r="BC871">
            <v>1.756</v>
          </cell>
          <cell r="BL871">
            <v>1.756</v>
          </cell>
          <cell r="BU871">
            <v>1.756</v>
          </cell>
          <cell r="CD871">
            <v>1.756</v>
          </cell>
          <cell r="CM871">
            <v>1.756</v>
          </cell>
          <cell r="CV871">
            <v>1.756</v>
          </cell>
          <cell r="DN871">
            <v>1.756</v>
          </cell>
          <cell r="DW871">
            <v>1.756</v>
          </cell>
          <cell r="EF871">
            <v>1.756</v>
          </cell>
          <cell r="EO871">
            <v>1.756</v>
          </cell>
        </row>
        <row r="872">
          <cell r="A872">
            <v>224</v>
          </cell>
          <cell r="B872" t="str">
            <v>FG</v>
          </cell>
          <cell r="C872" t="str">
            <v>FM</v>
          </cell>
          <cell r="D872" t="str">
            <v>MARGO</v>
          </cell>
          <cell r="J872">
            <v>3.4009999999999998</v>
          </cell>
          <cell r="S872">
            <v>3.4009999999999998</v>
          </cell>
          <cell r="AB872">
            <v>3.4009999999999998</v>
          </cell>
          <cell r="AK872">
            <v>3.4009999999999998</v>
          </cell>
          <cell r="AT872">
            <v>3.4009999999999998</v>
          </cell>
          <cell r="BC872">
            <v>3.4009999999999998</v>
          </cell>
          <cell r="BL872">
            <v>3.4009999999999998</v>
          </cell>
          <cell r="BU872">
            <v>3.4009999999999998</v>
          </cell>
          <cell r="CD872">
            <v>3.4009999999999998</v>
          </cell>
          <cell r="CM872">
            <v>113.401</v>
          </cell>
          <cell r="CV872">
            <v>150.80099999999999</v>
          </cell>
          <cell r="DN872">
            <v>150.80099999999999</v>
          </cell>
          <cell r="DW872">
            <v>150.80100000000002</v>
          </cell>
          <cell r="EF872">
            <v>150.80100000000002</v>
          </cell>
          <cell r="EO872">
            <v>198.80099999999999</v>
          </cell>
        </row>
        <row r="873">
          <cell r="A873">
            <v>225</v>
          </cell>
          <cell r="B873" t="str">
            <v>FG</v>
          </cell>
          <cell r="C873" t="str">
            <v>FM</v>
          </cell>
          <cell r="D873" t="str">
            <v>OIL BASED NOODLES</v>
          </cell>
        </row>
        <row r="874">
          <cell r="A874">
            <v>226</v>
          </cell>
          <cell r="B874" t="str">
            <v>FG</v>
          </cell>
          <cell r="C874" t="str">
            <v>SM</v>
          </cell>
          <cell r="D874" t="str">
            <v>TRANSLUCENT</v>
          </cell>
          <cell r="J874">
            <v>140.06</v>
          </cell>
          <cell r="M874">
            <v>47.813000000000002</v>
          </cell>
          <cell r="N874">
            <v>224.73</v>
          </cell>
          <cell r="S874">
            <v>140.06</v>
          </cell>
          <cell r="V874">
            <v>15.938000000000002</v>
          </cell>
          <cell r="W874">
            <v>227</v>
          </cell>
          <cell r="AB874">
            <v>55.872999999999998</v>
          </cell>
          <cell r="AE874">
            <v>64.5</v>
          </cell>
          <cell r="AF874">
            <v>152.66999999999999</v>
          </cell>
          <cell r="AK874">
            <v>182.96100000000001</v>
          </cell>
          <cell r="AN874">
            <v>32.174999999999997</v>
          </cell>
          <cell r="AO874">
            <v>155.66</v>
          </cell>
          <cell r="AT874">
            <v>310.31099999999998</v>
          </cell>
          <cell r="AW874">
            <v>113.625</v>
          </cell>
          <cell r="AX874">
            <v>188.37</v>
          </cell>
          <cell r="BC874">
            <v>166.286</v>
          </cell>
          <cell r="BF874">
            <v>80.775000000000006</v>
          </cell>
          <cell r="BG874">
            <v>300.23</v>
          </cell>
          <cell r="BL874">
            <v>117.886</v>
          </cell>
          <cell r="BO874">
            <v>64.575000000000003</v>
          </cell>
          <cell r="BP874">
            <v>222.29</v>
          </cell>
          <cell r="BU874">
            <v>299.93599999999998</v>
          </cell>
          <cell r="BY874">
            <v>198.7</v>
          </cell>
          <cell r="CD874">
            <v>203.37299999999999</v>
          </cell>
          <cell r="CG874">
            <v>48.187999999999988</v>
          </cell>
          <cell r="CH874">
            <v>263.68</v>
          </cell>
          <cell r="CM874">
            <v>183.12299999999999</v>
          </cell>
          <cell r="CP874">
            <v>6.3</v>
          </cell>
          <cell r="CQ874">
            <v>258.98</v>
          </cell>
          <cell r="CV874">
            <v>183.12299999999999</v>
          </cell>
          <cell r="CY874">
            <v>6.3</v>
          </cell>
          <cell r="CZ874">
            <v>228.98</v>
          </cell>
          <cell r="DH874">
            <v>16.2</v>
          </cell>
          <cell r="DI874">
            <v>191.37</v>
          </cell>
          <cell r="DN874">
            <v>156.773</v>
          </cell>
          <cell r="DR874">
            <v>138.82</v>
          </cell>
          <cell r="DW874">
            <v>50.573</v>
          </cell>
          <cell r="DZ874">
            <v>162</v>
          </cell>
          <cell r="EA874">
            <v>169.6</v>
          </cell>
          <cell r="EF874">
            <v>35.423000000000002</v>
          </cell>
          <cell r="EI874">
            <v>13.8</v>
          </cell>
          <cell r="EJ874">
            <v>265.10000000000002</v>
          </cell>
          <cell r="EO874">
            <v>33.173000000000002</v>
          </cell>
          <cell r="ES874">
            <v>221.6</v>
          </cell>
        </row>
        <row r="875">
          <cell r="A875">
            <v>227</v>
          </cell>
          <cell r="B875" t="str">
            <v>FG</v>
          </cell>
          <cell r="C875" t="str">
            <v>SM</v>
          </cell>
          <cell r="D875" t="str">
            <v>TETMOSOL</v>
          </cell>
        </row>
        <row r="876">
          <cell r="A876">
            <v>228</v>
          </cell>
          <cell r="B876" t="str">
            <v>FG</v>
          </cell>
          <cell r="C876" t="str">
            <v>FM</v>
          </cell>
          <cell r="D876" t="str">
            <v xml:space="preserve">J &amp; J </v>
          </cell>
          <cell r="J876">
            <v>0.8</v>
          </cell>
          <cell r="S876">
            <v>0.8</v>
          </cell>
          <cell r="AB876">
            <v>0.8</v>
          </cell>
          <cell r="AK876">
            <v>0.8</v>
          </cell>
          <cell r="AT876">
            <v>0.8</v>
          </cell>
          <cell r="BC876">
            <v>0.8</v>
          </cell>
          <cell r="BL876">
            <v>0.8</v>
          </cell>
          <cell r="BU876">
            <v>0.8</v>
          </cell>
          <cell r="CD876">
            <v>0.8</v>
          </cell>
          <cell r="CM876">
            <v>0.8</v>
          </cell>
          <cell r="CV876">
            <v>0.8</v>
          </cell>
          <cell r="DN876">
            <v>0.8</v>
          </cell>
          <cell r="DW876">
            <v>0.8</v>
          </cell>
          <cell r="EF876">
            <v>0.8</v>
          </cell>
          <cell r="EO876">
            <v>0.8</v>
          </cell>
        </row>
        <row r="877">
          <cell r="A877">
            <v>229</v>
          </cell>
          <cell r="B877" t="str">
            <v>FG</v>
          </cell>
          <cell r="C877" t="str">
            <v>FM</v>
          </cell>
          <cell r="D877" t="str">
            <v>JBS 80:20</v>
          </cell>
          <cell r="EF877">
            <v>380</v>
          </cell>
        </row>
        <row r="878">
          <cell r="A878">
            <v>230</v>
          </cell>
          <cell r="B878" t="str">
            <v>FG</v>
          </cell>
          <cell r="C878" t="str">
            <v>FM</v>
          </cell>
          <cell r="D878" t="str">
            <v>IMPORTED NOODLES</v>
          </cell>
          <cell r="N878">
            <v>80</v>
          </cell>
          <cell r="W878">
            <v>80</v>
          </cell>
          <cell r="AF878">
            <v>80</v>
          </cell>
          <cell r="AO878">
            <v>80</v>
          </cell>
          <cell r="AW878">
            <v>800</v>
          </cell>
          <cell r="AX878">
            <v>80</v>
          </cell>
          <cell r="BF878">
            <v>300</v>
          </cell>
          <cell r="BG878">
            <v>80</v>
          </cell>
          <cell r="BO878">
            <v>800</v>
          </cell>
          <cell r="BP878">
            <v>52</v>
          </cell>
          <cell r="BX878">
            <v>800</v>
          </cell>
          <cell r="BY878">
            <v>52</v>
          </cell>
          <cell r="CG878">
            <v>800</v>
          </cell>
          <cell r="CH878">
            <v>52</v>
          </cell>
          <cell r="CP878">
            <v>500</v>
          </cell>
          <cell r="CQ878">
            <v>52</v>
          </cell>
          <cell r="CY878">
            <v>500</v>
          </cell>
          <cell r="CZ878">
            <v>52</v>
          </cell>
          <cell r="DH878">
            <v>500</v>
          </cell>
          <cell r="DI878">
            <v>52</v>
          </cell>
          <cell r="DN878">
            <v>120.52500000000001</v>
          </cell>
          <cell r="DR878">
            <v>52</v>
          </cell>
          <cell r="DW878">
            <v>254.125</v>
          </cell>
          <cell r="EA878">
            <v>52</v>
          </cell>
          <cell r="EJ878">
            <v>52</v>
          </cell>
          <cell r="EO878">
            <v>332.8</v>
          </cell>
          <cell r="ES878">
            <v>52</v>
          </cell>
        </row>
        <row r="879">
          <cell r="A879">
            <v>231</v>
          </cell>
          <cell r="B879" t="str">
            <v>FG</v>
          </cell>
          <cell r="C879" t="str">
            <v>FM</v>
          </cell>
          <cell r="D879" t="str">
            <v>HAWAI SYNDAATE BASE REGULER</v>
          </cell>
        </row>
        <row r="880">
          <cell r="F880">
            <v>0</v>
          </cell>
          <cell r="G880">
            <v>0</v>
          </cell>
          <cell r="H880">
            <v>0</v>
          </cell>
          <cell r="I880">
            <v>679.3</v>
          </cell>
          <cell r="J880">
            <v>785.29299999999989</v>
          </cell>
          <cell r="K880">
            <v>0</v>
          </cell>
          <cell r="L880">
            <v>0</v>
          </cell>
          <cell r="M880">
            <v>650.31299999999999</v>
          </cell>
          <cell r="N880">
            <v>1229.6300000000001</v>
          </cell>
          <cell r="O880">
            <v>0</v>
          </cell>
          <cell r="P880">
            <v>0</v>
          </cell>
          <cell r="Q880">
            <v>0</v>
          </cell>
          <cell r="R880">
            <v>509.50000000000006</v>
          </cell>
          <cell r="S880">
            <v>725.29299999999989</v>
          </cell>
          <cell r="T880">
            <v>0</v>
          </cell>
          <cell r="U880">
            <v>0</v>
          </cell>
          <cell r="V880">
            <v>891.73799999999994</v>
          </cell>
          <cell r="W880">
            <v>1120.5</v>
          </cell>
          <cell r="X880">
            <v>0</v>
          </cell>
          <cell r="Y880">
            <v>0</v>
          </cell>
          <cell r="Z880">
            <v>0</v>
          </cell>
          <cell r="AA880">
            <v>440.1</v>
          </cell>
          <cell r="AB880">
            <v>701.70600000000002</v>
          </cell>
          <cell r="AC880">
            <v>0</v>
          </cell>
          <cell r="AD880">
            <v>0</v>
          </cell>
          <cell r="AE880">
            <v>795.2</v>
          </cell>
          <cell r="AF880">
            <v>1337.4700000000003</v>
          </cell>
          <cell r="AG880">
            <v>0</v>
          </cell>
          <cell r="AH880">
            <v>0</v>
          </cell>
          <cell r="AI880">
            <v>0</v>
          </cell>
          <cell r="AJ880">
            <v>444.50000000000006</v>
          </cell>
          <cell r="AK880">
            <v>887.77399999999989</v>
          </cell>
          <cell r="AL880">
            <v>0</v>
          </cell>
          <cell r="AM880">
            <v>0</v>
          </cell>
          <cell r="AN880">
            <v>685.07500000000005</v>
          </cell>
          <cell r="AO880">
            <v>1348.88</v>
          </cell>
          <cell r="AP880">
            <v>0</v>
          </cell>
          <cell r="AQ880">
            <v>0</v>
          </cell>
          <cell r="AR880">
            <v>0</v>
          </cell>
          <cell r="AS880">
            <v>665.80000000000007</v>
          </cell>
          <cell r="AT880">
            <v>854.22399999999971</v>
          </cell>
          <cell r="AU880">
            <v>0</v>
          </cell>
          <cell r="AV880">
            <v>0</v>
          </cell>
          <cell r="AW880">
            <v>1208.7249999999999</v>
          </cell>
          <cell r="AX880">
            <v>1257.5500000000002</v>
          </cell>
          <cell r="AY880">
            <v>0</v>
          </cell>
          <cell r="AZ880">
            <v>0</v>
          </cell>
          <cell r="BA880">
            <v>0</v>
          </cell>
          <cell r="BB880">
            <v>528.29999999999995</v>
          </cell>
          <cell r="BC880">
            <v>764.4989999999998</v>
          </cell>
          <cell r="BD880">
            <v>0</v>
          </cell>
          <cell r="BE880">
            <v>0</v>
          </cell>
          <cell r="BF880">
            <v>966.47500000000002</v>
          </cell>
          <cell r="BG880">
            <v>1324.5600000000002</v>
          </cell>
          <cell r="BH880">
            <v>0</v>
          </cell>
          <cell r="BI880">
            <v>0</v>
          </cell>
          <cell r="BJ880">
            <v>0</v>
          </cell>
          <cell r="BK880">
            <v>473.70000000000005</v>
          </cell>
          <cell r="BL880">
            <v>827.67399999999975</v>
          </cell>
          <cell r="BM880">
            <v>0</v>
          </cell>
          <cell r="BN880">
            <v>0</v>
          </cell>
          <cell r="BO880">
            <v>1384.875</v>
          </cell>
          <cell r="BP880">
            <v>1499.3</v>
          </cell>
          <cell r="BQ880">
            <v>0</v>
          </cell>
          <cell r="BR880">
            <v>0</v>
          </cell>
          <cell r="BS880">
            <v>0</v>
          </cell>
          <cell r="BT880">
            <v>726.5</v>
          </cell>
          <cell r="BU880">
            <v>938.52399999999966</v>
          </cell>
          <cell r="BV880">
            <v>0</v>
          </cell>
          <cell r="BW880">
            <v>0</v>
          </cell>
          <cell r="BX880">
            <v>1241.5999999999999</v>
          </cell>
          <cell r="BY880">
            <v>1778.6100000000001</v>
          </cell>
          <cell r="BZ880">
            <v>0</v>
          </cell>
          <cell r="CA880">
            <v>0</v>
          </cell>
          <cell r="CB880">
            <v>0</v>
          </cell>
          <cell r="CC880">
            <v>630.29999999999995</v>
          </cell>
          <cell r="CD880">
            <v>1005.1609999999998</v>
          </cell>
          <cell r="CE880">
            <v>0</v>
          </cell>
          <cell r="CF880">
            <v>0</v>
          </cell>
          <cell r="CG880">
            <v>1186.1880000000001</v>
          </cell>
          <cell r="CH880">
            <v>1802.79</v>
          </cell>
          <cell r="CI880">
            <v>0</v>
          </cell>
          <cell r="CJ880">
            <v>0</v>
          </cell>
          <cell r="CK880">
            <v>0</v>
          </cell>
          <cell r="CL880">
            <v>375.79999999999995</v>
          </cell>
          <cell r="CM880">
            <v>975.26099999999974</v>
          </cell>
          <cell r="CN880">
            <v>0</v>
          </cell>
          <cell r="CO880">
            <v>0</v>
          </cell>
          <cell r="CP880">
            <v>756.3</v>
          </cell>
          <cell r="CQ880">
            <v>1844.89</v>
          </cell>
          <cell r="CR880">
            <v>0</v>
          </cell>
          <cell r="CS880">
            <v>0</v>
          </cell>
          <cell r="CT880">
            <v>0</v>
          </cell>
          <cell r="CU880">
            <v>542.6</v>
          </cell>
          <cell r="CV880">
            <v>834.66099999999983</v>
          </cell>
          <cell r="CW880">
            <v>0</v>
          </cell>
          <cell r="CX880">
            <v>0</v>
          </cell>
          <cell r="CY880">
            <v>873.90000000000009</v>
          </cell>
          <cell r="CZ880">
            <v>1764.66</v>
          </cell>
          <cell r="DA880">
            <v>0</v>
          </cell>
          <cell r="DB880">
            <v>0</v>
          </cell>
          <cell r="DC880">
            <v>0</v>
          </cell>
          <cell r="DD880">
            <v>604.40000000000009</v>
          </cell>
          <cell r="DE880">
            <v>0</v>
          </cell>
          <cell r="DF880">
            <v>0</v>
          </cell>
          <cell r="DG880">
            <v>0</v>
          </cell>
          <cell r="DH880">
            <v>872.59999999999991</v>
          </cell>
          <cell r="DI880">
            <v>1654.9</v>
          </cell>
          <cell r="DJ880">
            <v>0</v>
          </cell>
          <cell r="DK880">
            <v>0</v>
          </cell>
          <cell r="DL880">
            <v>0</v>
          </cell>
          <cell r="DM880">
            <v>504.2</v>
          </cell>
          <cell r="DN880">
            <v>1107.3809999999999</v>
          </cell>
          <cell r="DO880">
            <v>0</v>
          </cell>
          <cell r="DP880">
            <v>0</v>
          </cell>
          <cell r="DQ880">
            <v>423.6</v>
          </cell>
          <cell r="DR880">
            <v>1479.9499999999998</v>
          </cell>
          <cell r="DS880">
            <v>0</v>
          </cell>
          <cell r="DT880">
            <v>0</v>
          </cell>
          <cell r="DU880">
            <v>0</v>
          </cell>
          <cell r="DV880">
            <v>497.55</v>
          </cell>
          <cell r="DW880">
            <v>1259.9059999999999</v>
          </cell>
          <cell r="DX880">
            <v>0</v>
          </cell>
          <cell r="DY880">
            <v>0</v>
          </cell>
          <cell r="DZ880">
            <v>438.4</v>
          </cell>
          <cell r="EA880">
            <v>1473.9299999999998</v>
          </cell>
          <cell r="EB880">
            <v>0</v>
          </cell>
          <cell r="EC880">
            <v>0</v>
          </cell>
          <cell r="ED880">
            <v>0</v>
          </cell>
          <cell r="EE880">
            <v>688.55</v>
          </cell>
          <cell r="EF880">
            <v>1340.0809999999999</v>
          </cell>
          <cell r="EG880">
            <v>0</v>
          </cell>
          <cell r="EH880">
            <v>0</v>
          </cell>
          <cell r="EI880">
            <v>708.59999999999991</v>
          </cell>
          <cell r="EJ880">
            <v>1398.19</v>
          </cell>
          <cell r="EK880">
            <v>0</v>
          </cell>
          <cell r="EL880">
            <v>0</v>
          </cell>
          <cell r="EM880">
            <v>0</v>
          </cell>
          <cell r="EN880">
            <v>491.85</v>
          </cell>
          <cell r="EO880">
            <v>1214.9559999999999</v>
          </cell>
          <cell r="EP880">
            <v>0</v>
          </cell>
          <cell r="EQ880">
            <v>0</v>
          </cell>
          <cell r="ER880">
            <v>741.40000000000009</v>
          </cell>
          <cell r="ES880">
            <v>1800.08</v>
          </cell>
        </row>
        <row r="881">
          <cell r="F881">
            <v>2865.1527799999999</v>
          </cell>
          <cell r="G881">
            <v>8413.9691623999988</v>
          </cell>
          <cell r="H881">
            <v>16965.286</v>
          </cell>
          <cell r="I881">
            <v>15510.192000000001</v>
          </cell>
          <cell r="J881">
            <v>1153.002</v>
          </cell>
          <cell r="K881">
            <v>6528.7969999999996</v>
          </cell>
          <cell r="L881">
            <v>3838.7529999999997</v>
          </cell>
          <cell r="M881">
            <v>1526.0830000000001</v>
          </cell>
          <cell r="N881">
            <v>1229.6300000000001</v>
          </cell>
          <cell r="O881">
            <v>2944.284498</v>
          </cell>
          <cell r="P881">
            <v>8012.9816624000014</v>
          </cell>
          <cell r="Q881">
            <v>16482.114000000001</v>
          </cell>
          <cell r="R881">
            <v>15526.682000000001</v>
          </cell>
          <cell r="S881">
            <v>1169.4589999999998</v>
          </cell>
          <cell r="T881">
            <v>6651.1309999999994</v>
          </cell>
          <cell r="U881">
            <v>2736.35</v>
          </cell>
          <cell r="V881">
            <v>2631.9180000000001</v>
          </cell>
          <cell r="W881">
            <v>1120.5</v>
          </cell>
          <cell r="X881">
            <v>2962.9412300000004</v>
          </cell>
          <cell r="Y881">
            <v>8782.2211224000002</v>
          </cell>
          <cell r="Z881">
            <v>14196.563999999998</v>
          </cell>
          <cell r="AA881">
            <v>16284.174999999999</v>
          </cell>
          <cell r="AB881">
            <v>1376.327</v>
          </cell>
          <cell r="AC881">
            <v>5341.9459999999999</v>
          </cell>
          <cell r="AD881">
            <v>1449.3109999999999</v>
          </cell>
          <cell r="AE881">
            <v>8728.65</v>
          </cell>
          <cell r="AF881">
            <v>1337.4700000000003</v>
          </cell>
          <cell r="AG881">
            <v>3414.3259800000001</v>
          </cell>
          <cell r="AH881">
            <v>9139.2640623999996</v>
          </cell>
          <cell r="AI881">
            <v>16835.898999999998</v>
          </cell>
          <cell r="AJ881">
            <v>16999.044867142857</v>
          </cell>
          <cell r="AK881">
            <v>887.77399999999989</v>
          </cell>
          <cell r="AL881">
            <v>2407.7460000000001</v>
          </cell>
          <cell r="AM881">
            <v>2253.451</v>
          </cell>
          <cell r="AN881">
            <v>1985.6950000000002</v>
          </cell>
          <cell r="AO881">
            <v>1348.88</v>
          </cell>
          <cell r="AP881">
            <v>3144.21288</v>
          </cell>
          <cell r="AQ881">
            <v>9591.7667623999987</v>
          </cell>
          <cell r="AR881">
            <v>15615.231</v>
          </cell>
          <cell r="AS881">
            <v>16422.327000000001</v>
          </cell>
          <cell r="AT881">
            <v>1707.9829999999995</v>
          </cell>
          <cell r="AU881">
            <v>1789.367</v>
          </cell>
          <cell r="AV881">
            <v>785.22900000000004</v>
          </cell>
          <cell r="AW881">
            <v>3422.5099999999998</v>
          </cell>
          <cell r="AX881">
            <v>1257.5500000000002</v>
          </cell>
          <cell r="AY881">
            <v>2990.2951800000001</v>
          </cell>
          <cell r="AZ881">
            <v>9432.4053624000007</v>
          </cell>
          <cell r="BA881">
            <v>13105.361000000001</v>
          </cell>
          <cell r="BB881">
            <v>16948.537</v>
          </cell>
          <cell r="BC881">
            <v>1754.1369999999997</v>
          </cell>
          <cell r="BD881">
            <v>1227.3969999999999</v>
          </cell>
          <cell r="BE881">
            <v>6.9610000000000003</v>
          </cell>
          <cell r="BF881">
            <v>4039.2200000000003</v>
          </cell>
          <cell r="BG881">
            <v>1324.5600000000002</v>
          </cell>
          <cell r="BH881">
            <v>2793.5568300000004</v>
          </cell>
          <cell r="BI881">
            <v>9700.7561623999991</v>
          </cell>
          <cell r="BJ881">
            <v>10883.724000000002</v>
          </cell>
          <cell r="BK881">
            <v>15784.582071999999</v>
          </cell>
          <cell r="BL881">
            <v>1692.7739999999999</v>
          </cell>
          <cell r="BM881">
            <v>852.57799999999997</v>
          </cell>
          <cell r="BN881">
            <v>986.03800000000001</v>
          </cell>
          <cell r="BO881">
            <v>7308.7999999999993</v>
          </cell>
          <cell r="BP881">
            <v>1499.3</v>
          </cell>
          <cell r="BQ881">
            <v>2813.7402299999994</v>
          </cell>
          <cell r="BR881">
            <v>9067.8593624000005</v>
          </cell>
          <cell r="BS881">
            <v>10118.798999999999</v>
          </cell>
          <cell r="BT881">
            <v>15142.361000000003</v>
          </cell>
          <cell r="BU881">
            <v>1928.1489999999999</v>
          </cell>
          <cell r="BV881">
            <v>407.12200000000007</v>
          </cell>
          <cell r="BW881">
            <v>4240.5039999999999</v>
          </cell>
          <cell r="BX881">
            <v>1771.1599999999999</v>
          </cell>
          <cell r="BY881">
            <v>1778.6100000000001</v>
          </cell>
          <cell r="BZ881">
            <v>2958.5105680000001</v>
          </cell>
          <cell r="CA881">
            <v>8596.3881624000005</v>
          </cell>
          <cell r="CB881">
            <v>8933.1190000000006</v>
          </cell>
          <cell r="CC881">
            <v>15907.971000000001</v>
          </cell>
          <cell r="CD881">
            <v>1932.6099999999997</v>
          </cell>
          <cell r="CE881">
            <v>1766.6290000000001</v>
          </cell>
          <cell r="CF881">
            <v>1790.4979999999998</v>
          </cell>
          <cell r="CG881">
            <v>5216.8180000000002</v>
          </cell>
          <cell r="CH881">
            <v>1802.79</v>
          </cell>
          <cell r="CI881">
            <v>2935.7179799999999</v>
          </cell>
          <cell r="CJ881">
            <v>9016.6190024000007</v>
          </cell>
          <cell r="CK881">
            <v>10945.084999999999</v>
          </cell>
          <cell r="CL881">
            <v>16742.349000000002</v>
          </cell>
          <cell r="CM881">
            <v>1932.1579999999994</v>
          </cell>
          <cell r="CN881">
            <v>3970.9960000000001</v>
          </cell>
          <cell r="CO881">
            <v>1237.95</v>
          </cell>
          <cell r="CP881">
            <v>7535.99</v>
          </cell>
          <cell r="CQ881">
            <v>1844.89</v>
          </cell>
          <cell r="CR881">
            <v>3089.7663499999999</v>
          </cell>
          <cell r="CS881">
            <v>9303.3034824000006</v>
          </cell>
          <cell r="CT881">
            <v>12895.425999999999</v>
          </cell>
          <cell r="CU881">
            <v>16790.739000000001</v>
          </cell>
          <cell r="CV881">
            <v>1713.5139999999997</v>
          </cell>
          <cell r="CW881">
            <v>3324.8580000000002</v>
          </cell>
          <cell r="CX881">
            <v>1435.6</v>
          </cell>
          <cell r="CY881">
            <v>7929.82</v>
          </cell>
          <cell r="CZ881">
            <v>1764.66</v>
          </cell>
          <cell r="DA881">
            <v>2939.5553500000005</v>
          </cell>
          <cell r="DB881">
            <v>9711.2424424000001</v>
          </cell>
          <cell r="DC881">
            <v>11779.782999999999</v>
          </cell>
          <cell r="DD881">
            <v>17445.57</v>
          </cell>
          <cell r="DE881">
            <v>1055.171</v>
          </cell>
          <cell r="DF881">
            <v>2868.9119999999998</v>
          </cell>
          <cell r="DG881">
            <v>5682.6809999999996</v>
          </cell>
          <cell r="DH881">
            <v>8219.94</v>
          </cell>
          <cell r="DI881">
            <v>1654.9</v>
          </cell>
          <cell r="DJ881">
            <v>2563.2531800000002</v>
          </cell>
          <cell r="DK881">
            <v>10663.4417424</v>
          </cell>
          <cell r="DL881">
            <v>11517.512999999999</v>
          </cell>
          <cell r="DM881">
            <v>15660.19</v>
          </cell>
          <cell r="DN881">
            <v>2063.3679999999999</v>
          </cell>
          <cell r="DO881">
            <v>2844.585</v>
          </cell>
          <cell r="DP881">
            <v>6091.049</v>
          </cell>
          <cell r="DQ881">
            <v>4808.6880000000001</v>
          </cell>
          <cell r="DR881">
            <v>1479.9499999999998</v>
          </cell>
          <cell r="DS881">
            <v>2776.92245</v>
          </cell>
          <cell r="DT881">
            <v>9847.4656424000004</v>
          </cell>
          <cell r="DU881">
            <v>12392.48</v>
          </cell>
          <cell r="DV881">
            <v>15720.852000000001</v>
          </cell>
          <cell r="DW881">
            <v>2290.1130000000003</v>
          </cell>
          <cell r="DX881">
            <v>5892.8159999999998</v>
          </cell>
          <cell r="DY881">
            <v>2035.7449999999999</v>
          </cell>
          <cell r="DZ881">
            <v>747.2</v>
          </cell>
          <cell r="EA881">
            <v>1473.9299999999998</v>
          </cell>
          <cell r="EB881">
            <v>2670.4754000000003</v>
          </cell>
          <cell r="EC881">
            <v>9840.325642400001</v>
          </cell>
          <cell r="ED881">
            <v>11735.330000000002</v>
          </cell>
          <cell r="EE881">
            <v>14752.831999999999</v>
          </cell>
          <cell r="EF881">
            <v>2402.6569999999997</v>
          </cell>
          <cell r="EG881">
            <v>7216.6120000000001</v>
          </cell>
          <cell r="EH881">
            <v>602.90200000000004</v>
          </cell>
          <cell r="EI881">
            <v>6255.0259999999998</v>
          </cell>
          <cell r="EJ881">
            <v>1398.19</v>
          </cell>
          <cell r="EK881">
            <v>2501.5605</v>
          </cell>
          <cell r="EL881">
            <v>9768.6310424000003</v>
          </cell>
          <cell r="EM881">
            <v>11089.055</v>
          </cell>
          <cell r="EN881">
            <v>14056.962000000003</v>
          </cell>
          <cell r="EO881">
            <v>2047.8239999999996</v>
          </cell>
          <cell r="EP881">
            <v>7565.1100000000006</v>
          </cell>
          <cell r="EQ881">
            <v>1994.7180000000001</v>
          </cell>
          <cell r="ER881">
            <v>6538.7459999999992</v>
          </cell>
          <cell r="ES881">
            <v>1800.08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st quarter"/>
      <sheetName val="2nd quarter"/>
      <sheetName val="3rd quarter"/>
      <sheetName val="DATA"/>
    </sheetNames>
    <sheetDataSet>
      <sheetData sheetId="0"/>
      <sheetData sheetId="1"/>
      <sheetData sheetId="2"/>
      <sheetData sheetId="3">
        <row r="606">
          <cell r="A606" t="str">
            <v>NO:</v>
          </cell>
          <cell r="D606" t="str">
            <v>MATERIAL</v>
          </cell>
          <cell r="F606">
            <v>109</v>
          </cell>
          <cell r="G606" t="str">
            <v>109 B</v>
          </cell>
          <cell r="H606" t="str">
            <v>SEWREE</v>
          </cell>
          <cell r="I606" t="str">
            <v>TALOJA</v>
          </cell>
          <cell r="J606" t="str">
            <v>KUTCH-1</v>
          </cell>
          <cell r="K606" t="str">
            <v>KUTCH-2</v>
          </cell>
          <cell r="L606" t="str">
            <v>KUTCH-O</v>
          </cell>
          <cell r="M606" t="str">
            <v>GIT</v>
          </cell>
          <cell r="N606" t="str">
            <v>BADDI</v>
          </cell>
          <cell r="O606">
            <v>109</v>
          </cell>
          <cell r="P606" t="str">
            <v>109 B</v>
          </cell>
          <cell r="Q606" t="str">
            <v>SEWREE</v>
          </cell>
          <cell r="R606" t="str">
            <v>TALOJA</v>
          </cell>
          <cell r="S606" t="str">
            <v>KUTCH-1</v>
          </cell>
          <cell r="T606" t="str">
            <v>KUTCH-2</v>
          </cell>
          <cell r="U606" t="str">
            <v>KUTCH-O</v>
          </cell>
          <cell r="V606" t="str">
            <v>GIT</v>
          </cell>
          <cell r="W606" t="str">
            <v>BADDI</v>
          </cell>
          <cell r="X606">
            <v>109</v>
          </cell>
          <cell r="Y606" t="str">
            <v>109 B</v>
          </cell>
          <cell r="Z606" t="str">
            <v>SEWREE</v>
          </cell>
          <cell r="AA606" t="str">
            <v>TALOJA</v>
          </cell>
          <cell r="AB606" t="str">
            <v>KUTCH-1</v>
          </cell>
          <cell r="AC606" t="str">
            <v>KUTCH-2</v>
          </cell>
          <cell r="AD606" t="str">
            <v>KUTCH-O</v>
          </cell>
          <cell r="AE606" t="str">
            <v>GIT</v>
          </cell>
          <cell r="AF606" t="str">
            <v>BADDI</v>
          </cell>
          <cell r="AG606">
            <v>109</v>
          </cell>
          <cell r="AH606" t="str">
            <v>109 B</v>
          </cell>
          <cell r="AI606" t="str">
            <v>SEWREE</v>
          </cell>
          <cell r="AJ606" t="str">
            <v>TALOJA</v>
          </cell>
          <cell r="AK606" t="str">
            <v>KUTCH-1</v>
          </cell>
          <cell r="AL606" t="str">
            <v>KUTCH-2</v>
          </cell>
          <cell r="AM606" t="str">
            <v>KUTCH-O</v>
          </cell>
          <cell r="AN606" t="str">
            <v>GIT</v>
          </cell>
          <cell r="AO606" t="str">
            <v>BADDI</v>
          </cell>
          <cell r="AP606">
            <v>109</v>
          </cell>
          <cell r="AQ606" t="str">
            <v>109 B</v>
          </cell>
          <cell r="AR606" t="str">
            <v>SEWREE</v>
          </cell>
          <cell r="AS606" t="str">
            <v>TALOJA</v>
          </cell>
          <cell r="AT606" t="str">
            <v>KUTCH-1</v>
          </cell>
          <cell r="AU606" t="str">
            <v>KUTCH-2</v>
          </cell>
          <cell r="AV606" t="str">
            <v>KUTCH-O</v>
          </cell>
          <cell r="AW606" t="str">
            <v>GIT</v>
          </cell>
          <cell r="AX606" t="str">
            <v>BADDI</v>
          </cell>
          <cell r="AY606">
            <v>109</v>
          </cell>
          <cell r="AZ606" t="str">
            <v>109 B</v>
          </cell>
          <cell r="BA606" t="str">
            <v>SEWREE</v>
          </cell>
          <cell r="BB606" t="str">
            <v>TALOJA</v>
          </cell>
          <cell r="BC606" t="str">
            <v>KUTCH-1</v>
          </cell>
          <cell r="BD606" t="str">
            <v>KUTCH-2</v>
          </cell>
          <cell r="BE606" t="str">
            <v>KUTCH-O</v>
          </cell>
          <cell r="BF606" t="str">
            <v>GIT</v>
          </cell>
          <cell r="BG606" t="str">
            <v>BADDI</v>
          </cell>
          <cell r="BH606">
            <v>109</v>
          </cell>
          <cell r="BI606" t="str">
            <v>109 B</v>
          </cell>
          <cell r="BJ606" t="str">
            <v>SEWREE</v>
          </cell>
          <cell r="BK606" t="str">
            <v>TALOJA</v>
          </cell>
          <cell r="BL606" t="str">
            <v>KUTCH-1</v>
          </cell>
          <cell r="BM606" t="str">
            <v>KUTCH-2</v>
          </cell>
          <cell r="BN606" t="str">
            <v>KUTCH-O</v>
          </cell>
          <cell r="BO606" t="str">
            <v>GIT</v>
          </cell>
          <cell r="BP606" t="str">
            <v>BADDI</v>
          </cell>
          <cell r="BQ606">
            <v>109</v>
          </cell>
          <cell r="BR606" t="str">
            <v>109 B</v>
          </cell>
          <cell r="BS606" t="str">
            <v>SEWREE</v>
          </cell>
          <cell r="BT606" t="str">
            <v>TALOJA</v>
          </cell>
          <cell r="BU606" t="str">
            <v>KUTCH-1</v>
          </cell>
          <cell r="BV606" t="str">
            <v>KUTCH-2</v>
          </cell>
          <cell r="BW606" t="str">
            <v>KUTCH-O</v>
          </cell>
          <cell r="BX606" t="str">
            <v>GIT</v>
          </cell>
          <cell r="BY606" t="str">
            <v>BADDI</v>
          </cell>
          <cell r="BZ606">
            <v>109</v>
          </cell>
          <cell r="CA606" t="str">
            <v>109 B</v>
          </cell>
          <cell r="CB606" t="str">
            <v>SEWREE</v>
          </cell>
          <cell r="CC606" t="str">
            <v>TALOJA</v>
          </cell>
          <cell r="CD606" t="str">
            <v>KUTCH-1</v>
          </cell>
          <cell r="CE606" t="str">
            <v>KUTCH-2</v>
          </cell>
          <cell r="CF606" t="str">
            <v>KUTCH-O</v>
          </cell>
          <cell r="CG606" t="str">
            <v>GIT</v>
          </cell>
          <cell r="CH606" t="str">
            <v>BADDI</v>
          </cell>
          <cell r="CI606">
            <v>109</v>
          </cell>
          <cell r="CJ606" t="str">
            <v>109 B</v>
          </cell>
          <cell r="CK606" t="str">
            <v>SEWREE</v>
          </cell>
          <cell r="CL606" t="str">
            <v>TALOJA</v>
          </cell>
          <cell r="CM606" t="str">
            <v>KUTCH-1</v>
          </cell>
          <cell r="CN606" t="str">
            <v>KUTCH-2</v>
          </cell>
          <cell r="CO606" t="str">
            <v>KUTCH-O</v>
          </cell>
          <cell r="CP606" t="str">
            <v>GIT</v>
          </cell>
          <cell r="CQ606" t="str">
            <v>BADDI</v>
          </cell>
          <cell r="CR606">
            <v>109</v>
          </cell>
          <cell r="CS606" t="str">
            <v>109 B</v>
          </cell>
          <cell r="CT606" t="str">
            <v>SEWREE</v>
          </cell>
          <cell r="CU606" t="str">
            <v>TALOJA</v>
          </cell>
          <cell r="CV606" t="str">
            <v>KUTCH-1</v>
          </cell>
          <cell r="CW606" t="str">
            <v>KUTCH-2</v>
          </cell>
          <cell r="CX606" t="str">
            <v>KUTCH-O</v>
          </cell>
          <cell r="CY606" t="str">
            <v>GIT</v>
          </cell>
          <cell r="CZ606" t="str">
            <v>BADDI</v>
          </cell>
          <cell r="DA606">
            <v>109</v>
          </cell>
          <cell r="DB606" t="str">
            <v>109 B</v>
          </cell>
          <cell r="DC606" t="str">
            <v>SEWREE</v>
          </cell>
          <cell r="DD606" t="str">
            <v>TALOJA</v>
          </cell>
          <cell r="DE606" t="str">
            <v>KUTCH-1</v>
          </cell>
          <cell r="DF606" t="str">
            <v>KUTCH-2</v>
          </cell>
          <cell r="DG606" t="str">
            <v>KUTCH-O</v>
          </cell>
          <cell r="DH606" t="str">
            <v>GIT</v>
          </cell>
          <cell r="DI606" t="str">
            <v>BADDI</v>
          </cell>
          <cell r="DJ606">
            <v>109</v>
          </cell>
          <cell r="DK606" t="str">
            <v>109 B</v>
          </cell>
          <cell r="DL606" t="str">
            <v>SEWREE</v>
          </cell>
          <cell r="DM606" t="str">
            <v>TALOJA</v>
          </cell>
          <cell r="DN606" t="str">
            <v>KUTCH-1</v>
          </cell>
          <cell r="DO606" t="str">
            <v>KUTCH-2</v>
          </cell>
          <cell r="DP606" t="str">
            <v>KUTCH-O</v>
          </cell>
          <cell r="DQ606" t="str">
            <v>GIT</v>
          </cell>
          <cell r="DR606" t="str">
            <v>BADDI</v>
          </cell>
          <cell r="DS606">
            <v>109</v>
          </cell>
          <cell r="DT606" t="str">
            <v>109 B</v>
          </cell>
          <cell r="DU606" t="str">
            <v>SEWREE</v>
          </cell>
          <cell r="DV606" t="str">
            <v>TALOJA</v>
          </cell>
          <cell r="DW606" t="str">
            <v>KUTCH-1</v>
          </cell>
          <cell r="DX606" t="str">
            <v>KUTCH-2</v>
          </cell>
          <cell r="DY606" t="str">
            <v>KUTCH-O</v>
          </cell>
          <cell r="DZ606" t="str">
            <v>GIT</v>
          </cell>
          <cell r="EA606" t="str">
            <v>BADDI</v>
          </cell>
          <cell r="EB606">
            <v>109</v>
          </cell>
          <cell r="EC606" t="str">
            <v>109 B</v>
          </cell>
          <cell r="ED606" t="str">
            <v>SEWREE</v>
          </cell>
          <cell r="EE606" t="str">
            <v>TALOJA</v>
          </cell>
          <cell r="EF606" t="str">
            <v>KUTCH-1</v>
          </cell>
          <cell r="EG606" t="str">
            <v>KUTCH-2</v>
          </cell>
          <cell r="EH606" t="str">
            <v>KUTCH-O</v>
          </cell>
          <cell r="EI606" t="str">
            <v>GIT</v>
          </cell>
          <cell r="EJ606" t="str">
            <v>BADDI</v>
          </cell>
          <cell r="EK606">
            <v>109</v>
          </cell>
          <cell r="EL606" t="str">
            <v>109 B</v>
          </cell>
          <cell r="EM606" t="str">
            <v>SEWREE</v>
          </cell>
          <cell r="EN606" t="str">
            <v>TALOJA</v>
          </cell>
          <cell r="EO606" t="str">
            <v>KUTCH-1</v>
          </cell>
          <cell r="EP606" t="str">
            <v>KUTCH-2</v>
          </cell>
          <cell r="EQ606" t="str">
            <v>KUTCH-O</v>
          </cell>
          <cell r="ER606" t="str">
            <v>GIT</v>
          </cell>
          <cell r="ES606" t="str">
            <v>BADDI</v>
          </cell>
        </row>
        <row r="607">
          <cell r="A607" t="str">
            <v>RAW MATERIALS</v>
          </cell>
        </row>
        <row r="608">
          <cell r="A608">
            <v>1</v>
          </cell>
          <cell r="B608" t="str">
            <v>RM</v>
          </cell>
          <cell r="C608" t="str">
            <v>FM</v>
          </cell>
          <cell r="D608" t="str">
            <v>CPKO-5%</v>
          </cell>
          <cell r="E608" t="str">
            <v>CPKO-5%</v>
          </cell>
          <cell r="K608">
            <v>5184.5559999999996</v>
          </cell>
          <cell r="L608">
            <v>1453.3019999999999</v>
          </cell>
          <cell r="M608">
            <v>19.48</v>
          </cell>
          <cell r="T608">
            <v>5316.28</v>
          </cell>
          <cell r="U608">
            <v>554.56200000000001</v>
          </cell>
          <cell r="V608">
            <v>19.48</v>
          </cell>
          <cell r="AC608">
            <v>3317.4169999999999</v>
          </cell>
          <cell r="AE608">
            <v>19.48</v>
          </cell>
          <cell r="AL608">
            <v>63.314999999999998</v>
          </cell>
          <cell r="AM608">
            <v>1991.81</v>
          </cell>
          <cell r="AN608">
            <v>19.48</v>
          </cell>
          <cell r="AU608">
            <v>689.61500000000001</v>
          </cell>
          <cell r="AV608">
            <v>521.16</v>
          </cell>
          <cell r="AW608">
            <v>19.48</v>
          </cell>
          <cell r="BD608">
            <v>78.691000000000003</v>
          </cell>
          <cell r="BF608">
            <v>19.48</v>
          </cell>
          <cell r="BM608">
            <v>78.691000000000003</v>
          </cell>
          <cell r="BO608">
            <v>3019.48</v>
          </cell>
          <cell r="BV608">
            <v>78.691000000000003</v>
          </cell>
          <cell r="BW608">
            <v>2985.8</v>
          </cell>
          <cell r="BX608">
            <v>19.48</v>
          </cell>
          <cell r="CE608">
            <v>301.74</v>
          </cell>
          <cell r="CF608">
            <v>591.14</v>
          </cell>
          <cell r="CG608">
            <v>3019.48</v>
          </cell>
          <cell r="CN608">
            <v>1692.319</v>
          </cell>
          <cell r="CO608">
            <v>1237.95</v>
          </cell>
          <cell r="CP608">
            <v>6019.48</v>
          </cell>
          <cell r="CW608">
            <v>1325.0920000000001</v>
          </cell>
          <cell r="CX608">
            <v>683.36</v>
          </cell>
          <cell r="CY608">
            <v>6019.48</v>
          </cell>
          <cell r="DF608">
            <v>905.03200000000004</v>
          </cell>
          <cell r="DG608">
            <v>5682.6809999999996</v>
          </cell>
          <cell r="DH608">
            <v>6019.48</v>
          </cell>
          <cell r="DO608">
            <v>189.94399999999999</v>
          </cell>
          <cell r="DP608">
            <v>5076.3140000000003</v>
          </cell>
          <cell r="DQ608">
            <v>2019.48</v>
          </cell>
          <cell r="DX608">
            <v>1803.8689999999999</v>
          </cell>
          <cell r="DY608">
            <v>1337.644</v>
          </cell>
          <cell r="DZ608">
            <v>19.48</v>
          </cell>
          <cell r="EG608">
            <v>2425.4079999999999</v>
          </cell>
          <cell r="EI608">
            <v>2019.5140000000001</v>
          </cell>
          <cell r="EP608">
            <v>1379.807</v>
          </cell>
          <cell r="EQ608">
            <v>1990.2180000000001</v>
          </cell>
          <cell r="ER608">
            <v>2000.0340000000001</v>
          </cell>
        </row>
        <row r="609">
          <cell r="A609">
            <v>2</v>
          </cell>
          <cell r="B609" t="str">
            <v>RM</v>
          </cell>
          <cell r="C609" t="str">
            <v>FM</v>
          </cell>
          <cell r="D609" t="str">
            <v>CPKO-23%</v>
          </cell>
          <cell r="E609" t="str">
            <v>CPKO-23%</v>
          </cell>
          <cell r="AW609">
            <v>999.96500000000003</v>
          </cell>
          <cell r="BF609">
            <v>999.96500000000003</v>
          </cell>
          <cell r="BN609">
            <v>986.03800000000001</v>
          </cell>
          <cell r="BO609">
            <v>999.96500000000003</v>
          </cell>
          <cell r="BW609">
            <v>986.03800000000001</v>
          </cell>
          <cell r="CF609">
            <v>986.03800000000001</v>
          </cell>
          <cell r="CN609">
            <v>7.77</v>
          </cell>
          <cell r="CW609">
            <v>7.77</v>
          </cell>
          <cell r="DF609">
            <v>7.77</v>
          </cell>
          <cell r="DK609">
            <v>602.82000000000005</v>
          </cell>
          <cell r="DO609">
            <v>7.77</v>
          </cell>
          <cell r="DT609">
            <v>272.33999999999997</v>
          </cell>
          <cell r="DX609">
            <v>7.77</v>
          </cell>
          <cell r="EC609">
            <v>272.33999999999997</v>
          </cell>
          <cell r="EG609">
            <v>7.77</v>
          </cell>
          <cell r="EL609">
            <v>290.7</v>
          </cell>
          <cell r="EP609">
            <v>7.77</v>
          </cell>
        </row>
        <row r="610">
          <cell r="A610">
            <v>3</v>
          </cell>
          <cell r="B610" t="str">
            <v>RM</v>
          </cell>
          <cell r="C610" t="str">
            <v>FM</v>
          </cell>
          <cell r="D610" t="str">
            <v>CNO-C</v>
          </cell>
          <cell r="E610" t="str">
            <v>CNO-C</v>
          </cell>
        </row>
        <row r="611">
          <cell r="A611">
            <v>4</v>
          </cell>
          <cell r="B611" t="str">
            <v>RM</v>
          </cell>
          <cell r="C611" t="str">
            <v>FM</v>
          </cell>
          <cell r="D611" t="str">
            <v>CNO-R</v>
          </cell>
          <cell r="E611" t="str">
            <v>CNO-R</v>
          </cell>
        </row>
        <row r="612">
          <cell r="A612">
            <v>5</v>
          </cell>
          <cell r="B612" t="str">
            <v>RM</v>
          </cell>
          <cell r="C612" t="str">
            <v>FM</v>
          </cell>
          <cell r="D612" t="str">
            <v>PKFAD</v>
          </cell>
          <cell r="E612" t="str">
            <v>PKFAD</v>
          </cell>
        </row>
        <row r="613">
          <cell r="A613">
            <v>6</v>
          </cell>
          <cell r="B613" t="str">
            <v>RM</v>
          </cell>
          <cell r="C613" t="str">
            <v>FM</v>
          </cell>
          <cell r="D613" t="str">
            <v>RBDPS</v>
          </cell>
          <cell r="E613" t="str">
            <v>RBDPS</v>
          </cell>
          <cell r="H613">
            <v>462.142</v>
          </cell>
          <cell r="Q613">
            <v>462.142</v>
          </cell>
          <cell r="Y613">
            <v>3.80592</v>
          </cell>
          <cell r="Z613">
            <v>70.911999999999992</v>
          </cell>
          <cell r="AE613">
            <v>1000</v>
          </cell>
          <cell r="AH613">
            <v>444.02400000000006</v>
          </cell>
          <cell r="AI613">
            <v>492.77</v>
          </cell>
          <cell r="BA613">
            <v>3.59</v>
          </cell>
          <cell r="BF613">
            <v>1500</v>
          </cell>
          <cell r="BJ613">
            <v>3.59</v>
          </cell>
          <cell r="BO613">
            <v>1500</v>
          </cell>
          <cell r="BR613">
            <v>352.04760000000005</v>
          </cell>
          <cell r="BS613">
            <v>106.87</v>
          </cell>
          <cell r="CA613">
            <v>33.3018</v>
          </cell>
          <cell r="CB613">
            <v>106.87</v>
          </cell>
          <cell r="CJ613">
            <v>502.69860000000006</v>
          </cell>
          <cell r="CK613">
            <v>496.44600000000003</v>
          </cell>
          <cell r="CS613">
            <v>501.11280000000005</v>
          </cell>
          <cell r="CT613">
            <v>352.416</v>
          </cell>
          <cell r="CU613">
            <v>127</v>
          </cell>
          <cell r="DB613">
            <v>501.11280000000005</v>
          </cell>
          <cell r="DC613">
            <v>208.09599999999998</v>
          </cell>
          <cell r="DD613">
            <v>212</v>
          </cell>
          <cell r="DK613">
            <v>509.8347</v>
          </cell>
          <cell r="DL613">
            <v>202.92599999999999</v>
          </cell>
          <cell r="DM613">
            <v>81</v>
          </cell>
          <cell r="DT613">
            <v>507.45600000000007</v>
          </cell>
          <cell r="DU613">
            <v>202.92599999999999</v>
          </cell>
          <cell r="EC613">
            <v>508.24890000000005</v>
          </cell>
          <cell r="ED613">
            <v>202.92599999999999</v>
          </cell>
          <cell r="EE613">
            <v>22.4</v>
          </cell>
          <cell r="EL613">
            <v>507.45600000000007</v>
          </cell>
          <cell r="EM613">
            <v>184.226</v>
          </cell>
          <cell r="EN613">
            <v>365</v>
          </cell>
          <cell r="EP613">
            <v>115.8</v>
          </cell>
          <cell r="ER613">
            <v>158.18</v>
          </cell>
        </row>
        <row r="614">
          <cell r="A614">
            <v>7</v>
          </cell>
          <cell r="B614" t="str">
            <v>RM</v>
          </cell>
          <cell r="C614" t="str">
            <v>FM</v>
          </cell>
          <cell r="D614" t="str">
            <v>CPS-5%</v>
          </cell>
          <cell r="E614" t="str">
            <v>CPS-5%</v>
          </cell>
        </row>
        <row r="615">
          <cell r="A615">
            <v>8</v>
          </cell>
          <cell r="B615" t="str">
            <v>RM</v>
          </cell>
          <cell r="C615" t="str">
            <v>FM</v>
          </cell>
          <cell r="D615" t="str">
            <v>CPS-20%</v>
          </cell>
          <cell r="E615" t="str">
            <v>CPS-20%</v>
          </cell>
        </row>
        <row r="616">
          <cell r="A616">
            <v>9</v>
          </cell>
          <cell r="B616" t="str">
            <v>RM</v>
          </cell>
          <cell r="C616" t="str">
            <v>FM</v>
          </cell>
          <cell r="D616" t="str">
            <v>CPS-23%-HLL</v>
          </cell>
          <cell r="E616" t="str">
            <v>CPS-23%-HLL</v>
          </cell>
        </row>
        <row r="617">
          <cell r="A617">
            <v>10</v>
          </cell>
          <cell r="B617" t="str">
            <v>RM</v>
          </cell>
          <cell r="C617" t="str">
            <v>FM</v>
          </cell>
          <cell r="D617" t="str">
            <v>CPO</v>
          </cell>
          <cell r="E617" t="str">
            <v>CPO</v>
          </cell>
        </row>
        <row r="618">
          <cell r="A618">
            <v>11</v>
          </cell>
          <cell r="B618" t="str">
            <v>RM</v>
          </cell>
          <cell r="C618" t="str">
            <v>FM</v>
          </cell>
          <cell r="D618" t="str">
            <v>RBDPN</v>
          </cell>
          <cell r="E618" t="str">
            <v>RBDPN</v>
          </cell>
          <cell r="H618">
            <v>4054.9060000000004</v>
          </cell>
          <cell r="L618">
            <v>1985.451</v>
          </cell>
          <cell r="Q618">
            <v>3776.8510000000001</v>
          </cell>
          <cell r="U618">
            <v>1985.451</v>
          </cell>
          <cell r="Z618">
            <v>3319.0210000000002</v>
          </cell>
          <cell r="AD618">
            <v>1449.3109999999999</v>
          </cell>
          <cell r="AI618">
            <v>2351.2780000000002</v>
          </cell>
          <cell r="AM618">
            <v>261.64100000000002</v>
          </cell>
          <cell r="AR618">
            <v>1782.5120000000002</v>
          </cell>
          <cell r="AV618">
            <v>38.261000000000003</v>
          </cell>
          <cell r="BA618">
            <v>1182.8319999999999</v>
          </cell>
          <cell r="BE618">
            <v>6.9610000000000003</v>
          </cell>
          <cell r="BJ618">
            <v>867.43599999999992</v>
          </cell>
          <cell r="BS618">
            <v>577.11799999999994</v>
          </cell>
          <cell r="CB618">
            <v>388.714</v>
          </cell>
          <cell r="CK618">
            <v>359.64400000000001</v>
          </cell>
          <cell r="CT618">
            <v>359.64400000000001</v>
          </cell>
          <cell r="DC618">
            <v>334.65100000000001</v>
          </cell>
          <cell r="DL618">
            <v>334.65100000000001</v>
          </cell>
          <cell r="DU618">
            <v>219.44399999999999</v>
          </cell>
          <cell r="ED618">
            <v>141.584</v>
          </cell>
          <cell r="EM618">
            <v>62.774000000000001</v>
          </cell>
        </row>
        <row r="619">
          <cell r="A619">
            <v>12</v>
          </cell>
          <cell r="B619" t="str">
            <v>RM</v>
          </cell>
          <cell r="C619" t="str">
            <v>FM</v>
          </cell>
          <cell r="D619" t="str">
            <v>PFAD</v>
          </cell>
          <cell r="E619" t="str">
            <v>PFAD</v>
          </cell>
          <cell r="G619">
            <v>1519.49</v>
          </cell>
          <cell r="H619">
            <v>2164.6030000000001</v>
          </cell>
          <cell r="M619">
            <v>224.15</v>
          </cell>
          <cell r="P619">
            <v>1391.02</v>
          </cell>
          <cell r="Q619">
            <v>1989.4960000000001</v>
          </cell>
          <cell r="Y619">
            <v>1018.9</v>
          </cell>
          <cell r="Z619">
            <v>1989.4960000000001</v>
          </cell>
          <cell r="AE619">
            <v>5000</v>
          </cell>
          <cell r="AH619">
            <v>1244.83</v>
          </cell>
          <cell r="AI619">
            <v>5748.0940000000001</v>
          </cell>
          <cell r="AQ619">
            <v>1508.415</v>
          </cell>
          <cell r="AR619">
            <v>5011.4340000000002</v>
          </cell>
          <cell r="AZ619">
            <v>1499.5550000000001</v>
          </cell>
          <cell r="BA619">
            <v>4466.9740000000002</v>
          </cell>
          <cell r="BI619">
            <v>1590.37</v>
          </cell>
          <cell r="BJ619">
            <v>3496.5930000000008</v>
          </cell>
          <cell r="BR619">
            <v>1687.83</v>
          </cell>
          <cell r="BS619">
            <v>2680.6360000000004</v>
          </cell>
          <cell r="CA619">
            <v>1674.54</v>
          </cell>
          <cell r="CB619">
            <v>2239.13</v>
          </cell>
          <cell r="CJ619">
            <v>1399.88</v>
          </cell>
          <cell r="CK619">
            <v>3993.76</v>
          </cell>
          <cell r="CS619">
            <v>1612.52</v>
          </cell>
          <cell r="CT619">
            <v>6224.6710000000003</v>
          </cell>
          <cell r="DB619">
            <v>1608.09</v>
          </cell>
          <cell r="DC619">
            <v>5653.5109999999995</v>
          </cell>
          <cell r="DK619">
            <v>1322.355</v>
          </cell>
          <cell r="DL619">
            <v>5143.4709999999995</v>
          </cell>
          <cell r="DQ619">
            <v>999.95799999999997</v>
          </cell>
          <cell r="DT619">
            <v>1138.51</v>
          </cell>
          <cell r="DU619">
            <v>5210.2749999999996</v>
          </cell>
          <cell r="EC619">
            <v>1266.98</v>
          </cell>
          <cell r="ED619">
            <v>4115.2650000000003</v>
          </cell>
          <cell r="EI619">
            <v>2999.9319999999998</v>
          </cell>
          <cell r="EL619">
            <v>1151.8</v>
          </cell>
          <cell r="EM619">
            <v>3831.55</v>
          </cell>
          <cell r="ER619">
            <v>2999.9319999999998</v>
          </cell>
        </row>
        <row r="620">
          <cell r="A620">
            <v>13</v>
          </cell>
          <cell r="B620" t="str">
            <v>RM</v>
          </cell>
          <cell r="C620" t="str">
            <v>FM</v>
          </cell>
          <cell r="D620" t="str">
            <v>MUSTARD OIL-EXPELLER</v>
          </cell>
          <cell r="E620" t="str">
            <v>MUSTARD OIL-EXPELLER</v>
          </cell>
          <cell r="K620">
            <v>9.16</v>
          </cell>
          <cell r="T620">
            <v>9.16</v>
          </cell>
          <cell r="AC620">
            <v>9.16</v>
          </cell>
          <cell r="AL620">
            <v>9.16</v>
          </cell>
          <cell r="AU620">
            <v>9.16</v>
          </cell>
          <cell r="BD620">
            <v>9.16</v>
          </cell>
          <cell r="BM620">
            <v>9.16</v>
          </cell>
          <cell r="BV620">
            <v>90.96</v>
          </cell>
          <cell r="CE620">
            <v>491.38</v>
          </cell>
          <cell r="CN620">
            <v>669.22</v>
          </cell>
          <cell r="CW620">
            <v>42.28</v>
          </cell>
          <cell r="CX620">
            <v>752.24</v>
          </cell>
          <cell r="DF620">
            <v>105.61</v>
          </cell>
          <cell r="DO620">
            <v>273.33999999999997</v>
          </cell>
          <cell r="DP620">
            <v>1014.735</v>
          </cell>
          <cell r="DX620">
            <v>676.86</v>
          </cell>
          <cell r="EG620">
            <v>358.06</v>
          </cell>
          <cell r="EP620">
            <v>813.96</v>
          </cell>
        </row>
        <row r="621">
          <cell r="A621">
            <v>14</v>
          </cell>
          <cell r="B621" t="str">
            <v>RM</v>
          </cell>
          <cell r="C621" t="str">
            <v>FM</v>
          </cell>
          <cell r="D621" t="str">
            <v>MUSTARD OIL-REFINED</v>
          </cell>
          <cell r="E621" t="str">
            <v>MUSTARD OIL-REFINED</v>
          </cell>
          <cell r="DX621">
            <v>292.41000000000003</v>
          </cell>
          <cell r="DY621">
            <v>698.101</v>
          </cell>
          <cell r="EC621">
            <v>301.11876000000001</v>
          </cell>
          <cell r="EG621">
            <v>368.37600000000003</v>
          </cell>
          <cell r="EH621">
            <v>602.90200000000004</v>
          </cell>
          <cell r="EI621">
            <v>332.6</v>
          </cell>
          <cell r="EL621">
            <v>214.55136000000002</v>
          </cell>
          <cell r="EP621">
            <v>113.003</v>
          </cell>
          <cell r="ER621">
            <v>180.9</v>
          </cell>
        </row>
        <row r="622">
          <cell r="A622">
            <v>15</v>
          </cell>
          <cell r="B622" t="str">
            <v>RM</v>
          </cell>
          <cell r="C622" t="str">
            <v>FM</v>
          </cell>
          <cell r="D622" t="str">
            <v>CRUDE GLYCERINE</v>
          </cell>
          <cell r="E622" t="str">
            <v>CRUDE GLYCERINE</v>
          </cell>
          <cell r="F622">
            <v>95.63</v>
          </cell>
          <cell r="H622">
            <v>493.62</v>
          </cell>
          <cell r="J622">
            <v>56.838000000000001</v>
          </cell>
          <cell r="K622">
            <v>112.17</v>
          </cell>
          <cell r="L622">
            <v>400</v>
          </cell>
          <cell r="O622">
            <v>56.33</v>
          </cell>
          <cell r="Q622">
            <v>493.62</v>
          </cell>
          <cell r="S622">
            <v>116.458</v>
          </cell>
          <cell r="U622">
            <v>116.157</v>
          </cell>
          <cell r="V622">
            <v>400</v>
          </cell>
          <cell r="X622">
            <v>144.1</v>
          </cell>
          <cell r="Z622">
            <v>493.62</v>
          </cell>
          <cell r="AB622">
            <v>177.42500000000001</v>
          </cell>
          <cell r="AC622">
            <v>252.768</v>
          </cell>
          <cell r="AE622">
            <v>500</v>
          </cell>
          <cell r="AG622">
            <v>115.94</v>
          </cell>
          <cell r="AL622">
            <v>314.83</v>
          </cell>
          <cell r="AN622">
            <v>400</v>
          </cell>
          <cell r="AP622">
            <v>199.12</v>
          </cell>
          <cell r="AR622">
            <v>401.72</v>
          </cell>
          <cell r="AU622">
            <v>244.01599999999999</v>
          </cell>
          <cell r="AV622">
            <v>162.84800000000001</v>
          </cell>
          <cell r="AY622">
            <v>166.37</v>
          </cell>
          <cell r="BA622">
            <v>366.18</v>
          </cell>
          <cell r="BC622">
            <v>58.881</v>
          </cell>
          <cell r="BD622">
            <v>677.07500000000005</v>
          </cell>
          <cell r="BH622">
            <v>140.16999999999999</v>
          </cell>
          <cell r="BJ622">
            <v>336.01</v>
          </cell>
          <cell r="BL622">
            <v>180.07599999999999</v>
          </cell>
          <cell r="BM622">
            <v>269.18599999999998</v>
          </cell>
          <cell r="BQ622">
            <v>37.99</v>
          </cell>
          <cell r="BS622">
            <v>336.01</v>
          </cell>
          <cell r="BU622">
            <v>307.38499999999999</v>
          </cell>
          <cell r="BW622">
            <v>25.556000000000001</v>
          </cell>
          <cell r="BZ622">
            <v>107.42</v>
          </cell>
          <cell r="CB622">
            <v>336.01</v>
          </cell>
          <cell r="CD622">
            <v>178.05600000000001</v>
          </cell>
          <cell r="CE622">
            <v>274.84699999999998</v>
          </cell>
          <cell r="CI622">
            <v>233.18</v>
          </cell>
          <cell r="CK622">
            <v>322.77999999999997</v>
          </cell>
          <cell r="CM622">
            <v>293.63299999999998</v>
          </cell>
          <cell r="CN622">
            <v>111.602</v>
          </cell>
          <cell r="CP622">
            <v>400</v>
          </cell>
          <cell r="CR622">
            <v>241.04</v>
          </cell>
          <cell r="CT622">
            <v>293.27999999999997</v>
          </cell>
          <cell r="CV622">
            <v>125.468</v>
          </cell>
          <cell r="CW622">
            <v>260.78500000000003</v>
          </cell>
          <cell r="CY622">
            <v>400</v>
          </cell>
          <cell r="DA622">
            <v>201.74</v>
          </cell>
          <cell r="DC622">
            <v>248.42</v>
          </cell>
          <cell r="DE622">
            <v>329.37900000000002</v>
          </cell>
          <cell r="DF622">
            <v>194.16499999999999</v>
          </cell>
          <cell r="DH622">
            <v>400</v>
          </cell>
          <cell r="DJ622">
            <v>179.47</v>
          </cell>
          <cell r="DL622">
            <v>217.36</v>
          </cell>
          <cell r="DN622">
            <v>362.77800000000002</v>
          </cell>
          <cell r="DO622">
            <v>204.98400000000001</v>
          </cell>
          <cell r="DQ622">
            <v>488.13</v>
          </cell>
          <cell r="DS622">
            <v>276.41000000000003</v>
          </cell>
          <cell r="DU622">
            <v>217.36</v>
          </cell>
          <cell r="DW622">
            <v>543.75099999999998</v>
          </cell>
          <cell r="DX622">
            <v>267.69299999999998</v>
          </cell>
          <cell r="EB622">
            <v>220.74</v>
          </cell>
          <cell r="ED622">
            <v>203.41</v>
          </cell>
          <cell r="EF622">
            <v>639.17499999999995</v>
          </cell>
          <cell r="EG622">
            <v>702.85500000000002</v>
          </cell>
          <cell r="EK622">
            <v>193.23</v>
          </cell>
          <cell r="EM622">
            <v>203.41</v>
          </cell>
          <cell r="EO622">
            <v>392.11200000000002</v>
          </cell>
          <cell r="EP622">
            <v>974.226</v>
          </cell>
        </row>
        <row r="623">
          <cell r="A623">
            <v>16</v>
          </cell>
          <cell r="B623" t="str">
            <v>RM</v>
          </cell>
          <cell r="C623" t="str">
            <v>FM</v>
          </cell>
          <cell r="D623" t="str">
            <v>CAUSTIC SODA</v>
          </cell>
          <cell r="E623" t="str">
            <v>CAUSTIC SODA</v>
          </cell>
          <cell r="I623">
            <v>383.7</v>
          </cell>
          <cell r="J623">
            <v>32.323999999999998</v>
          </cell>
          <cell r="R623">
            <v>326</v>
          </cell>
          <cell r="S623">
            <v>34.723999999999997</v>
          </cell>
          <cell r="V623">
            <v>30</v>
          </cell>
          <cell r="AA623">
            <v>282</v>
          </cell>
          <cell r="AB623">
            <v>51.706000000000003</v>
          </cell>
          <cell r="AE623">
            <v>48.1</v>
          </cell>
          <cell r="AI623">
            <v>462.97</v>
          </cell>
          <cell r="AJ623">
            <v>401.3</v>
          </cell>
          <cell r="AS623">
            <v>425.2</v>
          </cell>
          <cell r="AT623">
            <v>220.79900000000001</v>
          </cell>
          <cell r="BB623">
            <v>419.8</v>
          </cell>
          <cell r="BC623">
            <v>307.678</v>
          </cell>
          <cell r="BK623">
            <v>541.20000000000005</v>
          </cell>
          <cell r="BL623">
            <v>285.39400000000001</v>
          </cell>
          <cell r="BO623">
            <v>15</v>
          </cell>
          <cell r="BT623">
            <v>677</v>
          </cell>
          <cell r="BU623">
            <v>254.75399999999999</v>
          </cell>
          <cell r="BX623">
            <v>29.82</v>
          </cell>
          <cell r="CC623">
            <v>913</v>
          </cell>
          <cell r="CD623">
            <v>235.648</v>
          </cell>
          <cell r="CL623">
            <v>1117</v>
          </cell>
          <cell r="CM623">
            <v>214.941</v>
          </cell>
          <cell r="CU623">
            <v>1016</v>
          </cell>
          <cell r="CV623">
            <v>214.941</v>
          </cell>
          <cell r="DD623">
            <v>1061</v>
          </cell>
          <cell r="DE623">
            <v>196.923</v>
          </cell>
          <cell r="DH623">
            <v>40.14</v>
          </cell>
          <cell r="DM623">
            <v>1022</v>
          </cell>
          <cell r="DN623">
            <v>165.87299999999999</v>
          </cell>
          <cell r="DQ623">
            <v>31.52</v>
          </cell>
          <cell r="DV623">
            <v>944</v>
          </cell>
          <cell r="DW623">
            <v>131.47900000000001</v>
          </cell>
          <cell r="EE623">
            <v>648.1</v>
          </cell>
          <cell r="EF623">
            <v>98.316999999999993</v>
          </cell>
          <cell r="EN623">
            <v>461</v>
          </cell>
          <cell r="EO623">
            <v>76.197000000000003</v>
          </cell>
        </row>
        <row r="624">
          <cell r="A624">
            <v>17</v>
          </cell>
          <cell r="B624" t="str">
            <v>RM</v>
          </cell>
          <cell r="C624" t="str">
            <v>FM</v>
          </cell>
          <cell r="D624" t="str">
            <v>MINERAL OIL(SAVANOL-82)</v>
          </cell>
          <cell r="E624" t="str">
            <v>MINERAL OIL(SAVANOL-82)</v>
          </cell>
        </row>
        <row r="625">
          <cell r="A625">
            <v>237</v>
          </cell>
          <cell r="B625" t="str">
            <v>RM</v>
          </cell>
          <cell r="C625" t="str">
            <v>FM</v>
          </cell>
          <cell r="D625" t="str">
            <v>NEEM OIL</v>
          </cell>
          <cell r="E625" t="str">
            <v>NEEM OIL</v>
          </cell>
          <cell r="DW625">
            <v>9</v>
          </cell>
          <cell r="EF625">
            <v>8</v>
          </cell>
          <cell r="EO625">
            <v>8</v>
          </cell>
        </row>
        <row r="626">
          <cell r="D626" t="str">
            <v>RM TOTAL</v>
          </cell>
          <cell r="E626" t="str">
            <v>RM TOTAL</v>
          </cell>
          <cell r="F626">
            <v>95.63</v>
          </cell>
          <cell r="G626">
            <v>1519.49</v>
          </cell>
          <cell r="H626">
            <v>7175.2710000000006</v>
          </cell>
          <cell r="I626">
            <v>383.7</v>
          </cell>
          <cell r="J626">
            <v>89.162000000000006</v>
          </cell>
          <cell r="K626">
            <v>5305.8859999999995</v>
          </cell>
          <cell r="L626">
            <v>3838.7529999999997</v>
          </cell>
          <cell r="M626">
            <v>243.63</v>
          </cell>
          <cell r="N626">
            <v>0</v>
          </cell>
          <cell r="O626">
            <v>56.33</v>
          </cell>
          <cell r="P626">
            <v>1391.02</v>
          </cell>
          <cell r="Q626">
            <v>6722.1090000000004</v>
          </cell>
          <cell r="R626">
            <v>326</v>
          </cell>
          <cell r="S626">
            <v>151.18199999999999</v>
          </cell>
          <cell r="T626">
            <v>5325.44</v>
          </cell>
          <cell r="U626">
            <v>2656.17</v>
          </cell>
          <cell r="V626">
            <v>449.48</v>
          </cell>
          <cell r="W626">
            <v>0</v>
          </cell>
          <cell r="X626">
            <v>144.1</v>
          </cell>
          <cell r="Y626">
            <v>1022.70592</v>
          </cell>
          <cell r="Z626">
            <v>5873.049</v>
          </cell>
          <cell r="AA626">
            <v>282</v>
          </cell>
          <cell r="AB626">
            <v>229.13100000000003</v>
          </cell>
          <cell r="AC626">
            <v>3579.3449999999998</v>
          </cell>
          <cell r="AD626">
            <v>1449.3109999999999</v>
          </cell>
          <cell r="AE626">
            <v>6567.58</v>
          </cell>
          <cell r="AF626">
            <v>0</v>
          </cell>
          <cell r="AG626">
            <v>115.94</v>
          </cell>
          <cell r="AH626">
            <v>1688.854</v>
          </cell>
          <cell r="AI626">
            <v>9055.1119999999992</v>
          </cell>
          <cell r="AJ626">
            <v>401.3</v>
          </cell>
          <cell r="AK626">
            <v>0</v>
          </cell>
          <cell r="AL626">
            <v>387.30499999999995</v>
          </cell>
          <cell r="AM626">
            <v>2253.451</v>
          </cell>
          <cell r="AN626">
            <v>419.48</v>
          </cell>
          <cell r="AO626">
            <v>0</v>
          </cell>
          <cell r="AP626">
            <v>199.12</v>
          </cell>
          <cell r="AQ626">
            <v>1508.415</v>
          </cell>
          <cell r="AR626">
            <v>7195.6660000000002</v>
          </cell>
          <cell r="AS626">
            <v>425.2</v>
          </cell>
          <cell r="AT626">
            <v>220.79900000000001</v>
          </cell>
          <cell r="AU626">
            <v>942.79099999999994</v>
          </cell>
          <cell r="AV626">
            <v>722.26900000000001</v>
          </cell>
          <cell r="AW626">
            <v>1019.4450000000001</v>
          </cell>
          <cell r="AX626">
            <v>0</v>
          </cell>
          <cell r="AY626">
            <v>166.37</v>
          </cell>
          <cell r="AZ626">
            <v>1499.5550000000001</v>
          </cell>
          <cell r="BA626">
            <v>6019.576</v>
          </cell>
          <cell r="BB626">
            <v>419.8</v>
          </cell>
          <cell r="BC626">
            <v>366.55899999999997</v>
          </cell>
          <cell r="BD626">
            <v>764.92600000000004</v>
          </cell>
          <cell r="BE626">
            <v>6.9610000000000003</v>
          </cell>
          <cell r="BF626">
            <v>2519.4450000000002</v>
          </cell>
          <cell r="BG626">
            <v>0</v>
          </cell>
          <cell r="BH626">
            <v>140.16999999999999</v>
          </cell>
          <cell r="BI626">
            <v>1590.37</v>
          </cell>
          <cell r="BJ626">
            <v>4703.6290000000008</v>
          </cell>
          <cell r="BK626">
            <v>541.20000000000005</v>
          </cell>
          <cell r="BL626">
            <v>465.47</v>
          </cell>
          <cell r="BM626">
            <v>357.03699999999998</v>
          </cell>
          <cell r="BN626">
            <v>986.03800000000001</v>
          </cell>
          <cell r="BO626">
            <v>5534.4449999999997</v>
          </cell>
          <cell r="BP626">
            <v>0</v>
          </cell>
          <cell r="BQ626">
            <v>37.99</v>
          </cell>
          <cell r="BR626">
            <v>2039.8776</v>
          </cell>
          <cell r="BS626">
            <v>3700.634</v>
          </cell>
          <cell r="BT626">
            <v>677</v>
          </cell>
          <cell r="BU626">
            <v>562.13900000000001</v>
          </cell>
          <cell r="BV626">
            <v>169.65100000000001</v>
          </cell>
          <cell r="BW626">
            <v>3997.3940000000002</v>
          </cell>
          <cell r="BX626">
            <v>49.3</v>
          </cell>
          <cell r="BY626">
            <v>0</v>
          </cell>
          <cell r="BZ626">
            <v>107.42</v>
          </cell>
          <cell r="CA626">
            <v>1707.8417999999999</v>
          </cell>
          <cell r="CB626">
            <v>3070.7240000000002</v>
          </cell>
          <cell r="CC626">
            <v>913</v>
          </cell>
          <cell r="CD626">
            <v>413.70400000000001</v>
          </cell>
          <cell r="CE626">
            <v>1067.9670000000001</v>
          </cell>
          <cell r="CF626">
            <v>1577.1779999999999</v>
          </cell>
          <cell r="CG626">
            <v>3019.48</v>
          </cell>
          <cell r="CH626">
            <v>0</v>
          </cell>
          <cell r="CI626">
            <v>233.18</v>
          </cell>
          <cell r="CJ626">
            <v>1902.5786000000003</v>
          </cell>
          <cell r="CK626">
            <v>5172.63</v>
          </cell>
          <cell r="CL626">
            <v>1117</v>
          </cell>
          <cell r="CM626">
            <v>508.57399999999996</v>
          </cell>
          <cell r="CN626">
            <v>2480.9110000000001</v>
          </cell>
          <cell r="CO626">
            <v>1237.95</v>
          </cell>
          <cell r="CP626">
            <v>6419.48</v>
          </cell>
          <cell r="CQ626">
            <v>0</v>
          </cell>
          <cell r="CR626">
            <v>241.04</v>
          </cell>
          <cell r="CS626">
            <v>2113.6327999999999</v>
          </cell>
          <cell r="CT626">
            <v>7230.0109999999995</v>
          </cell>
          <cell r="CU626">
            <v>1143</v>
          </cell>
          <cell r="CV626">
            <v>340.40899999999999</v>
          </cell>
          <cell r="CW626">
            <v>1635.9270000000001</v>
          </cell>
          <cell r="CX626">
            <v>1435.6</v>
          </cell>
          <cell r="CY626">
            <v>6419.48</v>
          </cell>
          <cell r="CZ626">
            <v>0</v>
          </cell>
          <cell r="DA626">
            <v>201.74</v>
          </cell>
          <cell r="DB626">
            <v>2109.2028</v>
          </cell>
          <cell r="DC626">
            <v>6444.6779999999999</v>
          </cell>
          <cell r="DD626">
            <v>1273</v>
          </cell>
          <cell r="DE626">
            <v>526.30200000000002</v>
          </cell>
          <cell r="DF626">
            <v>1212.577</v>
          </cell>
          <cell r="DG626">
            <v>5682.6809999999996</v>
          </cell>
          <cell r="DH626">
            <v>6459.62</v>
          </cell>
          <cell r="DI626">
            <v>0</v>
          </cell>
          <cell r="DJ626">
            <v>179.47</v>
          </cell>
          <cell r="DK626">
            <v>2435.0097000000001</v>
          </cell>
          <cell r="DL626">
            <v>5898.4079999999994</v>
          </cell>
          <cell r="DM626">
            <v>1103</v>
          </cell>
          <cell r="DN626">
            <v>528.65100000000007</v>
          </cell>
          <cell r="DO626">
            <v>676.03800000000001</v>
          </cell>
          <cell r="DP626">
            <v>6091.049</v>
          </cell>
          <cell r="DQ626">
            <v>3539.0880000000002</v>
          </cell>
          <cell r="DR626">
            <v>0</v>
          </cell>
          <cell r="DS626">
            <v>276.41000000000003</v>
          </cell>
          <cell r="DT626">
            <v>1918.306</v>
          </cell>
          <cell r="DU626">
            <v>5850.0049999999992</v>
          </cell>
          <cell r="DV626">
            <v>944</v>
          </cell>
          <cell r="DW626">
            <v>675.23</v>
          </cell>
          <cell r="DX626">
            <v>3048.6019999999999</v>
          </cell>
          <cell r="DY626">
            <v>2035.7449999999999</v>
          </cell>
          <cell r="DZ626">
            <v>19.48</v>
          </cell>
          <cell r="EA626">
            <v>0</v>
          </cell>
          <cell r="EB626">
            <v>220.74</v>
          </cell>
          <cell r="EC626">
            <v>2348.6876600000001</v>
          </cell>
          <cell r="ED626">
            <v>4663.1850000000004</v>
          </cell>
          <cell r="EE626">
            <v>670.5</v>
          </cell>
          <cell r="EF626">
            <v>737.49199999999996</v>
          </cell>
          <cell r="EG626">
            <v>3862.4690000000001</v>
          </cell>
          <cell r="EH626">
            <v>602.90200000000004</v>
          </cell>
          <cell r="EI626">
            <v>5352.0460000000003</v>
          </cell>
          <cell r="EJ626">
            <v>0</v>
          </cell>
          <cell r="EK626">
            <v>193.23</v>
          </cell>
          <cell r="EL626">
            <v>2164.5073600000001</v>
          </cell>
          <cell r="EM626">
            <v>4281.96</v>
          </cell>
          <cell r="EN626">
            <v>826</v>
          </cell>
          <cell r="EO626">
            <v>476.30900000000003</v>
          </cell>
          <cell r="EP626">
            <v>3404.5660000000003</v>
          </cell>
          <cell r="EQ626">
            <v>1990.2180000000001</v>
          </cell>
          <cell r="ER626">
            <v>5339.0459999999994</v>
          </cell>
          <cell r="ES626">
            <v>0</v>
          </cell>
        </row>
        <row r="627">
          <cell r="A627" t="str">
            <v>SPLIT FATTY ACIDS</v>
          </cell>
        </row>
        <row r="628">
          <cell r="A628">
            <v>18</v>
          </cell>
          <cell r="B628" t="str">
            <v>SRM</v>
          </cell>
          <cell r="C628" t="str">
            <v>FM</v>
          </cell>
          <cell r="D628" t="str">
            <v>SCPKO</v>
          </cell>
          <cell r="E628" t="str">
            <v>SCPKO</v>
          </cell>
          <cell r="F628">
            <v>57.095999999999997</v>
          </cell>
          <cell r="G628">
            <v>272.33999999999997</v>
          </cell>
          <cell r="H628">
            <v>318.18</v>
          </cell>
          <cell r="I628">
            <v>562.70000000000005</v>
          </cell>
          <cell r="K628">
            <v>568.52</v>
          </cell>
          <cell r="M628">
            <v>133.99</v>
          </cell>
          <cell r="O628">
            <v>34.008000000000003</v>
          </cell>
          <cell r="P628">
            <v>354.96</v>
          </cell>
          <cell r="Q628">
            <v>198.46</v>
          </cell>
          <cell r="R628">
            <v>319.7</v>
          </cell>
          <cell r="T628">
            <v>854.53</v>
          </cell>
          <cell r="V628">
            <v>847.51</v>
          </cell>
          <cell r="Y628">
            <v>15.3</v>
          </cell>
          <cell r="Z628">
            <v>0.53</v>
          </cell>
          <cell r="AA628">
            <v>162.6</v>
          </cell>
          <cell r="AC628">
            <v>1246.99</v>
          </cell>
          <cell r="AE628">
            <v>982.71</v>
          </cell>
          <cell r="AH628">
            <v>94.86</v>
          </cell>
          <cell r="AJ628">
            <v>529.83000000000004</v>
          </cell>
          <cell r="AL628">
            <v>1752.23</v>
          </cell>
          <cell r="AN628">
            <v>640.93000000000006</v>
          </cell>
          <cell r="AQ628">
            <v>263.16000000000003</v>
          </cell>
          <cell r="AR628">
            <v>0.53</v>
          </cell>
          <cell r="AS628">
            <v>210</v>
          </cell>
          <cell r="AU628">
            <v>611.41499999999996</v>
          </cell>
          <cell r="AW628">
            <v>758.49</v>
          </cell>
          <cell r="AZ628">
            <v>232.56</v>
          </cell>
          <cell r="BA628">
            <v>0.53</v>
          </cell>
          <cell r="BB628">
            <v>148</v>
          </cell>
          <cell r="BD628">
            <v>113</v>
          </cell>
          <cell r="BF628">
            <v>381.39</v>
          </cell>
          <cell r="BI628">
            <v>134.63999999999999</v>
          </cell>
          <cell r="BJ628">
            <v>0.53</v>
          </cell>
          <cell r="BK628">
            <v>25.6</v>
          </cell>
          <cell r="BM628">
            <v>113</v>
          </cell>
          <cell r="BS628">
            <v>0.53</v>
          </cell>
          <cell r="BT628">
            <v>25.6</v>
          </cell>
          <cell r="BV628">
            <v>113</v>
          </cell>
          <cell r="CB628">
            <v>0.53</v>
          </cell>
          <cell r="CC628">
            <v>647.1</v>
          </cell>
          <cell r="CE628">
            <v>574.19100000000003</v>
          </cell>
          <cell r="CG628">
            <v>883.69</v>
          </cell>
          <cell r="CK628">
            <v>0.53</v>
          </cell>
          <cell r="CL628">
            <v>486</v>
          </cell>
          <cell r="CN628">
            <v>163.43</v>
          </cell>
          <cell r="CT628">
            <v>0.53</v>
          </cell>
          <cell r="CU628">
            <v>87.7</v>
          </cell>
          <cell r="CW628">
            <v>455.536</v>
          </cell>
          <cell r="CY628">
            <v>407.83</v>
          </cell>
          <cell r="DB628">
            <v>39.78</v>
          </cell>
          <cell r="DC628">
            <v>0.53</v>
          </cell>
          <cell r="DD628">
            <v>327</v>
          </cell>
          <cell r="DF628">
            <v>443.52</v>
          </cell>
          <cell r="DH628">
            <v>837.94</v>
          </cell>
          <cell r="DK628">
            <v>16.564499999999999</v>
          </cell>
          <cell r="DL628">
            <v>0.53</v>
          </cell>
          <cell r="DM628">
            <v>124.2</v>
          </cell>
          <cell r="DO628">
            <v>956.87199999999996</v>
          </cell>
          <cell r="DQ628">
            <v>436.91</v>
          </cell>
          <cell r="DT628">
            <v>311.41260000000005</v>
          </cell>
          <cell r="DV628">
            <v>480.5</v>
          </cell>
          <cell r="DX628">
            <v>1656.229</v>
          </cell>
          <cell r="DZ628">
            <v>65.36</v>
          </cell>
          <cell r="EC628">
            <v>311.41260000000005</v>
          </cell>
          <cell r="EE628">
            <v>606.6</v>
          </cell>
          <cell r="EG628">
            <v>2111.0619999999999</v>
          </cell>
          <cell r="EL628">
            <v>309.20400000000001</v>
          </cell>
          <cell r="EN628">
            <v>825.8</v>
          </cell>
          <cell r="EP628">
            <v>3013.6930000000002</v>
          </cell>
        </row>
        <row r="629">
          <cell r="A629">
            <v>19</v>
          </cell>
          <cell r="B629" t="str">
            <v>SRM</v>
          </cell>
          <cell r="C629" t="str">
            <v>FM</v>
          </cell>
          <cell r="D629" t="str">
            <v>SCNO</v>
          </cell>
          <cell r="E629" t="str">
            <v>SCNO</v>
          </cell>
          <cell r="AN629">
            <v>15</v>
          </cell>
        </row>
        <row r="630">
          <cell r="A630">
            <v>20</v>
          </cell>
          <cell r="B630" t="str">
            <v>SRM</v>
          </cell>
          <cell r="C630" t="str">
            <v>FM</v>
          </cell>
          <cell r="D630" t="str">
            <v>SCPKO-HLL</v>
          </cell>
          <cell r="E630" t="str">
            <v>SCPKO-HLL</v>
          </cell>
          <cell r="K630">
            <v>467.61</v>
          </cell>
          <cell r="T630">
            <v>467.61</v>
          </cell>
          <cell r="AC630">
            <v>467.61</v>
          </cell>
          <cell r="AL630">
            <v>231.61</v>
          </cell>
          <cell r="AU630">
            <v>231.61</v>
          </cell>
          <cell r="BD630">
            <v>231.61</v>
          </cell>
          <cell r="BM630">
            <v>120.92</v>
          </cell>
          <cell r="BV630">
            <v>120.92</v>
          </cell>
          <cell r="CE630">
            <v>120.92</v>
          </cell>
          <cell r="CN630">
            <v>992.53399999999999</v>
          </cell>
          <cell r="CW630">
            <v>899.274</v>
          </cell>
          <cell r="DF630">
            <v>855.45399999999995</v>
          </cell>
          <cell r="DO630">
            <v>855.45399999999995</v>
          </cell>
          <cell r="DX630">
            <v>855.45399999999995</v>
          </cell>
          <cell r="EG630">
            <v>855.45399999999995</v>
          </cell>
          <cell r="EP630">
            <v>797.774</v>
          </cell>
        </row>
        <row r="631">
          <cell r="A631">
            <v>21</v>
          </cell>
          <cell r="B631" t="str">
            <v>SRM</v>
          </cell>
          <cell r="C631" t="str">
            <v>FM</v>
          </cell>
          <cell r="D631" t="str">
            <v>SPKFAD</v>
          </cell>
          <cell r="E631" t="str">
            <v>SPKFAD</v>
          </cell>
          <cell r="EK631">
            <v>86.4</v>
          </cell>
        </row>
        <row r="632">
          <cell r="A632">
            <v>22</v>
          </cell>
          <cell r="B632" t="str">
            <v>SRM</v>
          </cell>
          <cell r="C632" t="str">
            <v>FM</v>
          </cell>
          <cell r="D632" t="str">
            <v>SCPS</v>
          </cell>
          <cell r="E632" t="str">
            <v>SCPS</v>
          </cell>
        </row>
        <row r="633">
          <cell r="A633">
            <v>23</v>
          </cell>
          <cell r="B633" t="str">
            <v>SRM</v>
          </cell>
          <cell r="C633" t="str">
            <v>FM</v>
          </cell>
          <cell r="D633" t="str">
            <v>SRBDPS</v>
          </cell>
          <cell r="E633" t="str">
            <v>SRBDPS</v>
          </cell>
          <cell r="G633">
            <v>307.64519999999999</v>
          </cell>
          <cell r="P633">
            <v>308.74520000000001</v>
          </cell>
          <cell r="AG633">
            <v>82.08</v>
          </cell>
          <cell r="AR633">
            <v>492.77</v>
          </cell>
          <cell r="AY633">
            <v>259.065</v>
          </cell>
          <cell r="BH633">
            <v>133.38</v>
          </cell>
          <cell r="BQ633">
            <v>157.32</v>
          </cell>
          <cell r="BZ633">
            <v>482.22</v>
          </cell>
          <cell r="CI633">
            <v>217.17</v>
          </cell>
          <cell r="CR633">
            <v>215.46</v>
          </cell>
          <cell r="DA633">
            <v>215.46</v>
          </cell>
          <cell r="DJ633">
            <v>215.46</v>
          </cell>
        </row>
        <row r="634">
          <cell r="A634">
            <v>24</v>
          </cell>
          <cell r="B634" t="str">
            <v>SRM</v>
          </cell>
          <cell r="C634" t="str">
            <v>FM</v>
          </cell>
          <cell r="D634" t="str">
            <v>SCPO</v>
          </cell>
          <cell r="E634" t="str">
            <v>SCPO</v>
          </cell>
          <cell r="K634">
            <v>0.48899999999999999</v>
          </cell>
          <cell r="T634">
            <v>0.48899999999999999</v>
          </cell>
          <cell r="AC634">
            <v>0.48899999999999999</v>
          </cell>
          <cell r="AL634">
            <v>0.48899999999999999</v>
          </cell>
          <cell r="AU634">
            <v>0.48899999999999999</v>
          </cell>
          <cell r="BD634">
            <v>0.48899999999999999</v>
          </cell>
          <cell r="BM634">
            <v>0.48899999999999999</v>
          </cell>
          <cell r="BV634">
            <v>0.48899999999999999</v>
          </cell>
          <cell r="CE634">
            <v>0.48899999999999999</v>
          </cell>
          <cell r="CN634">
            <v>0.48899999999999999</v>
          </cell>
          <cell r="CW634">
            <v>0.48899999999999999</v>
          </cell>
          <cell r="DF634">
            <v>0.48899999999999999</v>
          </cell>
          <cell r="DO634">
            <v>0.48899999999999999</v>
          </cell>
          <cell r="DX634">
            <v>0.48899999999999999</v>
          </cell>
          <cell r="EG634">
            <v>0.48899999999999999</v>
          </cell>
          <cell r="EP634">
            <v>0.48899999999999999</v>
          </cell>
        </row>
        <row r="635">
          <cell r="A635">
            <v>25</v>
          </cell>
          <cell r="B635" t="str">
            <v>SRM</v>
          </cell>
          <cell r="C635" t="str">
            <v>FM</v>
          </cell>
          <cell r="D635" t="str">
            <v>SPFAD</v>
          </cell>
          <cell r="E635" t="str">
            <v>SPFAD</v>
          </cell>
          <cell r="F635">
            <v>217.2</v>
          </cell>
          <cell r="G635">
            <v>76.196700000000007</v>
          </cell>
          <cell r="H635">
            <v>408.98</v>
          </cell>
          <cell r="I635">
            <v>294.2</v>
          </cell>
          <cell r="O635">
            <v>388.8</v>
          </cell>
          <cell r="Q635">
            <v>349.2</v>
          </cell>
          <cell r="R635">
            <v>658.7</v>
          </cell>
          <cell r="X635">
            <v>370.8</v>
          </cell>
          <cell r="Z635">
            <v>349.2</v>
          </cell>
          <cell r="AA635">
            <v>518.6</v>
          </cell>
          <cell r="AG635">
            <v>430.8</v>
          </cell>
          <cell r="AI635">
            <v>524.91</v>
          </cell>
          <cell r="AJ635">
            <v>472.3</v>
          </cell>
          <cell r="AP635">
            <v>493.2</v>
          </cell>
          <cell r="AR635">
            <v>385.19</v>
          </cell>
          <cell r="AS635">
            <v>161</v>
          </cell>
          <cell r="AW635">
            <v>30</v>
          </cell>
          <cell r="AY635">
            <v>168</v>
          </cell>
          <cell r="BA635">
            <v>144.4</v>
          </cell>
          <cell r="BB635">
            <v>472.5</v>
          </cell>
          <cell r="BH635">
            <v>430.8</v>
          </cell>
          <cell r="BJ635">
            <v>96.95</v>
          </cell>
          <cell r="BK635">
            <v>482.2</v>
          </cell>
          <cell r="BO635">
            <v>62</v>
          </cell>
          <cell r="BQ635">
            <v>124.8</v>
          </cell>
          <cell r="BS635">
            <v>574.42999999999995</v>
          </cell>
          <cell r="BT635">
            <v>255</v>
          </cell>
          <cell r="BX635">
            <v>176.78</v>
          </cell>
          <cell r="BZ635">
            <v>176.4</v>
          </cell>
          <cell r="CB635">
            <v>366.06</v>
          </cell>
          <cell r="CC635">
            <v>270.60000000000002</v>
          </cell>
          <cell r="CI635">
            <v>258</v>
          </cell>
          <cell r="CK635">
            <v>425.44</v>
          </cell>
          <cell r="CL635">
            <v>597.6</v>
          </cell>
          <cell r="CR635">
            <v>387.4</v>
          </cell>
          <cell r="CT635">
            <v>425.44</v>
          </cell>
          <cell r="CU635">
            <v>597.6</v>
          </cell>
          <cell r="DA635">
            <v>427.9</v>
          </cell>
          <cell r="DC635">
            <v>425.44</v>
          </cell>
          <cell r="DD635">
            <v>597.6</v>
          </cell>
          <cell r="DJ635">
            <v>176.4</v>
          </cell>
          <cell r="DL635">
            <v>425.44</v>
          </cell>
          <cell r="DM635">
            <v>667.9</v>
          </cell>
          <cell r="DS635">
            <v>70.8</v>
          </cell>
          <cell r="DU635">
            <v>425.44</v>
          </cell>
          <cell r="DV635">
            <v>511.7</v>
          </cell>
          <cell r="EB635">
            <v>497.6</v>
          </cell>
          <cell r="ED635">
            <v>927.3</v>
          </cell>
          <cell r="EE635">
            <v>145</v>
          </cell>
          <cell r="EK635">
            <v>159.6</v>
          </cell>
          <cell r="EM635">
            <v>927.3</v>
          </cell>
          <cell r="EN635">
            <v>0.9</v>
          </cell>
          <cell r="ER635">
            <v>46.37</v>
          </cell>
        </row>
        <row r="636">
          <cell r="A636">
            <v>26</v>
          </cell>
          <cell r="B636" t="str">
            <v>SRM</v>
          </cell>
          <cell r="C636" t="str">
            <v>FM</v>
          </cell>
          <cell r="D636" t="str">
            <v>SCPS-HLL</v>
          </cell>
          <cell r="E636" t="str">
            <v>SCPS-HLL</v>
          </cell>
        </row>
        <row r="637">
          <cell r="A637">
            <v>27</v>
          </cell>
          <cell r="B637" t="str">
            <v>SRM</v>
          </cell>
          <cell r="C637" t="str">
            <v>FM</v>
          </cell>
          <cell r="D637" t="str">
            <v>SMUSTARD OIL</v>
          </cell>
          <cell r="E637" t="str">
            <v>SMUSTARD OIL</v>
          </cell>
          <cell r="EB637">
            <v>54.72</v>
          </cell>
          <cell r="EG637">
            <v>116.16800000000001</v>
          </cell>
          <cell r="EK637">
            <v>111.15</v>
          </cell>
          <cell r="EN637">
            <v>76.5</v>
          </cell>
          <cell r="EP637">
            <v>209.16800000000001</v>
          </cell>
          <cell r="ER637">
            <v>361.03999999999996</v>
          </cell>
        </row>
        <row r="638">
          <cell r="A638">
            <v>28</v>
          </cell>
          <cell r="B638" t="str">
            <v>SRM</v>
          </cell>
          <cell r="C638" t="str">
            <v>FM</v>
          </cell>
          <cell r="D638" t="str">
            <v>SMUSTARD OIL-EXPELLER</v>
          </cell>
          <cell r="E638" t="str">
            <v>SMUSTARD OIL-EXPELLER</v>
          </cell>
          <cell r="I638">
            <v>373.78</v>
          </cell>
          <cell r="K638">
            <v>90.191999999999993</v>
          </cell>
          <cell r="M638">
            <v>95.54</v>
          </cell>
          <cell r="R638">
            <v>316.3</v>
          </cell>
          <cell r="T638">
            <v>3.0619999999999998</v>
          </cell>
          <cell r="V638">
            <v>125.28</v>
          </cell>
          <cell r="AC638">
            <v>3.0619999999999998</v>
          </cell>
          <cell r="AL638">
            <v>3.0619999999999998</v>
          </cell>
          <cell r="AU638">
            <v>3.0619999999999998</v>
          </cell>
          <cell r="BD638">
            <v>3.0619999999999998</v>
          </cell>
          <cell r="BM638">
            <v>3.0619999999999998</v>
          </cell>
          <cell r="BV638">
            <v>3.0619999999999998</v>
          </cell>
          <cell r="CE638">
            <v>3.0619999999999998</v>
          </cell>
          <cell r="CN638">
            <v>3.0619999999999998</v>
          </cell>
          <cell r="CW638">
            <v>3.0619999999999998</v>
          </cell>
          <cell r="DF638">
            <v>3.0619999999999998</v>
          </cell>
          <cell r="DO638">
            <v>3.0619999999999998</v>
          </cell>
          <cell r="DX638">
            <v>3.0619999999999998</v>
          </cell>
        </row>
        <row r="639">
          <cell r="D639" t="str">
            <v>SRM TOTAL</v>
          </cell>
          <cell r="E639" t="str">
            <v>SRM TOTAL</v>
          </cell>
          <cell r="F639">
            <v>274.29599999999999</v>
          </cell>
          <cell r="G639">
            <v>656.18189999999993</v>
          </cell>
          <cell r="H639">
            <v>727.16000000000008</v>
          </cell>
          <cell r="I639">
            <v>1230.68</v>
          </cell>
          <cell r="J639">
            <v>0</v>
          </cell>
          <cell r="K639">
            <v>1126.8110000000001</v>
          </cell>
          <cell r="L639">
            <v>0</v>
          </cell>
          <cell r="M639">
            <v>229.53000000000003</v>
          </cell>
          <cell r="N639">
            <v>0</v>
          </cell>
          <cell r="O639">
            <v>422.80799999999999</v>
          </cell>
          <cell r="P639">
            <v>663.70519999999999</v>
          </cell>
          <cell r="Q639">
            <v>547.66</v>
          </cell>
          <cell r="R639">
            <v>1294.7</v>
          </cell>
          <cell r="S639">
            <v>0</v>
          </cell>
          <cell r="T639">
            <v>1325.6909999999998</v>
          </cell>
          <cell r="U639">
            <v>0</v>
          </cell>
          <cell r="V639">
            <v>972.79</v>
          </cell>
          <cell r="W639">
            <v>0</v>
          </cell>
          <cell r="X639">
            <v>370.8</v>
          </cell>
          <cell r="Y639">
            <v>15.3</v>
          </cell>
          <cell r="Z639">
            <v>349.72999999999996</v>
          </cell>
          <cell r="AA639">
            <v>681.2</v>
          </cell>
          <cell r="AB639">
            <v>0</v>
          </cell>
          <cell r="AC639">
            <v>1718.1509999999998</v>
          </cell>
          <cell r="AD639">
            <v>0</v>
          </cell>
          <cell r="AE639">
            <v>982.71</v>
          </cell>
          <cell r="AF639">
            <v>0</v>
          </cell>
          <cell r="AG639">
            <v>512.88</v>
          </cell>
          <cell r="AH639">
            <v>94.86</v>
          </cell>
          <cell r="AI639">
            <v>524.91</v>
          </cell>
          <cell r="AJ639">
            <v>1002.1300000000001</v>
          </cell>
          <cell r="AK639">
            <v>0</v>
          </cell>
          <cell r="AL639">
            <v>1987.3910000000001</v>
          </cell>
          <cell r="AM639">
            <v>0</v>
          </cell>
          <cell r="AN639">
            <v>655.93000000000006</v>
          </cell>
          <cell r="AO639">
            <v>0</v>
          </cell>
          <cell r="AP639">
            <v>493.2</v>
          </cell>
          <cell r="AQ639">
            <v>263.16000000000003</v>
          </cell>
          <cell r="AR639">
            <v>878.49</v>
          </cell>
          <cell r="AS639">
            <v>371</v>
          </cell>
          <cell r="AT639">
            <v>0</v>
          </cell>
          <cell r="AU639">
            <v>846.57600000000002</v>
          </cell>
          <cell r="AV639">
            <v>0</v>
          </cell>
          <cell r="AW639">
            <v>788.49</v>
          </cell>
          <cell r="AX639">
            <v>0</v>
          </cell>
          <cell r="AY639">
            <v>427.065</v>
          </cell>
          <cell r="AZ639">
            <v>232.56</v>
          </cell>
          <cell r="BA639">
            <v>144.93</v>
          </cell>
          <cell r="BB639">
            <v>620.5</v>
          </cell>
          <cell r="BC639">
            <v>0</v>
          </cell>
          <cell r="BD639">
            <v>348.161</v>
          </cell>
          <cell r="BE639">
            <v>0</v>
          </cell>
          <cell r="BF639">
            <v>381.39</v>
          </cell>
          <cell r="BG639">
            <v>0</v>
          </cell>
          <cell r="BH639">
            <v>564.18000000000006</v>
          </cell>
          <cell r="BI639">
            <v>134.63999999999999</v>
          </cell>
          <cell r="BJ639">
            <v>97.48</v>
          </cell>
          <cell r="BK639">
            <v>507.8</v>
          </cell>
          <cell r="BL639">
            <v>0</v>
          </cell>
          <cell r="BM639">
            <v>237.47100000000003</v>
          </cell>
          <cell r="BN639">
            <v>0</v>
          </cell>
          <cell r="BO639">
            <v>62</v>
          </cell>
          <cell r="BP639">
            <v>0</v>
          </cell>
          <cell r="BQ639">
            <v>282.12</v>
          </cell>
          <cell r="BR639">
            <v>0</v>
          </cell>
          <cell r="BS639">
            <v>574.95999999999992</v>
          </cell>
          <cell r="BT639">
            <v>280.60000000000002</v>
          </cell>
          <cell r="BU639">
            <v>0</v>
          </cell>
          <cell r="BV639">
            <v>237.47100000000003</v>
          </cell>
          <cell r="BW639">
            <v>0</v>
          </cell>
          <cell r="BX639">
            <v>176.78</v>
          </cell>
          <cell r="BY639">
            <v>0</v>
          </cell>
          <cell r="BZ639">
            <v>658.62</v>
          </cell>
          <cell r="CA639">
            <v>0</v>
          </cell>
          <cell r="CB639">
            <v>366.59</v>
          </cell>
          <cell r="CC639">
            <v>917.7</v>
          </cell>
          <cell r="CD639">
            <v>0</v>
          </cell>
          <cell r="CE639">
            <v>698.66200000000003</v>
          </cell>
          <cell r="CF639">
            <v>0</v>
          </cell>
          <cell r="CG639">
            <v>883.69</v>
          </cell>
          <cell r="CH639">
            <v>0</v>
          </cell>
          <cell r="CI639">
            <v>475.16999999999996</v>
          </cell>
          <cell r="CJ639">
            <v>0</v>
          </cell>
          <cell r="CK639">
            <v>425.96999999999997</v>
          </cell>
          <cell r="CL639">
            <v>1083.5999999999999</v>
          </cell>
          <cell r="CM639">
            <v>0</v>
          </cell>
          <cell r="CN639">
            <v>1159.5149999999999</v>
          </cell>
          <cell r="CO639">
            <v>0</v>
          </cell>
          <cell r="CP639">
            <v>0</v>
          </cell>
          <cell r="CQ639">
            <v>0</v>
          </cell>
          <cell r="CR639">
            <v>602.86</v>
          </cell>
          <cell r="CS639">
            <v>0</v>
          </cell>
          <cell r="CT639">
            <v>425.96999999999997</v>
          </cell>
          <cell r="CU639">
            <v>685.30000000000007</v>
          </cell>
          <cell r="CV639">
            <v>0</v>
          </cell>
          <cell r="CW639">
            <v>1358.3609999999999</v>
          </cell>
          <cell r="CX639">
            <v>0</v>
          </cell>
          <cell r="CY639">
            <v>407.83</v>
          </cell>
          <cell r="CZ639">
            <v>0</v>
          </cell>
          <cell r="DA639">
            <v>643.36</v>
          </cell>
          <cell r="DB639">
            <v>39.78</v>
          </cell>
          <cell r="DC639">
            <v>425.96999999999997</v>
          </cell>
          <cell r="DD639">
            <v>924.6</v>
          </cell>
          <cell r="DE639">
            <v>0</v>
          </cell>
          <cell r="DF639">
            <v>1302.5249999999999</v>
          </cell>
          <cell r="DG639">
            <v>0</v>
          </cell>
          <cell r="DH639">
            <v>837.94</v>
          </cell>
          <cell r="DI639">
            <v>0</v>
          </cell>
          <cell r="DJ639">
            <v>391.86</v>
          </cell>
          <cell r="DK639">
            <v>16.564499999999999</v>
          </cell>
          <cell r="DL639">
            <v>425.96999999999997</v>
          </cell>
          <cell r="DM639">
            <v>792.1</v>
          </cell>
          <cell r="DN639">
            <v>0</v>
          </cell>
          <cell r="DO639">
            <v>1815.877</v>
          </cell>
          <cell r="DP639">
            <v>0</v>
          </cell>
          <cell r="DQ639">
            <v>436.91</v>
          </cell>
          <cell r="DR639">
            <v>0</v>
          </cell>
          <cell r="DS639">
            <v>70.8</v>
          </cell>
          <cell r="DT639">
            <v>311.41260000000005</v>
          </cell>
          <cell r="DU639">
            <v>425.44</v>
          </cell>
          <cell r="DV639">
            <v>992.2</v>
          </cell>
          <cell r="DW639">
            <v>0</v>
          </cell>
          <cell r="DX639">
            <v>2515.2339999999999</v>
          </cell>
          <cell r="DY639">
            <v>0</v>
          </cell>
          <cell r="DZ639">
            <v>65.36</v>
          </cell>
          <cell r="EA639">
            <v>0</v>
          </cell>
          <cell r="EB639">
            <v>552.32000000000005</v>
          </cell>
          <cell r="EC639">
            <v>311.41260000000005</v>
          </cell>
          <cell r="ED639">
            <v>927.3</v>
          </cell>
          <cell r="EE639">
            <v>751.6</v>
          </cell>
          <cell r="EF639">
            <v>0</v>
          </cell>
          <cell r="EG639">
            <v>3083.1729999999998</v>
          </cell>
          <cell r="EH639">
            <v>0</v>
          </cell>
          <cell r="EI639">
            <v>0</v>
          </cell>
          <cell r="EJ639">
            <v>0</v>
          </cell>
          <cell r="EK639">
            <v>357.15</v>
          </cell>
          <cell r="EL639">
            <v>309.20400000000001</v>
          </cell>
          <cell r="EM639">
            <v>927.3</v>
          </cell>
          <cell r="EN639">
            <v>903.19999999999993</v>
          </cell>
          <cell r="EO639">
            <v>0</v>
          </cell>
          <cell r="EP639">
            <v>4021.1240000000003</v>
          </cell>
          <cell r="EQ639">
            <v>0</v>
          </cell>
          <cell r="ER639">
            <v>407.40999999999997</v>
          </cell>
          <cell r="ES639">
            <v>0</v>
          </cell>
        </row>
        <row r="640">
          <cell r="A640" t="str">
            <v>IN-PROCESS FATTY ACIDS</v>
          </cell>
        </row>
        <row r="641">
          <cell r="A641">
            <v>29</v>
          </cell>
          <cell r="B641" t="str">
            <v>IPRM</v>
          </cell>
          <cell r="C641" t="str">
            <v>FM</v>
          </cell>
          <cell r="D641" t="str">
            <v>B/PSCPKO&gt;C14</v>
          </cell>
          <cell r="E641" t="str">
            <v xml:space="preserve">B/P PKO </v>
          </cell>
          <cell r="F641">
            <v>76.44</v>
          </cell>
          <cell r="O641">
            <v>62.712000000000003</v>
          </cell>
          <cell r="P641">
            <v>63.432000000000009</v>
          </cell>
          <cell r="R641">
            <v>84.6</v>
          </cell>
          <cell r="Y641">
            <v>252.61794000000003</v>
          </cell>
          <cell r="AA641">
            <v>58.9</v>
          </cell>
          <cell r="AE641">
            <v>14.67</v>
          </cell>
          <cell r="AH641">
            <v>117.34920000000001</v>
          </cell>
          <cell r="AQ641">
            <v>362.35530000000006</v>
          </cell>
          <cell r="AS641">
            <v>205</v>
          </cell>
          <cell r="AZ641">
            <v>307.64519999999999</v>
          </cell>
          <cell r="BB641">
            <v>229.9</v>
          </cell>
          <cell r="BF641">
            <v>53.14</v>
          </cell>
          <cell r="BI641">
            <v>273.7278</v>
          </cell>
          <cell r="BK641">
            <v>3.7</v>
          </cell>
          <cell r="CJ641">
            <v>490.01220000000001</v>
          </cell>
          <cell r="CL641">
            <v>123.2</v>
          </cell>
          <cell r="CS641">
            <v>380.59200000000004</v>
          </cell>
          <cell r="CU641">
            <v>25.8</v>
          </cell>
          <cell r="CY641">
            <v>35.79</v>
          </cell>
          <cell r="DB641">
            <v>277.51499999999999</v>
          </cell>
          <cell r="DD641">
            <v>136.1</v>
          </cell>
          <cell r="DH641">
            <v>49.78</v>
          </cell>
          <cell r="DK641">
            <v>371.0772</v>
          </cell>
          <cell r="DM641">
            <v>33.1</v>
          </cell>
          <cell r="DQ641">
            <v>68.91</v>
          </cell>
          <cell r="DT641">
            <v>621.63360000000011</v>
          </cell>
          <cell r="DV641">
            <v>145.30000000000001</v>
          </cell>
          <cell r="EC641">
            <v>375.83460000000002</v>
          </cell>
          <cell r="EL641">
            <v>375.83460000000002</v>
          </cell>
        </row>
        <row r="642">
          <cell r="A642">
            <v>30</v>
          </cell>
          <cell r="B642" t="str">
            <v>IPRM</v>
          </cell>
          <cell r="C642" t="str">
            <v>FM</v>
          </cell>
          <cell r="D642" t="str">
            <v>B/P CNO&gt;C14</v>
          </cell>
          <cell r="E642" t="str">
            <v>B/P CNO&gt;C14</v>
          </cell>
        </row>
        <row r="643">
          <cell r="A643">
            <v>31</v>
          </cell>
          <cell r="B643" t="str">
            <v>IPRM</v>
          </cell>
          <cell r="C643" t="str">
            <v>FM</v>
          </cell>
          <cell r="D643" t="str">
            <v>SB/PSCPKO&gt;C14</v>
          </cell>
          <cell r="E643" t="str">
            <v>S B/P PKO</v>
          </cell>
          <cell r="Y643">
            <v>6.3432000000000004</v>
          </cell>
          <cell r="AH643">
            <v>137.96460000000002</v>
          </cell>
          <cell r="AQ643">
            <v>14.272200000000002</v>
          </cell>
          <cell r="AZ643">
            <v>434.50920000000002</v>
          </cell>
          <cell r="BI643">
            <v>621.63360000000011</v>
          </cell>
          <cell r="BQ643">
            <v>40.247999999999998</v>
          </cell>
          <cell r="BR643">
            <v>386.93520000000001</v>
          </cell>
          <cell r="CA643">
            <v>217.25460000000001</v>
          </cell>
          <cell r="CJ643">
            <v>14.272200000000002</v>
          </cell>
          <cell r="CS643">
            <v>372.66300000000007</v>
          </cell>
          <cell r="DB643">
            <v>96.733800000000002</v>
          </cell>
          <cell r="DD643">
            <v>498.8</v>
          </cell>
          <cell r="DK643">
            <v>402.79320000000001</v>
          </cell>
          <cell r="DM643">
            <v>613.9</v>
          </cell>
          <cell r="DT643">
            <v>224.39070000000001</v>
          </cell>
          <cell r="DV643">
            <v>608.4</v>
          </cell>
          <cell r="EB643">
            <v>137.61000000000001</v>
          </cell>
          <cell r="EC643">
            <v>131.62140000000002</v>
          </cell>
        </row>
        <row r="644">
          <cell r="A644">
            <v>32</v>
          </cell>
          <cell r="B644" t="str">
            <v>IPRM</v>
          </cell>
          <cell r="C644" t="str">
            <v>FM</v>
          </cell>
          <cell r="D644" t="str">
            <v>B/PSCNO&gt;C14</v>
          </cell>
          <cell r="E644" t="str">
            <v>S B/P CNO</v>
          </cell>
        </row>
        <row r="645">
          <cell r="A645">
            <v>33</v>
          </cell>
          <cell r="B645" t="str">
            <v>IPRM</v>
          </cell>
          <cell r="C645" t="str">
            <v>SM</v>
          </cell>
          <cell r="D645" t="str">
            <v>B/PSCPKO&gt;C16</v>
          </cell>
          <cell r="E645" t="str">
            <v>B/P&gt;C16 - OLEIC K</v>
          </cell>
          <cell r="DV645">
            <v>67.400000000000006</v>
          </cell>
        </row>
        <row r="646">
          <cell r="A646">
            <v>34</v>
          </cell>
          <cell r="B646" t="str">
            <v>IPRM</v>
          </cell>
          <cell r="C646" t="str">
            <v>SM</v>
          </cell>
          <cell r="D646" t="str">
            <v>HYD C16/C18 FOR DTP-7</v>
          </cell>
          <cell r="E646" t="str">
            <v>HYD C16/C18 FOR DTP-7</v>
          </cell>
        </row>
        <row r="647">
          <cell r="A647">
            <v>35</v>
          </cell>
          <cell r="B647" t="str">
            <v>IPRM</v>
          </cell>
          <cell r="C647" t="str">
            <v>NM</v>
          </cell>
          <cell r="D647" t="str">
            <v>L/E PKO(C6-C8)-C6@65%</v>
          </cell>
          <cell r="E647" t="str">
            <v>C6&gt;50%</v>
          </cell>
        </row>
        <row r="648">
          <cell r="A648">
            <v>36</v>
          </cell>
          <cell r="B648" t="str">
            <v>IPRM</v>
          </cell>
          <cell r="C648" t="str">
            <v>FM</v>
          </cell>
          <cell r="D648" t="str">
            <v>L/E PKO(C6-C12)</v>
          </cell>
          <cell r="E648" t="str">
            <v>TALOJA</v>
          </cell>
          <cell r="F648">
            <v>15.5855</v>
          </cell>
          <cell r="I648">
            <v>142.19999999999999</v>
          </cell>
          <cell r="O648">
            <v>22.7395</v>
          </cell>
          <cell r="P648">
            <v>299.09729999999996</v>
          </cell>
          <cell r="Y648">
            <v>551.17379999999991</v>
          </cell>
          <cell r="AP648">
            <v>4.8544999999999998</v>
          </cell>
          <cell r="AZ648">
            <v>530.03189999999995</v>
          </cell>
          <cell r="BB648">
            <v>70</v>
          </cell>
          <cell r="BI648">
            <v>424.32239999999996</v>
          </cell>
          <cell r="BQ648">
            <v>4.8099999999999996</v>
          </cell>
          <cell r="BR648">
            <v>442.21170000000001</v>
          </cell>
          <cell r="CA648">
            <v>453.5958</v>
          </cell>
          <cell r="CI648">
            <v>21</v>
          </cell>
          <cell r="DB648">
            <v>88.095060000000004</v>
          </cell>
          <cell r="DK648">
            <v>268.86816000000005</v>
          </cell>
          <cell r="DS648">
            <v>21.92</v>
          </cell>
          <cell r="DT648">
            <v>165.32676000000001</v>
          </cell>
          <cell r="DZ648">
            <v>13.9</v>
          </cell>
        </row>
        <row r="649">
          <cell r="A649">
            <v>37</v>
          </cell>
          <cell r="B649" t="str">
            <v>IPRM</v>
          </cell>
          <cell r="C649" t="str">
            <v>FM</v>
          </cell>
          <cell r="D649" t="str">
            <v>HYD.L/EPKO(C6-C12)</v>
          </cell>
          <cell r="E649" t="str">
            <v>H L/E PKO</v>
          </cell>
          <cell r="G649">
            <v>183.17500000000001</v>
          </cell>
          <cell r="H649">
            <v>678.31</v>
          </cell>
          <cell r="P649">
            <v>182.32499999999999</v>
          </cell>
          <cell r="Q649">
            <v>678.31</v>
          </cell>
          <cell r="Y649">
            <v>187.85</v>
          </cell>
          <cell r="Z649">
            <v>678.31</v>
          </cell>
          <cell r="AG649">
            <v>93.872</v>
          </cell>
          <cell r="AH649">
            <v>187.85</v>
          </cell>
          <cell r="AI649">
            <v>678.31</v>
          </cell>
          <cell r="AR649">
            <v>678.31</v>
          </cell>
          <cell r="BA649">
            <v>678.31</v>
          </cell>
          <cell r="BH649">
            <v>57.42</v>
          </cell>
          <cell r="BI649">
            <v>280.07499999999999</v>
          </cell>
          <cell r="BJ649">
            <v>678.31</v>
          </cell>
          <cell r="BS649">
            <v>678.31</v>
          </cell>
          <cell r="CB649">
            <v>678.31</v>
          </cell>
          <cell r="CI649">
            <v>122.9</v>
          </cell>
          <cell r="CK649">
            <v>587.84</v>
          </cell>
          <cell r="CS649">
            <v>153</v>
          </cell>
          <cell r="CT649">
            <v>587.84</v>
          </cell>
          <cell r="DB649">
            <v>152.15</v>
          </cell>
          <cell r="DC649">
            <v>587.84</v>
          </cell>
          <cell r="DK649">
            <v>151.72499999999999</v>
          </cell>
          <cell r="DL649">
            <v>587.84</v>
          </cell>
          <cell r="DS649">
            <v>59.688000000000002</v>
          </cell>
          <cell r="DT649">
            <v>155.55000000000001</v>
          </cell>
          <cell r="DU649">
            <v>587.84</v>
          </cell>
          <cell r="ED649">
            <v>587.84</v>
          </cell>
          <cell r="EK649">
            <v>101.4</v>
          </cell>
          <cell r="EL649">
            <v>100.3</v>
          </cell>
          <cell r="EM649">
            <v>381.61</v>
          </cell>
        </row>
        <row r="650">
          <cell r="A650">
            <v>38</v>
          </cell>
          <cell r="B650" t="str">
            <v>IPRM</v>
          </cell>
          <cell r="C650" t="str">
            <v>FM</v>
          </cell>
          <cell r="D650" t="str">
            <v>L/E PKO(C8-C12)</v>
          </cell>
          <cell r="E650" t="str">
            <v>L/E PKO</v>
          </cell>
          <cell r="G650">
            <v>268.19759999999997</v>
          </cell>
          <cell r="R650">
            <v>168.8</v>
          </cell>
          <cell r="AA650">
            <v>91.3</v>
          </cell>
          <cell r="AG650">
            <v>7</v>
          </cell>
          <cell r="AH650">
            <v>396.67529999999999</v>
          </cell>
          <cell r="AJ650">
            <v>262.72199999999998</v>
          </cell>
          <cell r="AQ650">
            <v>430.82759999999996</v>
          </cell>
          <cell r="AS650">
            <v>130.9</v>
          </cell>
          <cell r="BB650">
            <v>227</v>
          </cell>
          <cell r="BR650">
            <v>282.2</v>
          </cell>
          <cell r="BT650">
            <v>7.3</v>
          </cell>
          <cell r="CC650">
            <v>7.3</v>
          </cell>
          <cell r="CL650">
            <v>80</v>
          </cell>
          <cell r="CU650">
            <v>122</v>
          </cell>
          <cell r="DD650">
            <v>111.5</v>
          </cell>
          <cell r="DM650">
            <v>51.7</v>
          </cell>
        </row>
        <row r="651">
          <cell r="A651">
            <v>39</v>
          </cell>
          <cell r="B651" t="str">
            <v>IPRM</v>
          </cell>
          <cell r="C651" t="str">
            <v>FM</v>
          </cell>
          <cell r="D651" t="str">
            <v>L/E PKO(C10-C12)</v>
          </cell>
          <cell r="E651" t="str">
            <v>B/P OF C8 H</v>
          </cell>
          <cell r="G651">
            <v>650.178</v>
          </cell>
          <cell r="P651">
            <v>650.178</v>
          </cell>
          <cell r="Y651">
            <v>650.178</v>
          </cell>
          <cell r="AG651">
            <v>50.231999999999999</v>
          </cell>
          <cell r="AH651">
            <v>650.178</v>
          </cell>
          <cell r="AP651">
            <v>12.792</v>
          </cell>
          <cell r="AQ651">
            <v>815.93</v>
          </cell>
          <cell r="AZ651">
            <v>741.98</v>
          </cell>
          <cell r="BH651">
            <v>72.384</v>
          </cell>
          <cell r="BI651">
            <v>650.178</v>
          </cell>
          <cell r="BR651">
            <v>650.178</v>
          </cell>
          <cell r="CA651">
            <v>650.178</v>
          </cell>
          <cell r="CI651">
            <v>21.84</v>
          </cell>
          <cell r="CJ651">
            <v>1028.6879999999999</v>
          </cell>
          <cell r="CS651">
            <v>1051.7280000000001</v>
          </cell>
          <cell r="DB651">
            <v>1051.73</v>
          </cell>
          <cell r="DK651">
            <v>1048.4780000000001</v>
          </cell>
          <cell r="DS651">
            <v>56.783999999999999</v>
          </cell>
          <cell r="DT651">
            <v>1048.4780000000001</v>
          </cell>
          <cell r="EB651">
            <v>4.3680000000000003</v>
          </cell>
          <cell r="EC651">
            <v>1173.7080000000001</v>
          </cell>
          <cell r="EL651">
            <v>1217.6179999999999</v>
          </cell>
        </row>
        <row r="652">
          <cell r="A652">
            <v>40</v>
          </cell>
          <cell r="B652" t="str">
            <v>IPRM</v>
          </cell>
          <cell r="C652" t="str">
            <v>FM</v>
          </cell>
          <cell r="D652" t="str">
            <v>C12+C14+C16-PKO/CNO</v>
          </cell>
          <cell r="E652" t="str">
            <v>C12+C14+C16-PKO/CNO</v>
          </cell>
        </row>
        <row r="653">
          <cell r="A653">
            <v>41</v>
          </cell>
          <cell r="B653" t="str">
            <v>IPRM</v>
          </cell>
          <cell r="C653" t="str">
            <v>FM</v>
          </cell>
          <cell r="D653" t="str">
            <v>C14+C16(C14~60)</v>
          </cell>
          <cell r="E653" t="str">
            <v>C14+C16(C14~60)</v>
          </cell>
        </row>
        <row r="654">
          <cell r="A654">
            <v>42</v>
          </cell>
          <cell r="B654" t="str">
            <v>IPRM</v>
          </cell>
          <cell r="C654" t="str">
            <v>FM</v>
          </cell>
          <cell r="D654" t="str">
            <v>C14+C16+C18(C16@65%)</v>
          </cell>
          <cell r="E654" t="str">
            <v>C14+C16+C18(C16@65%)</v>
          </cell>
        </row>
        <row r="655">
          <cell r="A655">
            <v>43</v>
          </cell>
          <cell r="B655" t="str">
            <v>IPRM</v>
          </cell>
          <cell r="C655" t="str">
            <v>FM</v>
          </cell>
          <cell r="D655" t="str">
            <v>C16+C18-PFAD/PKO(C16@80%)</v>
          </cell>
          <cell r="E655" t="str">
            <v>C16+C18-PFAD/PKO(C16@80%)</v>
          </cell>
        </row>
        <row r="656">
          <cell r="A656">
            <v>44</v>
          </cell>
          <cell r="B656" t="str">
            <v>IPRM</v>
          </cell>
          <cell r="C656" t="str">
            <v>NM</v>
          </cell>
          <cell r="D656" t="str">
            <v>L/E'S OF  S.B</v>
          </cell>
          <cell r="E656" t="str">
            <v>L/E'S OF  S.B</v>
          </cell>
          <cell r="F656">
            <v>10.907</v>
          </cell>
          <cell r="G656">
            <v>966.93</v>
          </cell>
          <cell r="H656">
            <v>14.59</v>
          </cell>
          <cell r="M656">
            <v>14.5</v>
          </cell>
          <cell r="O656">
            <v>10.907</v>
          </cell>
          <cell r="Q656">
            <v>14.59</v>
          </cell>
          <cell r="R656">
            <v>109</v>
          </cell>
          <cell r="X656">
            <v>10.907</v>
          </cell>
          <cell r="Z656">
            <v>14.59</v>
          </cell>
          <cell r="AA656">
            <v>89</v>
          </cell>
          <cell r="AG656">
            <v>10.907</v>
          </cell>
          <cell r="AP656">
            <v>10.907</v>
          </cell>
          <cell r="AR656">
            <v>14.59</v>
          </cell>
          <cell r="AS656">
            <v>80</v>
          </cell>
          <cell r="AY656">
            <v>10.907</v>
          </cell>
          <cell r="AZ656">
            <v>987.92</v>
          </cell>
          <cell r="BA656">
            <v>14.59</v>
          </cell>
          <cell r="BH656">
            <v>10.91</v>
          </cell>
          <cell r="BJ656">
            <v>14.59</v>
          </cell>
          <cell r="BQ656">
            <v>11.265499999999999</v>
          </cell>
          <cell r="BS656">
            <v>14.59</v>
          </cell>
          <cell r="BT656">
            <v>94</v>
          </cell>
          <cell r="BZ656">
            <v>11.265499999999999</v>
          </cell>
          <cell r="CB656">
            <v>14.59</v>
          </cell>
          <cell r="CC656">
            <v>108</v>
          </cell>
          <cell r="CI656">
            <v>11.265499999999999</v>
          </cell>
          <cell r="CK656">
            <v>14.59</v>
          </cell>
          <cell r="CL656">
            <v>67</v>
          </cell>
          <cell r="CR656">
            <v>11.265499999999999</v>
          </cell>
          <cell r="CT656">
            <v>14.59</v>
          </cell>
          <cell r="CU656">
            <v>63</v>
          </cell>
          <cell r="CY656">
            <v>14.55</v>
          </cell>
          <cell r="DA656">
            <v>11.265499999999999</v>
          </cell>
          <cell r="DC656">
            <v>14.59</v>
          </cell>
          <cell r="DD656">
            <v>55</v>
          </cell>
          <cell r="DJ656">
            <v>11.265499999999999</v>
          </cell>
          <cell r="DL656">
            <v>14.59</v>
          </cell>
          <cell r="DM656">
            <v>45</v>
          </cell>
          <cell r="DQ656">
            <v>14.81</v>
          </cell>
          <cell r="DS656">
            <v>11.265499999999999</v>
          </cell>
          <cell r="DU656">
            <v>14.59</v>
          </cell>
          <cell r="DV656">
            <v>68</v>
          </cell>
          <cell r="EB656">
            <v>10.548500000000001</v>
          </cell>
          <cell r="ED656">
            <v>14.59</v>
          </cell>
          <cell r="EE656">
            <v>80</v>
          </cell>
          <cell r="EK656">
            <v>10.548500000000001</v>
          </cell>
          <cell r="EM656">
            <v>14.59</v>
          </cell>
          <cell r="EN656">
            <v>58</v>
          </cell>
        </row>
        <row r="657">
          <cell r="A657">
            <v>45</v>
          </cell>
          <cell r="B657" t="str">
            <v>IPRM</v>
          </cell>
          <cell r="C657" t="str">
            <v>NM</v>
          </cell>
          <cell r="D657" t="str">
            <v>BAD C8/C10</v>
          </cell>
          <cell r="E657" t="str">
            <v>BAD C8/C10</v>
          </cell>
          <cell r="P657">
            <v>966.93000000000006</v>
          </cell>
          <cell r="Y657">
            <v>988.15899999999999</v>
          </cell>
          <cell r="AH657">
            <v>988.15899999999999</v>
          </cell>
          <cell r="AQ657">
            <v>752.46</v>
          </cell>
          <cell r="BI657">
            <v>1026.1400000000001</v>
          </cell>
          <cell r="BR657">
            <v>1023.081</v>
          </cell>
          <cell r="BZ657">
            <v>6.3875000000000002</v>
          </cell>
          <cell r="CA657">
            <v>1309.6999999999998</v>
          </cell>
          <cell r="CJ657">
            <v>1030.56</v>
          </cell>
          <cell r="CS657">
            <v>1029.46</v>
          </cell>
          <cell r="DB657">
            <v>1049.77</v>
          </cell>
          <cell r="DK657">
            <v>1064.3800000000001</v>
          </cell>
          <cell r="DT657">
            <v>1064.3800000000001</v>
          </cell>
          <cell r="EB657">
            <v>15.17</v>
          </cell>
          <cell r="EC657">
            <v>1080.684</v>
          </cell>
          <cell r="EL657">
            <v>1124.01</v>
          </cell>
        </row>
        <row r="658">
          <cell r="A658">
            <v>46</v>
          </cell>
          <cell r="B658" t="str">
            <v>IPRM</v>
          </cell>
          <cell r="C658" t="str">
            <v>FM</v>
          </cell>
          <cell r="D658" t="str">
            <v>L/E PKO(C12@80%)</v>
          </cell>
          <cell r="E658" t="str">
            <v>B/P OF C10</v>
          </cell>
          <cell r="AP658">
            <v>66.768000000000001</v>
          </cell>
          <cell r="EB658">
            <v>68.016000000000005</v>
          </cell>
          <cell r="EL658">
            <v>45.988200000000006</v>
          </cell>
        </row>
        <row r="659">
          <cell r="A659">
            <v>47</v>
          </cell>
          <cell r="B659" t="str">
            <v>IPRM</v>
          </cell>
          <cell r="C659" t="str">
            <v>NM</v>
          </cell>
          <cell r="D659" t="str">
            <v>DAG-MCT</v>
          </cell>
          <cell r="E659" t="str">
            <v>HYD DEAC MCT</v>
          </cell>
          <cell r="G659">
            <v>568.79</v>
          </cell>
          <cell r="H659">
            <v>26.38</v>
          </cell>
          <cell r="P659">
            <v>568.79</v>
          </cell>
          <cell r="Q659">
            <v>26.38</v>
          </cell>
          <cell r="Y659">
            <v>568.79</v>
          </cell>
          <cell r="Z659">
            <v>26.38</v>
          </cell>
          <cell r="AH659">
            <v>568.79</v>
          </cell>
          <cell r="AI659">
            <v>26.38</v>
          </cell>
          <cell r="AQ659">
            <v>568.79</v>
          </cell>
          <cell r="AR659">
            <v>26.38</v>
          </cell>
          <cell r="AZ659">
            <v>568.79</v>
          </cell>
          <cell r="BA659">
            <v>26.38</v>
          </cell>
          <cell r="BI659">
            <v>568.79</v>
          </cell>
          <cell r="BJ659">
            <v>26.38</v>
          </cell>
          <cell r="BR659">
            <v>568.79</v>
          </cell>
          <cell r="BS659">
            <v>26.38</v>
          </cell>
          <cell r="CA659">
            <v>568.79</v>
          </cell>
          <cell r="CB659">
            <v>26.38</v>
          </cell>
          <cell r="CJ659">
            <v>568.79</v>
          </cell>
          <cell r="CK659">
            <v>26.38</v>
          </cell>
          <cell r="CS659">
            <v>568.79</v>
          </cell>
          <cell r="CT659">
            <v>26.38</v>
          </cell>
          <cell r="DB659">
            <v>568.79</v>
          </cell>
          <cell r="DC659">
            <v>26.38</v>
          </cell>
          <cell r="DK659">
            <v>562.61599999999999</v>
          </cell>
          <cell r="DL659">
            <v>26.38</v>
          </cell>
          <cell r="DT659">
            <v>562.61599999999999</v>
          </cell>
          <cell r="DU659">
            <v>26.38</v>
          </cell>
          <cell r="EC659">
            <v>568.79</v>
          </cell>
          <cell r="ED659">
            <v>26.38</v>
          </cell>
          <cell r="EL659">
            <v>568.79</v>
          </cell>
          <cell r="EM659">
            <v>26.38</v>
          </cell>
        </row>
        <row r="660">
          <cell r="A660">
            <v>247</v>
          </cell>
          <cell r="B660" t="str">
            <v>IPRM</v>
          </cell>
          <cell r="C660" t="str">
            <v>NM</v>
          </cell>
          <cell r="D660" t="str">
            <v>D ACIDIFIED MCT</v>
          </cell>
          <cell r="E660" t="str">
            <v>D ACIDIFIED MCT</v>
          </cell>
        </row>
        <row r="661">
          <cell r="A661">
            <v>48</v>
          </cell>
          <cell r="B661" t="str">
            <v>IPRM</v>
          </cell>
          <cell r="C661" t="str">
            <v>SM</v>
          </cell>
          <cell r="D661" t="str">
            <v>PKORESIDUE</v>
          </cell>
          <cell r="E661" t="str">
            <v>PKORESIDUE</v>
          </cell>
          <cell r="G661">
            <v>191.63646000000003</v>
          </cell>
          <cell r="P661">
            <v>65.180160000000001</v>
          </cell>
          <cell r="Y661">
            <v>294.32916000000006</v>
          </cell>
          <cell r="AG661">
            <v>20.440000000000001</v>
          </cell>
          <cell r="AH661">
            <v>710.1549</v>
          </cell>
          <cell r="AI661">
            <v>44.02</v>
          </cell>
          <cell r="AP661">
            <v>14.5</v>
          </cell>
          <cell r="AQ661">
            <v>643.0788</v>
          </cell>
          <cell r="AR661">
            <v>44.02</v>
          </cell>
          <cell r="AY661">
            <v>9.9600000000000009</v>
          </cell>
          <cell r="BA661">
            <v>53.54</v>
          </cell>
          <cell r="BH661">
            <v>19.03</v>
          </cell>
          <cell r="BJ661">
            <v>53.54</v>
          </cell>
          <cell r="BQ661">
            <v>17.64</v>
          </cell>
          <cell r="BS661">
            <v>98.11</v>
          </cell>
          <cell r="BZ661">
            <v>17.502717999999998</v>
          </cell>
          <cell r="CB661">
            <v>123.52</v>
          </cell>
          <cell r="CK661">
            <v>149.19999999999999</v>
          </cell>
          <cell r="CR661">
            <v>19.135169999999999</v>
          </cell>
          <cell r="CT661">
            <v>149.19999999999999</v>
          </cell>
          <cell r="DA661">
            <v>19.135169999999999</v>
          </cell>
          <cell r="DC661">
            <v>149.19999999999999</v>
          </cell>
          <cell r="DL661">
            <v>164.19</v>
          </cell>
          <cell r="DU661">
            <v>180.19</v>
          </cell>
          <cell r="EC661">
            <v>72.399600000000007</v>
          </cell>
          <cell r="ED661">
            <v>180.19</v>
          </cell>
          <cell r="EE661">
            <v>41.6</v>
          </cell>
          <cell r="EM661">
            <v>339.47</v>
          </cell>
          <cell r="EN661">
            <v>10.8</v>
          </cell>
        </row>
        <row r="662">
          <cell r="A662">
            <v>49</v>
          </cell>
          <cell r="B662" t="str">
            <v>IPRM</v>
          </cell>
          <cell r="C662" t="str">
            <v>SM</v>
          </cell>
          <cell r="D662" t="str">
            <v>SPKORESIDUE</v>
          </cell>
          <cell r="E662" t="str">
            <v>SPKORESIDUE</v>
          </cell>
          <cell r="G662">
            <v>632.43180000000007</v>
          </cell>
          <cell r="H662">
            <v>307.10000000000002</v>
          </cell>
          <cell r="P662">
            <v>654.52</v>
          </cell>
          <cell r="Q662">
            <v>462.32</v>
          </cell>
          <cell r="Y662">
            <v>667.56690000000003</v>
          </cell>
          <cell r="Z662">
            <v>462.32</v>
          </cell>
          <cell r="AI662">
            <v>462.32</v>
          </cell>
          <cell r="AR662">
            <v>462.32</v>
          </cell>
          <cell r="AZ662">
            <v>552.5793000000001</v>
          </cell>
          <cell r="BA662">
            <v>462.32</v>
          </cell>
          <cell r="BI662">
            <v>560.03219999999999</v>
          </cell>
          <cell r="BJ662">
            <v>462.32</v>
          </cell>
          <cell r="BR662">
            <v>506.79720000000003</v>
          </cell>
          <cell r="BS662">
            <v>462.32</v>
          </cell>
          <cell r="CA662">
            <v>374.77440000000001</v>
          </cell>
          <cell r="CB662">
            <v>462.32</v>
          </cell>
          <cell r="CJ662">
            <v>319.41000000000003</v>
          </cell>
          <cell r="CK662">
            <v>462.32</v>
          </cell>
          <cell r="CS662">
            <v>349.22159999999997</v>
          </cell>
          <cell r="CT662">
            <v>462.32</v>
          </cell>
          <cell r="DB662">
            <v>353.48040000000003</v>
          </cell>
          <cell r="DC662">
            <v>462.32</v>
          </cell>
          <cell r="DK662">
            <v>317.28059999999999</v>
          </cell>
          <cell r="DL662">
            <v>462.32</v>
          </cell>
          <cell r="DS662">
            <v>5.16317</v>
          </cell>
          <cell r="DT662">
            <v>270.43379999999996</v>
          </cell>
          <cell r="DU662">
            <v>462.32</v>
          </cell>
          <cell r="ED662">
            <v>462.32</v>
          </cell>
          <cell r="EL662">
            <v>100.0818</v>
          </cell>
        </row>
        <row r="663">
          <cell r="A663">
            <v>50</v>
          </cell>
          <cell r="B663" t="str">
            <v>IPRM</v>
          </cell>
          <cell r="C663" t="str">
            <v>SM</v>
          </cell>
          <cell r="D663" t="str">
            <v>DPKORESIDUE</v>
          </cell>
          <cell r="E663" t="str">
            <v>DPKORESIDUE</v>
          </cell>
          <cell r="BZ663">
            <v>7.9575699999999996</v>
          </cell>
          <cell r="CA663">
            <v>110.866</v>
          </cell>
          <cell r="EB663">
            <v>11.305</v>
          </cell>
        </row>
        <row r="664">
          <cell r="A664">
            <v>51</v>
          </cell>
          <cell r="B664" t="str">
            <v>IPRM</v>
          </cell>
          <cell r="C664" t="str">
            <v>FM</v>
          </cell>
          <cell r="D664" t="str">
            <v>SPFAD+DPKORESIDUE-DSB FEED</v>
          </cell>
          <cell r="E664" t="str">
            <v>SPFAD+DPKORESIDUE-DSB FEED</v>
          </cell>
          <cell r="F664">
            <v>508.72500000000002</v>
          </cell>
          <cell r="I664">
            <v>18.3</v>
          </cell>
          <cell r="O664">
            <v>482.22</v>
          </cell>
          <cell r="R664">
            <v>18.3</v>
          </cell>
          <cell r="Z664">
            <v>124.74</v>
          </cell>
          <cell r="AI664">
            <v>124.74</v>
          </cell>
          <cell r="AQ664">
            <v>617.69000000000005</v>
          </cell>
          <cell r="AT664">
            <v>367.71499999999997</v>
          </cell>
          <cell r="AZ664">
            <v>512.21339999999998</v>
          </cell>
          <cell r="BA664">
            <v>258.79000000000002</v>
          </cell>
          <cell r="BB664">
            <v>49.3</v>
          </cell>
          <cell r="BI664">
            <v>448.34580000000005</v>
          </cell>
          <cell r="BJ664">
            <v>5.93</v>
          </cell>
          <cell r="BK664">
            <v>60.3</v>
          </cell>
          <cell r="BL664">
            <v>132.51</v>
          </cell>
          <cell r="BR664">
            <v>519.02100000000007</v>
          </cell>
          <cell r="BS664">
            <v>5.93</v>
          </cell>
          <cell r="BT664">
            <v>60.3</v>
          </cell>
          <cell r="BU664">
            <v>233.63200000000001</v>
          </cell>
          <cell r="BZ664">
            <v>44.304000000000002</v>
          </cell>
          <cell r="CA664">
            <v>401.96520000000004</v>
          </cell>
          <cell r="CC664">
            <v>204.6</v>
          </cell>
          <cell r="CD664">
            <v>322.452</v>
          </cell>
          <cell r="CG664">
            <v>38.15</v>
          </cell>
          <cell r="CJ664">
            <v>560.98440000000005</v>
          </cell>
          <cell r="CK664">
            <v>57.23</v>
          </cell>
          <cell r="CL664">
            <v>341.6</v>
          </cell>
          <cell r="CM664">
            <v>287.358</v>
          </cell>
          <cell r="CP664">
            <v>254.39</v>
          </cell>
          <cell r="CS664">
            <v>437.30280000000005</v>
          </cell>
          <cell r="CT664">
            <v>100.97</v>
          </cell>
          <cell r="CU664">
            <v>354.4</v>
          </cell>
          <cell r="DB664">
            <v>309.20400000000001</v>
          </cell>
          <cell r="DC664">
            <v>57.23</v>
          </cell>
          <cell r="DD664">
            <v>361.7</v>
          </cell>
          <cell r="DK664">
            <v>192.1482</v>
          </cell>
          <cell r="DM664">
            <v>221.1</v>
          </cell>
          <cell r="DN664">
            <v>243.291</v>
          </cell>
          <cell r="DQ664">
            <v>84.51</v>
          </cell>
          <cell r="DT664">
            <v>613.99080000000004</v>
          </cell>
          <cell r="DU664">
            <v>14.47</v>
          </cell>
          <cell r="EC664">
            <v>294.84810000000004</v>
          </cell>
          <cell r="ED664">
            <v>14.47</v>
          </cell>
          <cell r="EL664">
            <v>618.40800000000002</v>
          </cell>
          <cell r="EM664">
            <v>190.7</v>
          </cell>
          <cell r="EN664">
            <v>465.4</v>
          </cell>
        </row>
        <row r="665">
          <cell r="A665">
            <v>52</v>
          </cell>
          <cell r="B665" t="str">
            <v>IPRM</v>
          </cell>
          <cell r="C665" t="str">
            <v>FM</v>
          </cell>
          <cell r="D665" t="str">
            <v>SRBDPS/CPS+SCPO-JBS FEED</v>
          </cell>
          <cell r="E665" t="str">
            <v>SRBDPS/CPS+SCPO-JBS FEED</v>
          </cell>
          <cell r="AS665">
            <v>138</v>
          </cell>
          <cell r="BT665">
            <v>231.8</v>
          </cell>
          <cell r="CU665">
            <v>172.9</v>
          </cell>
          <cell r="CY665">
            <v>15.8</v>
          </cell>
        </row>
        <row r="666">
          <cell r="A666">
            <v>53</v>
          </cell>
          <cell r="B666" t="str">
            <v>IPRM</v>
          </cell>
          <cell r="C666" t="str">
            <v>FM</v>
          </cell>
          <cell r="D666" t="str">
            <v>SRBDPS/CPS+B/PPKO-JBS FEED</v>
          </cell>
          <cell r="E666" t="str">
            <v>SRBDPS/CPS+B/PPKO-JBS FEED</v>
          </cell>
          <cell r="Y666">
            <v>667.27200000000005</v>
          </cell>
          <cell r="AH666">
            <v>277.18</v>
          </cell>
          <cell r="AQ666">
            <v>312.51690000000002</v>
          </cell>
          <cell r="AR666">
            <v>124.74</v>
          </cell>
          <cell r="AW666">
            <v>139.06</v>
          </cell>
          <cell r="AZ666">
            <v>412.07</v>
          </cell>
          <cell r="BB666">
            <v>160</v>
          </cell>
          <cell r="BK666">
            <v>189.5</v>
          </cell>
          <cell r="CJ666">
            <v>482.08320000000003</v>
          </cell>
          <cell r="DS666">
            <v>367.65</v>
          </cell>
          <cell r="DT666">
            <v>3.7659999999999996</v>
          </cell>
        </row>
        <row r="667">
          <cell r="A667">
            <v>54</v>
          </cell>
          <cell r="B667" t="str">
            <v>IPRM</v>
          </cell>
          <cell r="C667" t="str">
            <v>FM</v>
          </cell>
          <cell r="D667" t="str">
            <v>SPFAD&gt;C16(C16@15-25%)</v>
          </cell>
          <cell r="E667" t="str">
            <v>D B/P&gt;C16 FOR ALC</v>
          </cell>
        </row>
        <row r="668">
          <cell r="A668">
            <v>55</v>
          </cell>
          <cell r="B668" t="str">
            <v>IPRM</v>
          </cell>
          <cell r="C668" t="str">
            <v>FM</v>
          </cell>
          <cell r="D668" t="str">
            <v>SPFAD&gt;C16(C16@15-25%)</v>
          </cell>
          <cell r="E668" t="str">
            <v>B/P&gt;C16 FOR ALC</v>
          </cell>
        </row>
        <row r="669">
          <cell r="A669">
            <v>56</v>
          </cell>
          <cell r="B669" t="str">
            <v>IPRM</v>
          </cell>
          <cell r="C669" t="str">
            <v>SM</v>
          </cell>
          <cell r="D669" t="str">
            <v>MIX RESIDUE</v>
          </cell>
          <cell r="E669" t="str">
            <v>MIX RESIDUE</v>
          </cell>
          <cell r="F669">
            <v>3.43</v>
          </cell>
          <cell r="H669">
            <v>667.34</v>
          </cell>
          <cell r="I669">
            <v>100.8</v>
          </cell>
          <cell r="O669">
            <v>6.223367999999998</v>
          </cell>
          <cell r="Q669">
            <v>667.34</v>
          </cell>
          <cell r="R669">
            <v>109.1</v>
          </cell>
          <cell r="X669">
            <v>19.05</v>
          </cell>
          <cell r="Z669">
            <v>667.34</v>
          </cell>
          <cell r="AA669">
            <v>63.3</v>
          </cell>
          <cell r="AG669">
            <v>2.33</v>
          </cell>
          <cell r="AH669">
            <v>632.11176</v>
          </cell>
          <cell r="AI669">
            <v>516.88</v>
          </cell>
          <cell r="AJ669">
            <v>93.47999999999999</v>
          </cell>
          <cell r="AP669">
            <v>21.658999999999999</v>
          </cell>
          <cell r="AQ669">
            <v>611.88426000000004</v>
          </cell>
          <cell r="AR669">
            <v>516.88</v>
          </cell>
          <cell r="AS669">
            <v>4.2</v>
          </cell>
          <cell r="AZ669">
            <v>399.56796000000003</v>
          </cell>
          <cell r="BA669">
            <v>1033.46</v>
          </cell>
          <cell r="BB669">
            <v>62.5</v>
          </cell>
          <cell r="BI669">
            <v>592.22285999999997</v>
          </cell>
          <cell r="BJ669">
            <v>516.58000000000004</v>
          </cell>
          <cell r="BK669">
            <v>26.6</v>
          </cell>
          <cell r="BO669">
            <v>15</v>
          </cell>
          <cell r="BR669">
            <v>306.21096</v>
          </cell>
          <cell r="BS669">
            <v>516.58000000000004</v>
          </cell>
          <cell r="BT669">
            <v>1.7</v>
          </cell>
          <cell r="BZ669">
            <v>4.2960000000000003</v>
          </cell>
          <cell r="CA669">
            <v>530.26775999999995</v>
          </cell>
          <cell r="CC669">
            <v>45</v>
          </cell>
          <cell r="CI669">
            <v>0.35799999999999998</v>
          </cell>
          <cell r="CL669">
            <v>43.3</v>
          </cell>
          <cell r="CR669">
            <v>7.5179999999999989</v>
          </cell>
          <cell r="CT669">
            <v>81.73</v>
          </cell>
          <cell r="CU669">
            <v>3.3</v>
          </cell>
          <cell r="CY669">
            <v>33.880000000000003</v>
          </cell>
          <cell r="DC669">
            <v>156.08000000000001</v>
          </cell>
          <cell r="DD669">
            <v>46.6</v>
          </cell>
          <cell r="DJ669">
            <v>13.25</v>
          </cell>
          <cell r="DL669">
            <v>249.3</v>
          </cell>
          <cell r="DM669">
            <v>39.1</v>
          </cell>
          <cell r="DS669">
            <v>21.3</v>
          </cell>
          <cell r="DU669">
            <v>449.91</v>
          </cell>
          <cell r="DV669">
            <v>20.8</v>
          </cell>
          <cell r="EB669">
            <v>3.2219999999999995</v>
          </cell>
          <cell r="ED669">
            <v>493.72</v>
          </cell>
          <cell r="EE669">
            <v>10.8</v>
          </cell>
          <cell r="EM669">
            <v>493.72</v>
          </cell>
          <cell r="EN669">
            <v>33.299999999999997</v>
          </cell>
        </row>
        <row r="670">
          <cell r="A670">
            <v>57</v>
          </cell>
          <cell r="B670" t="str">
            <v>IPRM</v>
          </cell>
          <cell r="C670" t="str">
            <v>SM</v>
          </cell>
          <cell r="D670" t="str">
            <v>SMIX RESIDUE</v>
          </cell>
          <cell r="E670" t="str">
            <v>SMIX RESIDUE</v>
          </cell>
          <cell r="G670">
            <v>548.32050000000004</v>
          </cell>
          <cell r="H670">
            <v>995.76</v>
          </cell>
          <cell r="P670">
            <v>294.92190000000005</v>
          </cell>
          <cell r="Q670">
            <v>995.76</v>
          </cell>
          <cell r="Y670">
            <v>292.79250000000002</v>
          </cell>
          <cell r="Z670">
            <v>494.21</v>
          </cell>
          <cell r="AA670">
            <v>253.1</v>
          </cell>
          <cell r="AH670">
            <v>300.24540000000002</v>
          </cell>
          <cell r="AI670">
            <v>494.21</v>
          </cell>
          <cell r="AQ670">
            <v>370.51559999999995</v>
          </cell>
          <cell r="AR670">
            <v>295.36</v>
          </cell>
          <cell r="AZ670">
            <v>501.47370000000001</v>
          </cell>
          <cell r="BA670">
            <v>295.36</v>
          </cell>
          <cell r="BI670">
            <v>496.15019999999998</v>
          </cell>
          <cell r="BJ670">
            <v>295.36</v>
          </cell>
          <cell r="BR670">
            <v>502.53840000000002</v>
          </cell>
          <cell r="BS670">
            <v>295.36</v>
          </cell>
          <cell r="CA670">
            <v>198.0342</v>
          </cell>
          <cell r="CB670">
            <v>295.36</v>
          </cell>
          <cell r="CJ670">
            <v>9.5823</v>
          </cell>
          <cell r="CS670">
            <v>217.19879999999998</v>
          </cell>
        </row>
        <row r="671">
          <cell r="A671">
            <v>58</v>
          </cell>
          <cell r="B671" t="str">
            <v>IPRM</v>
          </cell>
          <cell r="C671" t="str">
            <v>FM</v>
          </cell>
          <cell r="D671" t="str">
            <v>DMIX RESIDUE</v>
          </cell>
          <cell r="E671" t="str">
            <v>DMIX RESIDUE</v>
          </cell>
          <cell r="F671">
            <v>24.945</v>
          </cell>
          <cell r="I671">
            <v>102.5</v>
          </cell>
          <cell r="O671">
            <v>32.909999999999997</v>
          </cell>
          <cell r="X671">
            <v>9.4350000000000005</v>
          </cell>
          <cell r="AA671">
            <v>66.7</v>
          </cell>
          <cell r="AG671">
            <v>22.704999999999998</v>
          </cell>
          <cell r="AP671">
            <v>3.33</v>
          </cell>
          <cell r="AQ671">
            <v>11.416</v>
          </cell>
          <cell r="AS671">
            <v>54.9</v>
          </cell>
          <cell r="AY671">
            <v>5.2495000000000003</v>
          </cell>
          <cell r="BH671">
            <v>19.670000000000002</v>
          </cell>
          <cell r="BQ671">
            <v>20.47</v>
          </cell>
          <cell r="BR671">
            <v>142.31599999999997</v>
          </cell>
          <cell r="BZ671">
            <v>45.69</v>
          </cell>
          <cell r="CA671">
            <v>254.09100000000001</v>
          </cell>
          <cell r="CI671">
            <v>41.39</v>
          </cell>
          <cell r="CJ671">
            <v>822.5</v>
          </cell>
          <cell r="CL671">
            <v>260.7</v>
          </cell>
          <cell r="CR671">
            <v>33.880000000000003</v>
          </cell>
          <cell r="CS671">
            <v>762.5</v>
          </cell>
          <cell r="CU671">
            <v>260.7</v>
          </cell>
          <cell r="DA671">
            <v>25.62</v>
          </cell>
          <cell r="DB671">
            <v>722.5</v>
          </cell>
          <cell r="DD671">
            <v>260.7</v>
          </cell>
          <cell r="DJ671">
            <v>38.1</v>
          </cell>
          <cell r="DK671">
            <v>658.75</v>
          </cell>
          <cell r="DM671">
            <v>260.7</v>
          </cell>
          <cell r="DT671">
            <v>598.60500000000002</v>
          </cell>
          <cell r="DV671">
            <v>260.7</v>
          </cell>
          <cell r="EB671">
            <v>7.0650000000000004</v>
          </cell>
          <cell r="EC671">
            <v>975</v>
          </cell>
          <cell r="EE671">
            <v>260.7</v>
          </cell>
          <cell r="EK671">
            <v>5.2495000000000003</v>
          </cell>
          <cell r="EL671">
            <v>370</v>
          </cell>
          <cell r="EN671">
            <v>260.7</v>
          </cell>
        </row>
        <row r="672">
          <cell r="A672">
            <v>59</v>
          </cell>
          <cell r="B672" t="str">
            <v>IPRM</v>
          </cell>
          <cell r="C672" t="str">
            <v>FM</v>
          </cell>
          <cell r="D672" t="str">
            <v>HYD D RFA</v>
          </cell>
          <cell r="E672" t="str">
            <v>HYD D RFA</v>
          </cell>
          <cell r="I672">
            <v>1.9</v>
          </cell>
          <cell r="R672">
            <v>1.9</v>
          </cell>
          <cell r="AA672">
            <v>47</v>
          </cell>
          <cell r="AJ672">
            <v>109</v>
          </cell>
          <cell r="AS672">
            <v>146.19999999999999</v>
          </cell>
          <cell r="BB672">
            <v>173.2</v>
          </cell>
          <cell r="BK672">
            <v>12</v>
          </cell>
          <cell r="BT672">
            <v>12</v>
          </cell>
        </row>
        <row r="673">
          <cell r="A673">
            <v>60</v>
          </cell>
          <cell r="B673" t="str">
            <v>IPRM</v>
          </cell>
          <cell r="C673" t="str">
            <v>FM</v>
          </cell>
          <cell r="D673" t="str">
            <v>B/P SMUSTARD&gt;C18</v>
          </cell>
          <cell r="E673" t="str">
            <v>B/P SMUSTARD&gt;C18</v>
          </cell>
          <cell r="EE673">
            <v>345.8</v>
          </cell>
        </row>
        <row r="674">
          <cell r="A674">
            <v>61</v>
          </cell>
          <cell r="B674" t="str">
            <v>IPRM</v>
          </cell>
          <cell r="C674" t="str">
            <v>FM</v>
          </cell>
          <cell r="D674" t="str">
            <v>B/P SMUSTARD&gt;C20</v>
          </cell>
          <cell r="E674" t="str">
            <v>B/P SMUSTARD&gt;C20</v>
          </cell>
          <cell r="G674">
            <v>120</v>
          </cell>
          <cell r="P674">
            <v>120</v>
          </cell>
          <cell r="Y674">
            <v>120</v>
          </cell>
          <cell r="AH674">
            <v>120</v>
          </cell>
          <cell r="AQ674">
            <v>120</v>
          </cell>
          <cell r="AZ674">
            <v>120</v>
          </cell>
          <cell r="BI674">
            <v>120</v>
          </cell>
          <cell r="BR674">
            <v>120</v>
          </cell>
          <cell r="CA674">
            <v>120</v>
          </cell>
          <cell r="CJ674">
            <v>120</v>
          </cell>
          <cell r="CS674">
            <v>120</v>
          </cell>
          <cell r="DB674">
            <v>120</v>
          </cell>
          <cell r="DK674">
            <v>120</v>
          </cell>
          <cell r="DT674">
            <v>120</v>
          </cell>
          <cell r="EC674">
            <v>120</v>
          </cell>
          <cell r="EL674">
            <v>120</v>
          </cell>
        </row>
        <row r="675">
          <cell r="A675">
            <v>62</v>
          </cell>
          <cell r="B675" t="str">
            <v>IPRM</v>
          </cell>
          <cell r="C675" t="str">
            <v>SM</v>
          </cell>
          <cell r="D675" t="str">
            <v>DFA C18+22(20@50%)</v>
          </cell>
          <cell r="E675" t="str">
            <v>DFA C18+22(20@50%)</v>
          </cell>
        </row>
        <row r="676">
          <cell r="A676">
            <v>63</v>
          </cell>
          <cell r="B676" t="str">
            <v>IPRM</v>
          </cell>
          <cell r="C676" t="str">
            <v>NM</v>
          </cell>
          <cell r="D676" t="str">
            <v>MUSTARD RESIDUE</v>
          </cell>
          <cell r="E676" t="str">
            <v>MUSTARD RESIDUE</v>
          </cell>
          <cell r="F676">
            <v>40.130000000000003</v>
          </cell>
          <cell r="H676">
            <v>376.74</v>
          </cell>
          <cell r="O676">
            <v>40.130000000000003</v>
          </cell>
          <cell r="Q676">
            <v>376.74</v>
          </cell>
          <cell r="R676">
            <v>11.7</v>
          </cell>
          <cell r="X676">
            <v>40.130000000000003</v>
          </cell>
          <cell r="Z676">
            <v>392.42</v>
          </cell>
          <cell r="AA676">
            <v>156.6</v>
          </cell>
          <cell r="AG676">
            <v>40.130000000000003</v>
          </cell>
          <cell r="AI676">
            <v>405.43</v>
          </cell>
          <cell r="AJ676">
            <v>156.55028571428571</v>
          </cell>
          <cell r="AP676">
            <v>40.130000000000003</v>
          </cell>
          <cell r="AR676">
            <v>405.43</v>
          </cell>
          <cell r="AY676">
            <v>43.39</v>
          </cell>
          <cell r="BA676">
            <v>500.37</v>
          </cell>
          <cell r="BB676">
            <v>54.1</v>
          </cell>
          <cell r="BH676">
            <v>43.39</v>
          </cell>
          <cell r="BJ676">
            <v>500.37</v>
          </cell>
          <cell r="BK676">
            <v>54.1</v>
          </cell>
          <cell r="BQ676">
            <v>43.39</v>
          </cell>
          <cell r="BS676">
            <v>500.37</v>
          </cell>
          <cell r="BZ676">
            <v>43.75</v>
          </cell>
          <cell r="CB676">
            <v>500.37</v>
          </cell>
          <cell r="CI676">
            <v>42.52</v>
          </cell>
          <cell r="CK676">
            <v>500.37</v>
          </cell>
          <cell r="CR676">
            <v>42.52</v>
          </cell>
          <cell r="CT676">
            <v>500.37</v>
          </cell>
          <cell r="CU676">
            <v>54.1</v>
          </cell>
          <cell r="DA676">
            <v>42.52</v>
          </cell>
          <cell r="DC676">
            <v>544.49</v>
          </cell>
          <cell r="DD676">
            <v>2.5</v>
          </cell>
          <cell r="DJ676">
            <v>42.52</v>
          </cell>
          <cell r="DL676">
            <v>560.66999999999996</v>
          </cell>
          <cell r="DM676">
            <v>2.5</v>
          </cell>
          <cell r="DS676">
            <v>42.52</v>
          </cell>
          <cell r="DU676">
            <v>560.66999999999996</v>
          </cell>
          <cell r="EB676">
            <v>43.25</v>
          </cell>
          <cell r="ED676">
            <v>560.66999999999996</v>
          </cell>
          <cell r="EK676">
            <v>48.61</v>
          </cell>
          <cell r="EM676">
            <v>589.66</v>
          </cell>
          <cell r="EQ676">
            <v>4.5</v>
          </cell>
        </row>
        <row r="677">
          <cell r="A677">
            <v>64</v>
          </cell>
          <cell r="B677" t="str">
            <v>IPRM</v>
          </cell>
          <cell r="C677" t="str">
            <v>NM</v>
          </cell>
          <cell r="D677" t="str">
            <v>SMUSTARD RESIDUE</v>
          </cell>
          <cell r="E677" t="str">
            <v>SMUSTARD RESIDUE</v>
          </cell>
          <cell r="H677">
            <v>1865.89</v>
          </cell>
          <cell r="Q677">
            <v>1865.89</v>
          </cell>
          <cell r="Z677">
            <v>1865.89</v>
          </cell>
          <cell r="AI677">
            <v>1865.8720000000001</v>
          </cell>
          <cell r="AR677">
            <v>1865.89</v>
          </cell>
          <cell r="BA677">
            <v>1865.89</v>
          </cell>
          <cell r="BJ677">
            <v>1865.89</v>
          </cell>
          <cell r="BS677">
            <v>1865.89</v>
          </cell>
          <cell r="CB677">
            <v>1865.89</v>
          </cell>
          <cell r="CK677">
            <v>1865.89</v>
          </cell>
          <cell r="CT677">
            <v>1662.2</v>
          </cell>
          <cell r="DB677">
            <v>667.56690000000003</v>
          </cell>
          <cell r="DC677">
            <v>1216.57</v>
          </cell>
          <cell r="DK677">
            <v>664.3728000000001</v>
          </cell>
          <cell r="DL677">
            <v>1216.57</v>
          </cell>
          <cell r="DT677">
            <v>662.24340000000007</v>
          </cell>
          <cell r="DU677">
            <v>1216.57</v>
          </cell>
          <cell r="EC677">
            <v>662.24340000000007</v>
          </cell>
          <cell r="ED677">
            <v>1216.57</v>
          </cell>
          <cell r="EL677">
            <v>662.24340000000007</v>
          </cell>
          <cell r="EM677">
            <v>1216.57</v>
          </cell>
        </row>
        <row r="678">
          <cell r="A678">
            <v>65</v>
          </cell>
          <cell r="B678" t="str">
            <v>IPRM</v>
          </cell>
          <cell r="C678" t="str">
            <v>NM</v>
          </cell>
          <cell r="D678" t="str">
            <v>DMUSTARD RESIDUE</v>
          </cell>
          <cell r="E678" t="str">
            <v>DMUSTARD RESIDUE</v>
          </cell>
          <cell r="F678">
            <v>28.09</v>
          </cell>
          <cell r="O678">
            <v>149.66</v>
          </cell>
          <cell r="X678">
            <v>145.53</v>
          </cell>
          <cell r="AG678">
            <v>145.035</v>
          </cell>
          <cell r="AP678">
            <v>144.54</v>
          </cell>
          <cell r="AS678">
            <v>53.3</v>
          </cell>
          <cell r="AY678">
            <v>144.05000000000001</v>
          </cell>
          <cell r="BH678">
            <v>144.04499999999999</v>
          </cell>
          <cell r="BQ678">
            <v>139.095</v>
          </cell>
          <cell r="BT678">
            <v>54.1</v>
          </cell>
          <cell r="BZ678">
            <v>145.035</v>
          </cell>
          <cell r="CC678">
            <v>54.1</v>
          </cell>
          <cell r="CI678">
            <v>159.88499999999999</v>
          </cell>
          <cell r="CL678">
            <v>54.1</v>
          </cell>
          <cell r="CR678">
            <v>159.88499999999999</v>
          </cell>
          <cell r="DA678">
            <v>172.84</v>
          </cell>
          <cell r="DJ678">
            <v>183.48</v>
          </cell>
          <cell r="DS678">
            <v>180.77</v>
          </cell>
          <cell r="EB678">
            <v>180.77</v>
          </cell>
          <cell r="EK678">
            <v>225.29999999999998</v>
          </cell>
          <cell r="EN678">
            <v>29.2</v>
          </cell>
        </row>
        <row r="679">
          <cell r="A679">
            <v>66</v>
          </cell>
          <cell r="B679" t="str">
            <v>IPRM</v>
          </cell>
          <cell r="C679" t="str">
            <v>NM</v>
          </cell>
          <cell r="D679" t="str">
            <v>CONTAMINATED MUST</v>
          </cell>
          <cell r="E679" t="str">
            <v>CONTAMINATED MUST</v>
          </cell>
        </row>
        <row r="680">
          <cell r="A680">
            <v>67</v>
          </cell>
          <cell r="B680" t="str">
            <v>IPRM</v>
          </cell>
          <cell r="C680" t="str">
            <v>NM</v>
          </cell>
          <cell r="D680" t="str">
            <v>HYD SPFAD</v>
          </cell>
          <cell r="E680" t="str">
            <v>HYD SPFAD</v>
          </cell>
          <cell r="F680">
            <v>59.707999999999991</v>
          </cell>
          <cell r="I680">
            <v>167</v>
          </cell>
          <cell r="O680">
            <v>84.134</v>
          </cell>
          <cell r="R680">
            <v>229.8</v>
          </cell>
          <cell r="X680">
            <v>115.94999999999999</v>
          </cell>
          <cell r="AA680">
            <v>412.6</v>
          </cell>
          <cell r="AG680">
            <v>226.61899999999997</v>
          </cell>
          <cell r="AJ680">
            <v>506.3</v>
          </cell>
          <cell r="AP680">
            <v>221.19099999999997</v>
          </cell>
          <cell r="AS680">
            <v>164.5</v>
          </cell>
          <cell r="AY680">
            <v>208.97799999999998</v>
          </cell>
          <cell r="BB680">
            <v>338.6</v>
          </cell>
          <cell r="BH680">
            <v>299.89699999999999</v>
          </cell>
          <cell r="BK680">
            <v>656.2</v>
          </cell>
          <cell r="BQ680">
            <v>298.54000000000002</v>
          </cell>
          <cell r="BT680">
            <v>500.9</v>
          </cell>
          <cell r="BZ680">
            <v>62.42199999999999</v>
          </cell>
          <cell r="CC680">
            <v>409.6</v>
          </cell>
          <cell r="CR680">
            <v>21</v>
          </cell>
          <cell r="DA680">
            <v>64.349999999999994</v>
          </cell>
          <cell r="DJ680">
            <v>162.36000000000001</v>
          </cell>
          <cell r="EB680">
            <v>21</v>
          </cell>
          <cell r="EN680">
            <v>207.3</v>
          </cell>
        </row>
        <row r="681">
          <cell r="A681">
            <v>68</v>
          </cell>
          <cell r="B681" t="str">
            <v>IPRM</v>
          </cell>
          <cell r="C681" t="str">
            <v>NM</v>
          </cell>
          <cell r="D681" t="str">
            <v>C16 RICH (FOR SB)</v>
          </cell>
          <cell r="E681" t="str">
            <v>C16 RICH (FOR SB)</v>
          </cell>
          <cell r="BQ681">
            <v>74.256</v>
          </cell>
          <cell r="EC681">
            <v>149.0652</v>
          </cell>
          <cell r="EL681">
            <v>364.73399999999998</v>
          </cell>
        </row>
        <row r="682">
          <cell r="A682">
            <v>69</v>
          </cell>
          <cell r="B682" t="str">
            <v>IPRM</v>
          </cell>
          <cell r="C682" t="str">
            <v>NM</v>
          </cell>
          <cell r="D682" t="str">
            <v>B/P PFAD (FOR C16/C18)</v>
          </cell>
          <cell r="E682" t="str">
            <v>B/P PFAD (FOR C16/C18)</v>
          </cell>
          <cell r="CR682">
            <v>124.18</v>
          </cell>
          <cell r="DA682">
            <v>36.192</v>
          </cell>
          <cell r="DB682">
            <v>348.87599999999998</v>
          </cell>
          <cell r="DJ682">
            <v>24.335999999999999</v>
          </cell>
          <cell r="DK682">
            <v>503.49150000000003</v>
          </cell>
        </row>
        <row r="683">
          <cell r="A683">
            <v>70</v>
          </cell>
          <cell r="B683" t="str">
            <v>IPRM</v>
          </cell>
          <cell r="C683" t="str">
            <v>NM</v>
          </cell>
          <cell r="D683" t="str">
            <v>DFA C8&gt;90%</v>
          </cell>
          <cell r="E683" t="str">
            <v>DFA C8&gt;90%</v>
          </cell>
        </row>
        <row r="684">
          <cell r="A684">
            <v>71</v>
          </cell>
          <cell r="B684" t="str">
            <v>IPRM</v>
          </cell>
          <cell r="C684" t="str">
            <v>NM</v>
          </cell>
          <cell r="D684" t="str">
            <v>FEED FOR DTP-CT</v>
          </cell>
          <cell r="E684" t="str">
            <v>FEED FOR DTP-CT</v>
          </cell>
          <cell r="BH684">
            <v>7</v>
          </cell>
          <cell r="BQ684">
            <v>65.7</v>
          </cell>
          <cell r="EK684">
            <v>49.57</v>
          </cell>
        </row>
        <row r="685">
          <cell r="A685">
            <v>72</v>
          </cell>
          <cell r="B685" t="str">
            <v>IPRM</v>
          </cell>
          <cell r="C685" t="str">
            <v>NM</v>
          </cell>
          <cell r="D685" t="str">
            <v>C16 RICH FROM PFAD</v>
          </cell>
          <cell r="E685" t="str">
            <v>C16 RICH FROM PFAD</v>
          </cell>
          <cell r="G685">
            <v>507.45600000000007</v>
          </cell>
          <cell r="P685">
            <v>505.87020000000001</v>
          </cell>
          <cell r="Y685">
            <v>504.28440000000001</v>
          </cell>
          <cell r="AH685">
            <v>524.89980000000003</v>
          </cell>
          <cell r="AQ685">
            <v>531.24300000000005</v>
          </cell>
          <cell r="AY685">
            <v>86.111999999999995</v>
          </cell>
          <cell r="AZ685">
            <v>220.42620000000002</v>
          </cell>
        </row>
        <row r="686">
          <cell r="A686">
            <v>73</v>
          </cell>
          <cell r="B686" t="str">
            <v>IPRM</v>
          </cell>
          <cell r="C686" t="str">
            <v>NM</v>
          </cell>
          <cell r="D686" t="str">
            <v>FEED FOR P-12</v>
          </cell>
          <cell r="E686" t="str">
            <v>FEED FOR P-12</v>
          </cell>
          <cell r="G686">
            <v>12.58</v>
          </cell>
          <cell r="I686">
            <v>8.1</v>
          </cell>
          <cell r="AQ686">
            <v>273.08</v>
          </cell>
          <cell r="AY686">
            <v>230.39</v>
          </cell>
          <cell r="AZ686">
            <v>2.8050000000000002</v>
          </cell>
        </row>
        <row r="687">
          <cell r="A687">
            <v>74</v>
          </cell>
          <cell r="B687" t="str">
            <v>IPRM</v>
          </cell>
          <cell r="C687" t="str">
            <v>NM</v>
          </cell>
          <cell r="D687" t="str">
            <v>HYD P-12</v>
          </cell>
          <cell r="E687" t="str">
            <v>HYD P-12</v>
          </cell>
          <cell r="I687">
            <v>64.5</v>
          </cell>
        </row>
        <row r="688">
          <cell r="A688">
            <v>75</v>
          </cell>
          <cell r="B688" t="str">
            <v>IPRM</v>
          </cell>
          <cell r="C688" t="str">
            <v>NM</v>
          </cell>
          <cell r="D688" t="str">
            <v>D HYD P-12</v>
          </cell>
          <cell r="E688" t="str">
            <v>D HYD P-12</v>
          </cell>
          <cell r="I688">
            <v>80.8</v>
          </cell>
        </row>
        <row r="689">
          <cell r="A689">
            <v>76</v>
          </cell>
          <cell r="B689" t="str">
            <v>IPRM</v>
          </cell>
          <cell r="C689" t="str">
            <v>NM</v>
          </cell>
          <cell r="D689" t="str">
            <v>DFA C16/18  FOR TRANSLUCENT</v>
          </cell>
          <cell r="E689" t="str">
            <v>DFA C16/18  FOR TRANSLUCENT</v>
          </cell>
          <cell r="Y689">
            <v>258.59000000000003</v>
          </cell>
          <cell r="CA689">
            <v>417.85830000000004</v>
          </cell>
          <cell r="CJ689">
            <v>451.45859999999999</v>
          </cell>
          <cell r="CS689">
            <v>337.2</v>
          </cell>
          <cell r="DB689">
            <v>341.22</v>
          </cell>
          <cell r="DK689">
            <v>291.78719999999998</v>
          </cell>
          <cell r="DT689">
            <v>290.99430000000007</v>
          </cell>
          <cell r="EC689">
            <v>290.20140000000004</v>
          </cell>
          <cell r="EL689">
            <v>285.44400000000002</v>
          </cell>
        </row>
        <row r="690">
          <cell r="A690">
            <v>77</v>
          </cell>
          <cell r="B690" t="str">
            <v>IPRM</v>
          </cell>
          <cell r="C690" t="str">
            <v>NM</v>
          </cell>
          <cell r="D690" t="str">
            <v>GLY RES</v>
          </cell>
          <cell r="E690" t="str">
            <v>GLY RES</v>
          </cell>
          <cell r="AP690">
            <v>14</v>
          </cell>
          <cell r="AY690">
            <v>12.38</v>
          </cell>
          <cell r="BH690">
            <v>23</v>
          </cell>
          <cell r="BQ690">
            <v>26.25</v>
          </cell>
          <cell r="BZ690">
            <v>29.75</v>
          </cell>
          <cell r="CR690">
            <v>2.6</v>
          </cell>
          <cell r="DA690">
            <v>10</v>
          </cell>
          <cell r="DJ690">
            <v>28</v>
          </cell>
          <cell r="DS690">
            <v>29.75</v>
          </cell>
          <cell r="EB690">
            <v>34.125</v>
          </cell>
          <cell r="EK690">
            <v>31.5</v>
          </cell>
        </row>
        <row r="691">
          <cell r="A691">
            <v>78</v>
          </cell>
          <cell r="B691" t="str">
            <v>IPRM</v>
          </cell>
          <cell r="C691" t="str">
            <v>NM</v>
          </cell>
          <cell r="D691" t="str">
            <v>D B/P PKO</v>
          </cell>
          <cell r="E691" t="str">
            <v>D B/P PKO</v>
          </cell>
          <cell r="BI691">
            <v>140.61599999999999</v>
          </cell>
          <cell r="EK691">
            <v>20</v>
          </cell>
          <cell r="EL691">
            <v>125.63</v>
          </cell>
        </row>
        <row r="692">
          <cell r="A692">
            <v>79</v>
          </cell>
          <cell r="B692" t="str">
            <v>IPRM</v>
          </cell>
          <cell r="C692" t="str">
            <v>NM</v>
          </cell>
          <cell r="D692" t="str">
            <v>FOR NEEM SOAP</v>
          </cell>
          <cell r="E692" t="str">
            <v>FOR NEEM SOAP</v>
          </cell>
          <cell r="CG692">
            <v>44.06</v>
          </cell>
          <cell r="DW692">
            <v>31.8</v>
          </cell>
          <cell r="EF692">
            <v>32.1</v>
          </cell>
          <cell r="EO692">
            <v>31.86</v>
          </cell>
        </row>
        <row r="693">
          <cell r="A693">
            <v>239</v>
          </cell>
          <cell r="B693" t="str">
            <v>IPRM</v>
          </cell>
          <cell r="C693" t="str">
            <v>NM</v>
          </cell>
          <cell r="D693" t="str">
            <v>FEED FOR ITC</v>
          </cell>
          <cell r="E693" t="str">
            <v>FEED FOR ITC</v>
          </cell>
        </row>
        <row r="694">
          <cell r="A694">
            <v>240</v>
          </cell>
          <cell r="B694" t="str">
            <v>IPRM</v>
          </cell>
          <cell r="C694" t="str">
            <v>NM</v>
          </cell>
          <cell r="D694" t="str">
            <v>MUSTARD-MCT</v>
          </cell>
          <cell r="E694" t="str">
            <v>MUSTARD-MCT</v>
          </cell>
        </row>
        <row r="695">
          <cell r="A695">
            <v>242</v>
          </cell>
          <cell r="B695" t="str">
            <v>IPRM</v>
          </cell>
          <cell r="C695" t="str">
            <v>NM</v>
          </cell>
          <cell r="D695" t="str">
            <v>HYD STEARIC-90</v>
          </cell>
          <cell r="E695" t="str">
            <v>HYD STEARIC-90</v>
          </cell>
        </row>
        <row r="696">
          <cell r="D696" t="str">
            <v>IPRM TOTAL</v>
          </cell>
          <cell r="F696">
            <v>767.96050000000002</v>
          </cell>
          <cell r="G696">
            <v>4649.6953599999997</v>
          </cell>
          <cell r="H696">
            <v>4932.1100000000006</v>
          </cell>
          <cell r="I696">
            <v>686.1</v>
          </cell>
          <cell r="J696">
            <v>0</v>
          </cell>
          <cell r="K696">
            <v>0</v>
          </cell>
          <cell r="L696">
            <v>0</v>
          </cell>
          <cell r="M696">
            <v>14.5</v>
          </cell>
          <cell r="O696">
            <v>891.63586800000007</v>
          </cell>
          <cell r="P696">
            <v>4371.2445600000001</v>
          </cell>
          <cell r="Q696">
            <v>5087.33</v>
          </cell>
          <cell r="R696">
            <v>733.19999999999993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341.00200000000001</v>
          </cell>
          <cell r="Y696">
            <v>6009.9469000000008</v>
          </cell>
          <cell r="Z696">
            <v>4726.2</v>
          </cell>
          <cell r="AA696">
            <v>1238.5</v>
          </cell>
          <cell r="AB696">
            <v>0</v>
          </cell>
          <cell r="AC696">
            <v>0</v>
          </cell>
          <cell r="AD696">
            <v>0</v>
          </cell>
          <cell r="AE696">
            <v>14.67</v>
          </cell>
          <cell r="AF696">
            <v>0</v>
          </cell>
          <cell r="AG696">
            <v>619.27</v>
          </cell>
          <cell r="AH696">
            <v>5611.5579600000001</v>
          </cell>
          <cell r="AI696">
            <v>4618.1620000000003</v>
          </cell>
          <cell r="AJ696">
            <v>1128.0522857142857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540.67149999999992</v>
          </cell>
          <cell r="AQ696">
            <v>6436.059659999999</v>
          </cell>
          <cell r="AR696">
            <v>4433.92</v>
          </cell>
          <cell r="AS696">
            <v>977</v>
          </cell>
          <cell r="AT696">
            <v>367.71499999999997</v>
          </cell>
          <cell r="AU696">
            <v>0</v>
          </cell>
          <cell r="AV696">
            <v>0</v>
          </cell>
          <cell r="AW696">
            <v>139.06</v>
          </cell>
          <cell r="AX696">
            <v>0</v>
          </cell>
          <cell r="AY696">
            <v>751.41649999999993</v>
          </cell>
          <cell r="AZ696">
            <v>6292.0118600000005</v>
          </cell>
          <cell r="BA696">
            <v>5189.01</v>
          </cell>
          <cell r="BB696">
            <v>1364.6</v>
          </cell>
          <cell r="BC696">
            <v>0</v>
          </cell>
          <cell r="BD696">
            <v>0</v>
          </cell>
          <cell r="BE696">
            <v>0</v>
          </cell>
          <cell r="BF696">
            <v>53.14</v>
          </cell>
          <cell r="BG696">
            <v>0</v>
          </cell>
          <cell r="BH696">
            <v>696.74599999999987</v>
          </cell>
          <cell r="BI696">
            <v>6202.2338599999994</v>
          </cell>
          <cell r="BJ696">
            <v>4419.2700000000004</v>
          </cell>
          <cell r="BK696">
            <v>1002.4000000000001</v>
          </cell>
          <cell r="BL696">
            <v>132.51</v>
          </cell>
          <cell r="BM696">
            <v>0</v>
          </cell>
          <cell r="BN696">
            <v>0</v>
          </cell>
          <cell r="BO696">
            <v>15</v>
          </cell>
          <cell r="BP696">
            <v>0</v>
          </cell>
          <cell r="BQ696">
            <v>741.66449999999998</v>
          </cell>
          <cell r="BR696">
            <v>5450.2794600000007</v>
          </cell>
          <cell r="BS696">
            <v>4463.84</v>
          </cell>
          <cell r="BT696">
            <v>962.09999999999991</v>
          </cell>
          <cell r="BU696">
            <v>233.63200000000001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418.36028799999991</v>
          </cell>
          <cell r="CA696">
            <v>5607.3752600000007</v>
          </cell>
          <cell r="CB696">
            <v>3966.74</v>
          </cell>
          <cell r="CC696">
            <v>828.6</v>
          </cell>
          <cell r="CD696">
            <v>322.452</v>
          </cell>
          <cell r="CE696">
            <v>0</v>
          </cell>
          <cell r="CF696">
            <v>0</v>
          </cell>
          <cell r="CG696">
            <v>82.210000000000008</v>
          </cell>
          <cell r="CH696">
            <v>0</v>
          </cell>
          <cell r="CI696">
            <v>421.1585</v>
          </cell>
          <cell r="CJ696">
            <v>5898.3409000000001</v>
          </cell>
          <cell r="CK696">
            <v>3663.8199999999997</v>
          </cell>
          <cell r="CL696">
            <v>969.9</v>
          </cell>
          <cell r="CM696">
            <v>287.358</v>
          </cell>
          <cell r="CN696">
            <v>0</v>
          </cell>
          <cell r="CO696">
            <v>0</v>
          </cell>
          <cell r="CP696">
            <v>254.39</v>
          </cell>
          <cell r="CQ696">
            <v>0</v>
          </cell>
          <cell r="CR696">
            <v>421.98367000000002</v>
          </cell>
          <cell r="CS696">
            <v>5779.6562000000004</v>
          </cell>
          <cell r="CT696">
            <v>3585.6000000000004</v>
          </cell>
          <cell r="CU696">
            <v>1056.1999999999998</v>
          </cell>
          <cell r="CV696">
            <v>0</v>
          </cell>
          <cell r="CW696">
            <v>0</v>
          </cell>
          <cell r="CX696">
            <v>0</v>
          </cell>
          <cell r="CY696">
            <v>100.02000000000001</v>
          </cell>
          <cell r="CZ696">
            <v>0</v>
          </cell>
          <cell r="DA696">
            <v>381.92267000000004</v>
          </cell>
          <cell r="DB696">
            <v>6147.6311599999999</v>
          </cell>
          <cell r="DC696">
            <v>3214.7</v>
          </cell>
          <cell r="DD696">
            <v>1472.8999999999999</v>
          </cell>
          <cell r="DE696">
            <v>0</v>
          </cell>
          <cell r="DF696">
            <v>0</v>
          </cell>
          <cell r="DG696">
            <v>0</v>
          </cell>
          <cell r="DH696">
            <v>49.78</v>
          </cell>
          <cell r="DI696">
            <v>0</v>
          </cell>
          <cell r="DJ696">
            <v>503.31150000000002</v>
          </cell>
          <cell r="DK696">
            <v>6617.7678599999999</v>
          </cell>
          <cell r="DL696">
            <v>3281.8599999999997</v>
          </cell>
          <cell r="DM696">
            <v>1267.1000000000001</v>
          </cell>
          <cell r="DN696">
            <v>243.291</v>
          </cell>
          <cell r="DO696">
            <v>0</v>
          </cell>
          <cell r="DP696">
            <v>0</v>
          </cell>
          <cell r="DQ696">
            <v>168.23000000000002</v>
          </cell>
          <cell r="DR696">
            <v>0</v>
          </cell>
          <cell r="DS696">
            <v>796.81066999999985</v>
          </cell>
          <cell r="DT696">
            <v>6402.4083600000004</v>
          </cell>
          <cell r="DU696">
            <v>3512.9399999999996</v>
          </cell>
          <cell r="DV696">
            <v>1170.5999999999999</v>
          </cell>
          <cell r="DW696">
            <v>31.8</v>
          </cell>
          <cell r="DX696">
            <v>0</v>
          </cell>
          <cell r="DY696">
            <v>0</v>
          </cell>
          <cell r="DZ696">
            <v>13.9</v>
          </cell>
          <cell r="EA696">
            <v>0</v>
          </cell>
          <cell r="EB696">
            <v>536.44950000000006</v>
          </cell>
          <cell r="EC696">
            <v>5894.3957000000009</v>
          </cell>
          <cell r="ED696">
            <v>3556.75</v>
          </cell>
          <cell r="EE696">
            <v>738.90000000000009</v>
          </cell>
          <cell r="EF696">
            <v>32.1</v>
          </cell>
          <cell r="EG696">
            <v>0</v>
          </cell>
          <cell r="EH696">
            <v>0</v>
          </cell>
          <cell r="EI696">
            <v>0</v>
          </cell>
          <cell r="EJ696">
            <v>0</v>
          </cell>
          <cell r="EK696">
            <v>492.17799999999994</v>
          </cell>
          <cell r="EL696">
            <v>6079.0820000000012</v>
          </cell>
          <cell r="EM696">
            <v>3252.7</v>
          </cell>
          <cell r="EN696">
            <v>1064.6999999999998</v>
          </cell>
          <cell r="EO696">
            <v>31.86</v>
          </cell>
          <cell r="EP696">
            <v>0</v>
          </cell>
          <cell r="EQ696">
            <v>4.5</v>
          </cell>
          <cell r="ER696">
            <v>0</v>
          </cell>
          <cell r="ES696">
            <v>0</v>
          </cell>
        </row>
        <row r="697">
          <cell r="A697" t="str">
            <v>FATTY ACID FINISHED PRODUCTS</v>
          </cell>
        </row>
        <row r="698">
          <cell r="A698">
            <v>80</v>
          </cell>
          <cell r="B698" t="str">
            <v>FG</v>
          </cell>
          <cell r="C698" t="str">
            <v>FM</v>
          </cell>
          <cell r="D698" t="str">
            <v>CPKO/MUSTO/MIX II RESIDUE</v>
          </cell>
          <cell r="E698" t="str">
            <v>PITCH</v>
          </cell>
          <cell r="F698">
            <v>46.147500000000001</v>
          </cell>
          <cell r="H698">
            <v>1281.8800000000001</v>
          </cell>
          <cell r="O698">
            <v>130.53149999999999</v>
          </cell>
          <cell r="Q698">
            <v>1282.1500000000001</v>
          </cell>
          <cell r="X698">
            <v>125.25749999999999</v>
          </cell>
          <cell r="Z698">
            <v>1227.94</v>
          </cell>
          <cell r="AG698">
            <v>225.46350000000001</v>
          </cell>
          <cell r="AI698">
            <v>1110.5400000000002</v>
          </cell>
          <cell r="AP698">
            <v>195.13800000000001</v>
          </cell>
          <cell r="AR698">
            <v>1238.8700000000001</v>
          </cell>
          <cell r="AY698">
            <v>141.0795</v>
          </cell>
          <cell r="BA698">
            <v>1175.8600000000001</v>
          </cell>
          <cell r="BH698">
            <v>104.1615</v>
          </cell>
          <cell r="BJ698">
            <v>1175.8600000000001</v>
          </cell>
          <cell r="BQ698">
            <v>139.761</v>
          </cell>
          <cell r="BS698">
            <v>1166.9100000000001</v>
          </cell>
          <cell r="BZ698">
            <v>142.398</v>
          </cell>
          <cell r="CB698">
            <v>1300.6100000000001</v>
          </cell>
          <cell r="CI698">
            <v>168.768</v>
          </cell>
          <cell r="CK698">
            <v>1429.91</v>
          </cell>
          <cell r="CR698">
            <v>163.494</v>
          </cell>
          <cell r="CT698">
            <v>1398.19</v>
          </cell>
          <cell r="DA698">
            <v>152.94999999999999</v>
          </cell>
          <cell r="DC698">
            <v>1382.78</v>
          </cell>
          <cell r="DJ698">
            <v>152.946</v>
          </cell>
          <cell r="DL698">
            <v>1381.27</v>
          </cell>
          <cell r="DS698">
            <v>152.946</v>
          </cell>
          <cell r="DU698">
            <v>1381.27</v>
          </cell>
          <cell r="EB698">
            <v>152.946</v>
          </cell>
          <cell r="ED698">
            <v>1381.27</v>
          </cell>
          <cell r="EK698">
            <v>151.6275</v>
          </cell>
          <cell r="EM698">
            <v>1381.27</v>
          </cell>
        </row>
        <row r="699">
          <cell r="A699">
            <v>81</v>
          </cell>
          <cell r="B699" t="str">
            <v>FG</v>
          </cell>
          <cell r="C699" t="str">
            <v>FM</v>
          </cell>
          <cell r="D699" t="str">
            <v>JBS(80:20)</v>
          </cell>
          <cell r="E699" t="str">
            <v>JBS(80:20)</v>
          </cell>
          <cell r="G699">
            <v>1.2159999999999997</v>
          </cell>
          <cell r="I699">
            <v>140.69999999999999</v>
          </cell>
          <cell r="M699">
            <v>30.07</v>
          </cell>
          <cell r="P699">
            <v>1.2159999999999997</v>
          </cell>
          <cell r="R699">
            <v>51.2</v>
          </cell>
          <cell r="AA699">
            <v>217.4</v>
          </cell>
          <cell r="AH699">
            <v>300.67599999999999</v>
          </cell>
          <cell r="AQ699">
            <v>84.090999999999994</v>
          </cell>
          <cell r="BB699">
            <v>51.2</v>
          </cell>
          <cell r="BK699">
            <v>24.299099999999999</v>
          </cell>
          <cell r="BT699">
            <v>121.5</v>
          </cell>
          <cell r="CC699">
            <v>236.6</v>
          </cell>
          <cell r="CL699">
            <v>102.3</v>
          </cell>
          <cell r="CU699">
            <v>249.4</v>
          </cell>
          <cell r="DD699">
            <v>454</v>
          </cell>
          <cell r="DM699">
            <v>319.7</v>
          </cell>
          <cell r="DV699">
            <v>185.4</v>
          </cell>
          <cell r="EE699">
            <v>236.6</v>
          </cell>
        </row>
        <row r="700">
          <cell r="A700">
            <v>82</v>
          </cell>
          <cell r="B700" t="str">
            <v>FG</v>
          </cell>
          <cell r="C700" t="str">
            <v>FM</v>
          </cell>
          <cell r="D700" t="str">
            <v>TRANSLUCENT</v>
          </cell>
          <cell r="E700" t="str">
            <v>TRANSLUCENT</v>
          </cell>
          <cell r="BT700">
            <v>243</v>
          </cell>
          <cell r="CY700">
            <v>67.650000000000006</v>
          </cell>
          <cell r="DK700">
            <v>45.415999999999997</v>
          </cell>
          <cell r="DM700">
            <v>189.9</v>
          </cell>
          <cell r="DW700">
            <v>51.5</v>
          </cell>
          <cell r="EF700">
            <v>51.58</v>
          </cell>
          <cell r="EO700">
            <v>51.58</v>
          </cell>
        </row>
        <row r="701">
          <cell r="A701">
            <v>83</v>
          </cell>
          <cell r="B701" t="str">
            <v>FG</v>
          </cell>
          <cell r="C701" t="str">
            <v>FM</v>
          </cell>
          <cell r="D701" t="str">
            <v>D.S.B</v>
          </cell>
          <cell r="E701" t="str">
            <v>DPFAD 70% + SDD PKO RES 30%</v>
          </cell>
          <cell r="G701">
            <v>73.75</v>
          </cell>
          <cell r="H701">
            <v>124.74</v>
          </cell>
          <cell r="I701">
            <v>982.2</v>
          </cell>
          <cell r="P701">
            <v>17.5</v>
          </cell>
          <cell r="Q701">
            <v>124.74</v>
          </cell>
          <cell r="R701">
            <v>871.5</v>
          </cell>
          <cell r="Y701">
            <v>210</v>
          </cell>
          <cell r="AA701">
            <v>436.1</v>
          </cell>
          <cell r="AH701">
            <v>140</v>
          </cell>
          <cell r="AJ701">
            <v>416.92140000000001</v>
          </cell>
          <cell r="AQ701">
            <v>15</v>
          </cell>
          <cell r="AS701">
            <v>199</v>
          </cell>
          <cell r="AZ701">
            <v>77.5</v>
          </cell>
          <cell r="BB701">
            <v>80.599999999999994</v>
          </cell>
          <cell r="BC701">
            <v>319.495</v>
          </cell>
          <cell r="BI701">
            <v>182.5</v>
          </cell>
          <cell r="BK701">
            <v>607.47749999999996</v>
          </cell>
          <cell r="BR701">
            <v>92.5</v>
          </cell>
          <cell r="CA701">
            <v>15</v>
          </cell>
          <cell r="CC701">
            <v>211</v>
          </cell>
          <cell r="CL701">
            <v>613.9</v>
          </cell>
          <cell r="CU701">
            <v>953.5</v>
          </cell>
          <cell r="CV701">
            <v>287.358</v>
          </cell>
          <cell r="DD701">
            <v>519.20000000000005</v>
          </cell>
          <cell r="DV701">
            <v>217.4</v>
          </cell>
          <cell r="EC701">
            <v>99.816000000000003</v>
          </cell>
          <cell r="EE701">
            <v>173.9</v>
          </cell>
          <cell r="EI701">
            <v>14.7</v>
          </cell>
          <cell r="EN701">
            <v>21.8</v>
          </cell>
        </row>
        <row r="702">
          <cell r="A702">
            <v>84</v>
          </cell>
          <cell r="B702" t="str">
            <v>FG</v>
          </cell>
          <cell r="C702" t="str">
            <v>FM</v>
          </cell>
          <cell r="D702" t="str">
            <v>JO BLEND</v>
          </cell>
          <cell r="E702" t="str">
            <v>JO BLEND</v>
          </cell>
          <cell r="J702">
            <v>212.22200000000001</v>
          </cell>
          <cell r="M702">
            <v>19.489999999999998</v>
          </cell>
          <cell r="S702">
            <v>226.65899999999999</v>
          </cell>
          <cell r="Y702">
            <v>66.835999999999999</v>
          </cell>
          <cell r="AB702">
            <v>287.04899999999998</v>
          </cell>
          <cell r="CS702">
            <v>195.86599999999999</v>
          </cell>
          <cell r="DB702">
            <v>203.88</v>
          </cell>
          <cell r="DE702">
            <v>260.392</v>
          </cell>
          <cell r="DK702">
            <v>289.31</v>
          </cell>
          <cell r="DW702">
            <v>196</v>
          </cell>
          <cell r="DZ702">
            <v>19.899999999999999</v>
          </cell>
          <cell r="EF702">
            <v>136.536</v>
          </cell>
          <cell r="EI702">
            <v>61.35</v>
          </cell>
          <cell r="EO702">
            <v>143.51</v>
          </cell>
        </row>
        <row r="703">
          <cell r="A703">
            <v>85</v>
          </cell>
          <cell r="B703" t="str">
            <v>FG</v>
          </cell>
          <cell r="C703" t="str">
            <v>FM</v>
          </cell>
          <cell r="D703" t="str">
            <v>ITC</v>
          </cell>
          <cell r="E703" t="str">
            <v>DPFAD 70% + DCPS 30%</v>
          </cell>
          <cell r="BI703">
            <v>260.07120000000003</v>
          </cell>
          <cell r="BR703">
            <v>180.78120000000001</v>
          </cell>
        </row>
        <row r="704">
          <cell r="A704">
            <v>86</v>
          </cell>
          <cell r="B704" t="str">
            <v>FG</v>
          </cell>
          <cell r="C704" t="str">
            <v>FM</v>
          </cell>
          <cell r="D704" t="str">
            <v>DDPKORESIDUEFA</v>
          </cell>
          <cell r="E704" t="str">
            <v>S DD PKO RES</v>
          </cell>
        </row>
        <row r="705">
          <cell r="A705">
            <v>87</v>
          </cell>
          <cell r="B705" t="str">
            <v>FG</v>
          </cell>
          <cell r="C705" t="str">
            <v>FM</v>
          </cell>
          <cell r="D705" t="str">
            <v>DRBDPS FOR P-12</v>
          </cell>
          <cell r="E705" t="str">
            <v>DRBDPS/CPS 65%+B/P PKO 35%</v>
          </cell>
        </row>
        <row r="706">
          <cell r="A706">
            <v>88</v>
          </cell>
          <cell r="B706" t="str">
            <v>FG</v>
          </cell>
          <cell r="C706" t="str">
            <v>FM</v>
          </cell>
          <cell r="D706" t="str">
            <v>DPKO</v>
          </cell>
          <cell r="E706" t="str">
            <v>D C12-C18</v>
          </cell>
          <cell r="G706">
            <v>152.51600000000002</v>
          </cell>
          <cell r="I706">
            <v>425.3</v>
          </cell>
          <cell r="P706">
            <v>163.82599999999999</v>
          </cell>
          <cell r="R706">
            <v>403</v>
          </cell>
          <cell r="Y706">
            <v>151.666</v>
          </cell>
          <cell r="AA706">
            <v>368.4</v>
          </cell>
          <cell r="AH706">
            <v>20.765999999999998</v>
          </cell>
          <cell r="AJ706">
            <v>319</v>
          </cell>
          <cell r="AQ706">
            <v>2.9159999999999995</v>
          </cell>
          <cell r="AS706">
            <v>224.2</v>
          </cell>
          <cell r="AZ706">
            <v>80.266000000000005</v>
          </cell>
          <cell r="BB706">
            <v>293.89999999999998</v>
          </cell>
          <cell r="BI706">
            <v>78.820999999999998</v>
          </cell>
          <cell r="BK706">
            <v>215.9</v>
          </cell>
          <cell r="BR706">
            <v>50.345999999999997</v>
          </cell>
          <cell r="BT706">
            <v>149.4</v>
          </cell>
          <cell r="CA706">
            <v>34.195999999999998</v>
          </cell>
          <cell r="CC706">
            <v>56.8</v>
          </cell>
          <cell r="CL706">
            <v>73.5</v>
          </cell>
          <cell r="CP706">
            <v>14</v>
          </cell>
          <cell r="DK706">
            <v>81.801000000000002</v>
          </cell>
          <cell r="DM706">
            <v>33.299999999999997</v>
          </cell>
          <cell r="DT706">
            <v>47.540999999999997</v>
          </cell>
          <cell r="DV706">
            <v>367.7</v>
          </cell>
          <cell r="EC706">
            <v>25.866</v>
          </cell>
          <cell r="EE706">
            <v>255.1</v>
          </cell>
          <cell r="EN706">
            <v>100.4</v>
          </cell>
        </row>
        <row r="707">
          <cell r="A707">
            <v>89</v>
          </cell>
          <cell r="B707" t="str">
            <v>FG</v>
          </cell>
          <cell r="C707" t="str">
            <v>FM</v>
          </cell>
          <cell r="D707" t="str">
            <v>DPFAD</v>
          </cell>
          <cell r="E707" t="str">
            <v>DPFAD</v>
          </cell>
          <cell r="G707">
            <v>23.315999999999999</v>
          </cell>
          <cell r="P707">
            <v>90.465999999999994</v>
          </cell>
          <cell r="AJ707">
            <v>447.61500000000001</v>
          </cell>
          <cell r="AS707">
            <v>518</v>
          </cell>
          <cell r="BB707">
            <v>6.4</v>
          </cell>
          <cell r="CC707">
            <v>410.5</v>
          </cell>
          <cell r="CL707">
            <v>365.1</v>
          </cell>
        </row>
        <row r="708">
          <cell r="A708">
            <v>258</v>
          </cell>
          <cell r="B708" t="str">
            <v>FG</v>
          </cell>
          <cell r="C708" t="str">
            <v>FM</v>
          </cell>
          <cell r="D708" t="str">
            <v>DRBDPS</v>
          </cell>
          <cell r="E708" t="str">
            <v>DRBDPS</v>
          </cell>
        </row>
        <row r="709">
          <cell r="A709">
            <v>90</v>
          </cell>
          <cell r="B709" t="str">
            <v>FG</v>
          </cell>
          <cell r="C709" t="str">
            <v>NM</v>
          </cell>
          <cell r="D709" t="str">
            <v>C6&gt;98%</v>
          </cell>
          <cell r="E709" t="str">
            <v>C6&gt;98%</v>
          </cell>
          <cell r="F709">
            <v>1.91</v>
          </cell>
          <cell r="O709">
            <v>1.907</v>
          </cell>
          <cell r="X709">
            <v>1.907</v>
          </cell>
          <cell r="AG709">
            <v>7.7119999999999997</v>
          </cell>
          <cell r="AP709">
            <v>42.542000000000002</v>
          </cell>
          <cell r="AY709">
            <v>43.187000000000005</v>
          </cell>
          <cell r="BH709">
            <v>18.032</v>
          </cell>
          <cell r="BQ709">
            <v>30.931999999999999</v>
          </cell>
          <cell r="BZ709">
            <v>1.262</v>
          </cell>
          <cell r="CI709">
            <v>27.061999999999998</v>
          </cell>
          <cell r="CR709">
            <v>18.032</v>
          </cell>
          <cell r="DA709">
            <v>18.032</v>
          </cell>
          <cell r="DJ709">
            <v>18.032</v>
          </cell>
          <cell r="DS709">
            <v>23.192</v>
          </cell>
          <cell r="EB709">
            <v>51.572000000000003</v>
          </cell>
          <cell r="EK709">
            <v>50.282000000000004</v>
          </cell>
        </row>
        <row r="710">
          <cell r="A710">
            <v>91</v>
          </cell>
          <cell r="B710" t="str">
            <v>FG</v>
          </cell>
          <cell r="C710" t="str">
            <v>FM</v>
          </cell>
          <cell r="D710" t="str">
            <v>C8&gt;98%</v>
          </cell>
          <cell r="E710" t="str">
            <v>C8&gt;98%</v>
          </cell>
          <cell r="F710">
            <v>207.41</v>
          </cell>
          <cell r="G710">
            <v>34.255000000000003</v>
          </cell>
          <cell r="O710">
            <v>207.9</v>
          </cell>
          <cell r="P710">
            <v>34.255000000000003</v>
          </cell>
          <cell r="X710">
            <v>132.16999999999999</v>
          </cell>
          <cell r="Y710">
            <v>33.83</v>
          </cell>
          <cell r="AG710">
            <v>146.52000000000001</v>
          </cell>
          <cell r="AH710">
            <v>32.130000000000003</v>
          </cell>
          <cell r="AP710">
            <v>159.38999999999999</v>
          </cell>
          <cell r="AQ710">
            <v>32.130000000000003</v>
          </cell>
          <cell r="AY710">
            <v>168.8</v>
          </cell>
          <cell r="AZ710">
            <v>33.83</v>
          </cell>
          <cell r="BH710">
            <v>153.44999999999999</v>
          </cell>
          <cell r="BI710">
            <v>33.83</v>
          </cell>
          <cell r="BQ710">
            <v>147.02000000000001</v>
          </cell>
          <cell r="BR710">
            <v>33.83</v>
          </cell>
          <cell r="BZ710">
            <v>124.74</v>
          </cell>
          <cell r="CA710">
            <v>33.83</v>
          </cell>
          <cell r="CI710">
            <v>186.12</v>
          </cell>
          <cell r="CJ710">
            <v>33.83</v>
          </cell>
          <cell r="CR710">
            <v>197.01</v>
          </cell>
          <cell r="CS710">
            <v>33.83</v>
          </cell>
          <cell r="DA710">
            <v>185.13</v>
          </cell>
          <cell r="DB710">
            <v>33.83</v>
          </cell>
          <cell r="DJ710">
            <v>67.319999999999993</v>
          </cell>
          <cell r="DK710">
            <v>33.83</v>
          </cell>
          <cell r="DS710">
            <v>51.98</v>
          </cell>
          <cell r="DT710">
            <v>33.83</v>
          </cell>
          <cell r="EB710">
            <v>159.88999999999999</v>
          </cell>
          <cell r="EC710">
            <v>33.83</v>
          </cell>
          <cell r="EK710">
            <v>145.53</v>
          </cell>
          <cell r="EL710">
            <v>33.83</v>
          </cell>
        </row>
        <row r="711">
          <cell r="A711">
            <v>92</v>
          </cell>
          <cell r="B711" t="str">
            <v>FG</v>
          </cell>
          <cell r="C711" t="str">
            <v>FM</v>
          </cell>
          <cell r="D711" t="str">
            <v>C10&gt;98%</v>
          </cell>
          <cell r="E711" t="str">
            <v>C10&gt;98%</v>
          </cell>
          <cell r="F711">
            <v>99.495000000000005</v>
          </cell>
          <cell r="O711">
            <v>98.504999999999995</v>
          </cell>
          <cell r="X711">
            <v>54.945</v>
          </cell>
          <cell r="AG711">
            <v>54.945</v>
          </cell>
          <cell r="AP711">
            <v>96.525000000000006</v>
          </cell>
          <cell r="AY711">
            <v>166.815</v>
          </cell>
          <cell r="BH711">
            <v>133.155</v>
          </cell>
          <cell r="BQ711">
            <v>124.74</v>
          </cell>
          <cell r="BZ711">
            <v>113.355</v>
          </cell>
          <cell r="CI711">
            <v>145.035</v>
          </cell>
          <cell r="CR711">
            <v>143.05500000000001</v>
          </cell>
          <cell r="DA711">
            <v>135.13999999999999</v>
          </cell>
          <cell r="DJ711">
            <v>118.30500000000001</v>
          </cell>
          <cell r="DS711">
            <v>111.375</v>
          </cell>
          <cell r="EB711">
            <v>147.01499999999999</v>
          </cell>
          <cell r="EK711">
            <v>167.80500000000001</v>
          </cell>
        </row>
        <row r="712">
          <cell r="A712">
            <v>93</v>
          </cell>
          <cell r="B712" t="str">
            <v>FG</v>
          </cell>
          <cell r="C712" t="str">
            <v>FM</v>
          </cell>
          <cell r="D712" t="str">
            <v>C8+C10&gt;98%</v>
          </cell>
          <cell r="E712" t="str">
            <v>C8+C10&gt;98%</v>
          </cell>
          <cell r="F712">
            <v>150.90025</v>
          </cell>
          <cell r="O712">
            <v>150.5686</v>
          </cell>
          <cell r="X712">
            <v>131.99619999999999</v>
          </cell>
          <cell r="AG712">
            <v>117.07195</v>
          </cell>
          <cell r="AP712">
            <v>165.49285</v>
          </cell>
          <cell r="AY712">
            <v>143.93560000000002</v>
          </cell>
          <cell r="BH712">
            <v>127.02145</v>
          </cell>
          <cell r="BQ712">
            <v>109.444</v>
          </cell>
          <cell r="BZ712">
            <v>49.0837</v>
          </cell>
          <cell r="CI712">
            <v>164.49789999999999</v>
          </cell>
          <cell r="CR712">
            <v>161.84469999999999</v>
          </cell>
          <cell r="DA712">
            <v>161.84469999999999</v>
          </cell>
          <cell r="DJ712">
            <v>144.59889999999999</v>
          </cell>
          <cell r="DS712">
            <v>111.43389999999999</v>
          </cell>
          <cell r="EB712">
            <v>131.3329</v>
          </cell>
          <cell r="EK712">
            <v>129.34299999999999</v>
          </cell>
        </row>
        <row r="713">
          <cell r="A713">
            <v>94</v>
          </cell>
          <cell r="B713" t="str">
            <v>FG</v>
          </cell>
          <cell r="C713" t="str">
            <v>FM</v>
          </cell>
          <cell r="D713" t="str">
            <v>C12&gt;99%</v>
          </cell>
          <cell r="E713" t="str">
            <v>C12&gt;99%</v>
          </cell>
          <cell r="I713">
            <v>494.8</v>
          </cell>
          <cell r="R713">
            <v>494.8</v>
          </cell>
          <cell r="AA713">
            <v>494.8</v>
          </cell>
          <cell r="AJ713">
            <v>494.80628571428571</v>
          </cell>
          <cell r="AS713">
            <v>494.8</v>
          </cell>
          <cell r="BB713">
            <v>494.8</v>
          </cell>
          <cell r="BK713">
            <v>494.80628571428571</v>
          </cell>
          <cell r="BT713">
            <v>494.8</v>
          </cell>
          <cell r="CC713">
            <v>494.8</v>
          </cell>
          <cell r="CL713">
            <v>494.8</v>
          </cell>
          <cell r="CU713">
            <v>494.8</v>
          </cell>
          <cell r="DD713">
            <v>494.8</v>
          </cell>
          <cell r="DM713">
            <v>494.8</v>
          </cell>
          <cell r="DV713">
            <v>494.8</v>
          </cell>
          <cell r="EE713">
            <v>465.4</v>
          </cell>
          <cell r="EN713">
            <v>465.4</v>
          </cell>
        </row>
        <row r="714">
          <cell r="A714">
            <v>95</v>
          </cell>
          <cell r="B714" t="str">
            <v>FG</v>
          </cell>
          <cell r="C714" t="str">
            <v>FM</v>
          </cell>
          <cell r="D714" t="str">
            <v>C14&gt;99%</v>
          </cell>
          <cell r="E714" t="str">
            <v>C14&gt;99%</v>
          </cell>
        </row>
        <row r="715">
          <cell r="A715">
            <v>96</v>
          </cell>
          <cell r="B715" t="str">
            <v>FG</v>
          </cell>
          <cell r="C715" t="str">
            <v>FM</v>
          </cell>
          <cell r="D715" t="str">
            <v>C12+14&gt;99</v>
          </cell>
          <cell r="E715" t="str">
            <v>C12-C14</v>
          </cell>
          <cell r="F715">
            <v>138.6</v>
          </cell>
          <cell r="I715">
            <v>588.29999999999995</v>
          </cell>
          <cell r="O715">
            <v>245.7</v>
          </cell>
          <cell r="R715">
            <v>747.2</v>
          </cell>
          <cell r="X715">
            <v>457.2</v>
          </cell>
          <cell r="AA715">
            <v>1815.8</v>
          </cell>
          <cell r="AG715">
            <v>457.2</v>
          </cell>
          <cell r="AJ715">
            <v>1601</v>
          </cell>
          <cell r="AP715">
            <v>181.8</v>
          </cell>
          <cell r="AS715">
            <v>1129</v>
          </cell>
          <cell r="AW715">
            <v>30</v>
          </cell>
          <cell r="BB715">
            <v>1268.4000000000001</v>
          </cell>
          <cell r="BK715">
            <v>1506</v>
          </cell>
          <cell r="BT715">
            <v>31.3</v>
          </cell>
          <cell r="CL715">
            <v>692.5</v>
          </cell>
          <cell r="CU715">
            <v>392.8</v>
          </cell>
          <cell r="DD715">
            <v>310.60000000000002</v>
          </cell>
          <cell r="DM715">
            <v>82.2</v>
          </cell>
          <cell r="DV715">
            <v>210.1</v>
          </cell>
          <cell r="EE715">
            <v>210.1</v>
          </cell>
          <cell r="EN715">
            <v>208.3</v>
          </cell>
        </row>
        <row r="716">
          <cell r="A716">
            <v>248</v>
          </cell>
          <cell r="B716" t="str">
            <v>FG</v>
          </cell>
          <cell r="C716" t="str">
            <v>FM</v>
          </cell>
          <cell r="D716" t="str">
            <v>C12+14&gt;99 (IMP)</v>
          </cell>
          <cell r="E716" t="str">
            <v>C12-C14 (IMP)</v>
          </cell>
        </row>
        <row r="717">
          <cell r="A717">
            <v>97</v>
          </cell>
          <cell r="B717" t="str">
            <v>FG</v>
          </cell>
          <cell r="C717" t="str">
            <v>FM</v>
          </cell>
          <cell r="D717" t="str">
            <v>C12+C14+C16&gt;99</v>
          </cell>
          <cell r="E717" t="str">
            <v>C12-C16</v>
          </cell>
        </row>
        <row r="718">
          <cell r="A718">
            <v>98</v>
          </cell>
          <cell r="B718" t="str">
            <v>FG</v>
          </cell>
          <cell r="C718" t="str">
            <v>FM</v>
          </cell>
          <cell r="D718" t="str">
            <v>C16&gt;90%</v>
          </cell>
          <cell r="E718" t="str">
            <v>C16&gt;90%</v>
          </cell>
          <cell r="EE718">
            <v>190.7</v>
          </cell>
        </row>
        <row r="719">
          <cell r="A719">
            <v>99</v>
          </cell>
          <cell r="B719" t="str">
            <v>FG</v>
          </cell>
          <cell r="C719" t="str">
            <v>FM</v>
          </cell>
          <cell r="D719" t="str">
            <v>C16&gt;99%</v>
          </cell>
          <cell r="E719" t="str">
            <v>C16&gt;99%</v>
          </cell>
          <cell r="F719">
            <v>413.57353000000001</v>
          </cell>
          <cell r="I719">
            <v>434.1</v>
          </cell>
          <cell r="M719">
            <v>302.91000000000003</v>
          </cell>
          <cell r="O719">
            <v>413.57353000000001</v>
          </cell>
          <cell r="R719">
            <v>434</v>
          </cell>
          <cell r="V719">
            <v>302.91000000000003</v>
          </cell>
          <cell r="X719">
            <v>413.57353000000001</v>
          </cell>
          <cell r="AA719">
            <v>434</v>
          </cell>
          <cell r="AG719">
            <v>413.57353000000001</v>
          </cell>
          <cell r="AJ719">
            <v>434.10514285714288</v>
          </cell>
          <cell r="AP719">
            <v>413.57353000000001</v>
          </cell>
          <cell r="AS719">
            <v>434.1</v>
          </cell>
          <cell r="AY719">
            <v>332.46358000000004</v>
          </cell>
          <cell r="BB719">
            <v>215.2</v>
          </cell>
          <cell r="BF719">
            <v>27</v>
          </cell>
          <cell r="BH719">
            <v>177.22087999999999</v>
          </cell>
          <cell r="BK719">
            <v>2.4</v>
          </cell>
          <cell r="BQ719">
            <v>176.34873000000002</v>
          </cell>
          <cell r="BZ719">
            <v>175.47658000000001</v>
          </cell>
          <cell r="CI719">
            <v>175.47658000000001</v>
          </cell>
          <cell r="CR719">
            <v>224.31698</v>
          </cell>
          <cell r="DA719">
            <v>276.64598000000007</v>
          </cell>
          <cell r="DD719">
            <v>55.2</v>
          </cell>
          <cell r="DJ719">
            <v>42.909779999999998</v>
          </cell>
          <cell r="DM719">
            <v>371.6</v>
          </cell>
          <cell r="DQ719">
            <v>105.23</v>
          </cell>
          <cell r="DS719">
            <v>55.119880000000002</v>
          </cell>
          <cell r="DV719">
            <v>596</v>
          </cell>
          <cell r="DZ719">
            <v>17</v>
          </cell>
        </row>
        <row r="720">
          <cell r="A720">
            <v>100</v>
          </cell>
          <cell r="B720" t="str">
            <v>FG</v>
          </cell>
          <cell r="C720" t="str">
            <v>FM</v>
          </cell>
          <cell r="D720" t="str">
            <v>DFA C16/C18</v>
          </cell>
          <cell r="E720" t="str">
            <v>DFA C16/C18</v>
          </cell>
          <cell r="AA720">
            <v>118.12</v>
          </cell>
          <cell r="AE720">
            <v>360</v>
          </cell>
          <cell r="AJ720">
            <v>257.39999999999998</v>
          </cell>
          <cell r="AN720">
            <v>216.72</v>
          </cell>
          <cell r="AW720">
            <v>236.79</v>
          </cell>
          <cell r="BB720">
            <v>992.9</v>
          </cell>
          <cell r="BK720">
            <v>358.416</v>
          </cell>
          <cell r="BO720">
            <v>297.48</v>
          </cell>
          <cell r="BX720">
            <v>297.48</v>
          </cell>
        </row>
        <row r="721">
          <cell r="A721">
            <v>101</v>
          </cell>
          <cell r="B721" t="str">
            <v>FG</v>
          </cell>
          <cell r="C721" t="str">
            <v>FM</v>
          </cell>
          <cell r="D721" t="str">
            <v>C18&gt;95%</v>
          </cell>
          <cell r="E721" t="str">
            <v>C18&gt;95%</v>
          </cell>
          <cell r="DD721">
            <v>169</v>
          </cell>
          <cell r="DM721">
            <v>305.2</v>
          </cell>
          <cell r="DV721">
            <v>305.2</v>
          </cell>
          <cell r="EE721">
            <v>470.7</v>
          </cell>
          <cell r="EN721">
            <v>242</v>
          </cell>
        </row>
        <row r="722">
          <cell r="A722">
            <v>102</v>
          </cell>
          <cell r="B722" t="str">
            <v>FG</v>
          </cell>
          <cell r="C722" t="str">
            <v>FM</v>
          </cell>
          <cell r="D722" t="str">
            <v>OLEIC-K</v>
          </cell>
          <cell r="E722" t="str">
            <v>OLEIC-K</v>
          </cell>
          <cell r="F722">
            <v>146.59</v>
          </cell>
          <cell r="O722">
            <v>141.24</v>
          </cell>
          <cell r="X722">
            <v>87.74</v>
          </cell>
          <cell r="AG722">
            <v>214</v>
          </cell>
          <cell r="AP722">
            <v>167.99</v>
          </cell>
          <cell r="AY722">
            <v>160.5</v>
          </cell>
          <cell r="BH722">
            <v>121.98</v>
          </cell>
          <cell r="BQ722">
            <v>282.48</v>
          </cell>
          <cell r="BZ722">
            <v>361.66</v>
          </cell>
          <cell r="CI722">
            <v>321</v>
          </cell>
          <cell r="CR722">
            <v>321</v>
          </cell>
          <cell r="DA722">
            <v>280.33999999999997</v>
          </cell>
          <cell r="DJ722">
            <v>228.98</v>
          </cell>
          <cell r="DS722">
            <v>188.32</v>
          </cell>
          <cell r="EB722">
            <v>188.32</v>
          </cell>
          <cell r="EK722">
            <v>188.32</v>
          </cell>
        </row>
        <row r="723">
          <cell r="A723">
            <v>103</v>
          </cell>
          <cell r="B723" t="str">
            <v>FG</v>
          </cell>
          <cell r="C723" t="str">
            <v>FM</v>
          </cell>
          <cell r="D723" t="str">
            <v>C16+C18(30:70)TA</v>
          </cell>
          <cell r="E723" t="str">
            <v>C16-C18</v>
          </cell>
          <cell r="AS723">
            <v>753.4</v>
          </cell>
          <cell r="BT723">
            <v>275.89999999999998</v>
          </cell>
          <cell r="CC723">
            <v>573.9</v>
          </cell>
          <cell r="CL723">
            <v>565.6</v>
          </cell>
          <cell r="CU723">
            <v>565.6</v>
          </cell>
          <cell r="DD723">
            <v>368.1</v>
          </cell>
          <cell r="DJ723">
            <v>232.2</v>
          </cell>
          <cell r="DM723">
            <v>151.9</v>
          </cell>
          <cell r="DS723">
            <v>387</v>
          </cell>
          <cell r="DV723">
            <v>481.9</v>
          </cell>
          <cell r="DZ723">
            <v>98.41</v>
          </cell>
          <cell r="EE723">
            <v>68.099999999999994</v>
          </cell>
        </row>
        <row r="724">
          <cell r="A724">
            <v>104</v>
          </cell>
          <cell r="B724" t="str">
            <v>FG</v>
          </cell>
          <cell r="C724" t="str">
            <v>FM</v>
          </cell>
          <cell r="D724" t="str">
            <v>HYD.RBDPS-G3</v>
          </cell>
          <cell r="E724" t="str">
            <v>HYD.RBDPS</v>
          </cell>
          <cell r="DD724">
            <v>1.5</v>
          </cell>
          <cell r="DM724">
            <v>100.8</v>
          </cell>
          <cell r="DV724">
            <v>177.39999999999998</v>
          </cell>
          <cell r="EE724">
            <v>91</v>
          </cell>
          <cell r="EI724">
            <v>15.02</v>
          </cell>
          <cell r="EN724">
            <v>63.9</v>
          </cell>
        </row>
        <row r="725">
          <cell r="A725">
            <v>105</v>
          </cell>
          <cell r="B725" t="str">
            <v>FG</v>
          </cell>
          <cell r="C725" t="str">
            <v>SM</v>
          </cell>
          <cell r="D725" t="str">
            <v>L/E MUSTARD C1820</v>
          </cell>
          <cell r="E725" t="str">
            <v>DFA C18C20 MFA</v>
          </cell>
          <cell r="G725">
            <v>181.84100000000001</v>
          </cell>
          <cell r="P725">
            <v>181.416</v>
          </cell>
          <cell r="Y725">
            <v>181.84100000000001</v>
          </cell>
          <cell r="AH725">
            <v>166.541</v>
          </cell>
          <cell r="AQ725">
            <v>166.11599999999999</v>
          </cell>
          <cell r="AZ725">
            <v>156.76600000000002</v>
          </cell>
          <cell r="BI725">
            <v>156.51100000000002</v>
          </cell>
          <cell r="BR725">
            <v>157.61599999999999</v>
          </cell>
          <cell r="CA725">
            <v>156.76600000000002</v>
          </cell>
          <cell r="CJ725">
            <v>156.76600000000002</v>
          </cell>
          <cell r="CS725">
            <v>156.76600000000002</v>
          </cell>
          <cell r="DB725">
            <v>153.36599999999999</v>
          </cell>
          <cell r="DK725">
            <v>141.89100000000002</v>
          </cell>
          <cell r="DT725">
            <v>132.11599999999999</v>
          </cell>
          <cell r="EC725">
            <v>124.46599999999999</v>
          </cell>
          <cell r="EL725">
            <v>116.816</v>
          </cell>
        </row>
        <row r="726">
          <cell r="A726">
            <v>106</v>
          </cell>
          <cell r="B726" t="str">
            <v>FG</v>
          </cell>
          <cell r="C726" t="str">
            <v>SM</v>
          </cell>
          <cell r="D726" t="str">
            <v>L/E MUSTARD UPTO C18 (OLEIC 15)</v>
          </cell>
          <cell r="E726" t="str">
            <v>DFA C18 PURE MFA (OLEIC 15)</v>
          </cell>
          <cell r="G726">
            <v>13.965999999999999</v>
          </cell>
          <cell r="P726">
            <v>3.7659999999999996</v>
          </cell>
          <cell r="Y726">
            <v>0.36599999999999966</v>
          </cell>
        </row>
        <row r="727">
          <cell r="A727">
            <v>107</v>
          </cell>
          <cell r="B727" t="str">
            <v>FG</v>
          </cell>
          <cell r="C727" t="str">
            <v>SM</v>
          </cell>
          <cell r="D727" t="str">
            <v>DC20+22&gt;98%</v>
          </cell>
          <cell r="E727" t="str">
            <v>C20-C22</v>
          </cell>
          <cell r="G727">
            <v>7.5803024000000034</v>
          </cell>
          <cell r="P727">
            <v>7.5803024000000034</v>
          </cell>
          <cell r="R727">
            <v>271.8</v>
          </cell>
          <cell r="Y727">
            <v>7.5803024000000034</v>
          </cell>
          <cell r="AH727">
            <v>7.5803024000000034</v>
          </cell>
          <cell r="AQ727">
            <v>7.5803024000000034</v>
          </cell>
          <cell r="AZ727">
            <v>7.5803024000000034</v>
          </cell>
          <cell r="BI727">
            <v>7.5803024000000034</v>
          </cell>
          <cell r="BR727">
            <v>7.5803024000000034</v>
          </cell>
          <cell r="CA727">
            <v>7.5803024000000034</v>
          </cell>
          <cell r="CJ727">
            <v>7.5803024000000034</v>
          </cell>
          <cell r="CS727">
            <v>6.8792824000000037</v>
          </cell>
          <cell r="DB727">
            <v>6.8792824000000037</v>
          </cell>
          <cell r="DK727">
            <v>6.8792824000000037</v>
          </cell>
          <cell r="DT727">
            <v>6.8792824000000037</v>
          </cell>
          <cell r="EC727">
            <v>6.8792824000000037</v>
          </cell>
          <cell r="EL727">
            <v>6.8792824000000037</v>
          </cell>
        </row>
        <row r="728">
          <cell r="A728">
            <v>108</v>
          </cell>
          <cell r="B728" t="str">
            <v>FG</v>
          </cell>
          <cell r="C728" t="str">
            <v>FM</v>
          </cell>
          <cell r="D728" t="str">
            <v>DC22:1&gt;90%</v>
          </cell>
          <cell r="E728" t="str">
            <v>ERUCIC</v>
          </cell>
          <cell r="G728">
            <v>77.290999999999997</v>
          </cell>
          <cell r="P728">
            <v>64.116</v>
          </cell>
          <cell r="Y728">
            <v>61.991</v>
          </cell>
          <cell r="AH728">
            <v>61.566000000000003</v>
          </cell>
          <cell r="AQ728">
            <v>61.566000000000003</v>
          </cell>
          <cell r="AZ728">
            <v>40.316000000000003</v>
          </cell>
          <cell r="BI728">
            <v>39.466000000000001</v>
          </cell>
          <cell r="BR728">
            <v>40.316000000000003</v>
          </cell>
          <cell r="CA728">
            <v>19.065999999999999</v>
          </cell>
          <cell r="CJ728">
            <v>19.065999999999999</v>
          </cell>
          <cell r="CS728">
            <v>18.216000000000001</v>
          </cell>
          <cell r="DB728">
            <v>18.216000000000001</v>
          </cell>
          <cell r="DK728">
            <v>18.216000000000001</v>
          </cell>
          <cell r="DT728">
            <v>18.216000000000001</v>
          </cell>
          <cell r="EC728">
            <v>18.216000000000001</v>
          </cell>
          <cell r="EL728">
            <v>108.682</v>
          </cell>
        </row>
        <row r="729">
          <cell r="A729">
            <v>109</v>
          </cell>
          <cell r="B729" t="str">
            <v>FG</v>
          </cell>
          <cell r="C729" t="str">
            <v>FM</v>
          </cell>
          <cell r="D729" t="str">
            <v>D C18/C22 - R</v>
          </cell>
          <cell r="E729" t="str">
            <v>D C18/C22 - R</v>
          </cell>
          <cell r="G729">
            <v>1022.8706</v>
          </cell>
          <cell r="P729">
            <v>1022.8706</v>
          </cell>
          <cell r="Y729">
            <v>1020.158</v>
          </cell>
          <cell r="AH729">
            <v>1014.7327999999999</v>
          </cell>
          <cell r="AQ729">
            <v>1014.7327999999999</v>
          </cell>
          <cell r="AZ729">
            <v>1012.0201999999999</v>
          </cell>
          <cell r="BI729">
            <v>1014.7327999999999</v>
          </cell>
          <cell r="BR729">
            <v>1014.7327999999999</v>
          </cell>
          <cell r="CA729">
            <v>1014.7327999999999</v>
          </cell>
          <cell r="CJ729">
            <v>998.45719999999994</v>
          </cell>
          <cell r="CS729">
            <v>998.45719999999994</v>
          </cell>
          <cell r="DB729">
            <v>998.45719999999994</v>
          </cell>
          <cell r="DK729">
            <v>976.75639999999999</v>
          </cell>
          <cell r="DT729">
            <v>976.75639999999999</v>
          </cell>
          <cell r="EC729">
            <v>976.75639999999999</v>
          </cell>
          <cell r="EL729">
            <v>949.63040000000001</v>
          </cell>
          <cell r="EN729">
            <v>97.8</v>
          </cell>
        </row>
        <row r="730">
          <cell r="A730">
            <v>110</v>
          </cell>
          <cell r="B730" t="str">
            <v>FG</v>
          </cell>
          <cell r="C730" t="str">
            <v>FM</v>
          </cell>
          <cell r="D730" t="str">
            <v>BEHENIC-90</v>
          </cell>
          <cell r="E730" t="str">
            <v>BEHENIC-90</v>
          </cell>
        </row>
        <row r="731">
          <cell r="A731">
            <v>111</v>
          </cell>
          <cell r="B731" t="str">
            <v>FG</v>
          </cell>
          <cell r="C731" t="str">
            <v>FM</v>
          </cell>
          <cell r="D731" t="str">
            <v>BEHENIC-75</v>
          </cell>
          <cell r="E731" t="str">
            <v>BEHENIC-75</v>
          </cell>
        </row>
        <row r="732">
          <cell r="A732">
            <v>112</v>
          </cell>
          <cell r="B732" t="str">
            <v>FG</v>
          </cell>
          <cell r="C732" t="str">
            <v>FM</v>
          </cell>
          <cell r="D732" t="str">
            <v>BEHENIC-85</v>
          </cell>
          <cell r="E732" t="str">
            <v>BEHENIC-85</v>
          </cell>
        </row>
        <row r="733">
          <cell r="A733">
            <v>113</v>
          </cell>
          <cell r="B733" t="str">
            <v>FG</v>
          </cell>
          <cell r="C733" t="str">
            <v>FM</v>
          </cell>
          <cell r="D733" t="str">
            <v>UTSR</v>
          </cell>
          <cell r="E733" t="str">
            <v>UTSR</v>
          </cell>
          <cell r="O733">
            <v>43.274999999999999</v>
          </cell>
          <cell r="X733">
            <v>49.005000000000003</v>
          </cell>
          <cell r="AP733">
            <v>4.2839999999999998</v>
          </cell>
          <cell r="AY733">
            <v>10.763</v>
          </cell>
          <cell r="BH733">
            <v>6.33</v>
          </cell>
          <cell r="BQ733">
            <v>77.935000000000002</v>
          </cell>
          <cell r="BZ733">
            <v>59.61</v>
          </cell>
          <cell r="CC733">
            <v>261.89999999999998</v>
          </cell>
          <cell r="CI733">
            <v>4.95</v>
          </cell>
          <cell r="CL733">
            <v>130.1</v>
          </cell>
          <cell r="CP733">
            <v>14.88</v>
          </cell>
          <cell r="CR733">
            <v>69.3</v>
          </cell>
          <cell r="CU733">
            <v>3.7</v>
          </cell>
          <cell r="DD733">
            <v>67.7</v>
          </cell>
          <cell r="DJ733">
            <v>23.92</v>
          </cell>
          <cell r="DM733">
            <v>1.2</v>
          </cell>
          <cell r="DS733">
            <v>87.614999999999995</v>
          </cell>
          <cell r="EB733">
            <v>83.655000000000001</v>
          </cell>
          <cell r="EI733">
            <v>27.75</v>
          </cell>
          <cell r="EK733">
            <v>91.08</v>
          </cell>
        </row>
        <row r="734">
          <cell r="A734">
            <v>114</v>
          </cell>
          <cell r="B734" t="str">
            <v>FG</v>
          </cell>
          <cell r="C734" t="str">
            <v>FM</v>
          </cell>
          <cell r="D734" t="str">
            <v>P-12</v>
          </cell>
          <cell r="E734" t="str">
            <v>P-12</v>
          </cell>
          <cell r="R734">
            <v>71</v>
          </cell>
          <cell r="BO734">
            <v>15</v>
          </cell>
        </row>
        <row r="735">
          <cell r="A735">
            <v>115</v>
          </cell>
          <cell r="B735" t="str">
            <v>FG</v>
          </cell>
          <cell r="C735" t="str">
            <v>FM</v>
          </cell>
          <cell r="D735" t="str">
            <v>DTP-7</v>
          </cell>
          <cell r="E735" t="str">
            <v>DTP-7</v>
          </cell>
          <cell r="X735">
            <v>78.704999999999998</v>
          </cell>
          <cell r="AG735">
            <v>49.5</v>
          </cell>
          <cell r="AS735">
            <v>180</v>
          </cell>
          <cell r="BT735">
            <v>98.2</v>
          </cell>
          <cell r="BX735">
            <v>6</v>
          </cell>
          <cell r="BZ735">
            <v>104.4</v>
          </cell>
          <cell r="CC735">
            <v>14.6</v>
          </cell>
          <cell r="CI735">
            <v>30.6</v>
          </cell>
          <cell r="CL735">
            <v>154.9</v>
          </cell>
          <cell r="CU735">
            <v>154.9</v>
          </cell>
          <cell r="DD735">
            <v>91.6</v>
          </cell>
          <cell r="DM735">
            <v>73.7</v>
          </cell>
          <cell r="DV735">
            <v>140.69999999999999</v>
          </cell>
          <cell r="EE735">
            <v>267.8</v>
          </cell>
          <cell r="EN735">
            <v>103.6</v>
          </cell>
        </row>
        <row r="736">
          <cell r="A736">
            <v>116</v>
          </cell>
          <cell r="B736" t="str">
            <v>FG</v>
          </cell>
          <cell r="C736" t="str">
            <v>FM</v>
          </cell>
          <cell r="D736" t="str">
            <v>DTP-CT</v>
          </cell>
          <cell r="E736" t="str">
            <v>DTP-CT</v>
          </cell>
          <cell r="N736">
            <v>0</v>
          </cell>
          <cell r="BQ736">
            <v>71.28</v>
          </cell>
          <cell r="BZ736">
            <v>74.25</v>
          </cell>
          <cell r="CI736">
            <v>72.27</v>
          </cell>
          <cell r="CR736">
            <v>27.72</v>
          </cell>
        </row>
        <row r="737">
          <cell r="A737">
            <v>117</v>
          </cell>
          <cell r="B737" t="str">
            <v>FG</v>
          </cell>
          <cell r="C737" t="str">
            <v>FM</v>
          </cell>
          <cell r="D737" t="str">
            <v>REFINED GLYCERINE-CP</v>
          </cell>
          <cell r="E737" t="str">
            <v>REFINED GLYCERINE-CP</v>
          </cell>
          <cell r="F737">
            <v>16.45</v>
          </cell>
          <cell r="J737">
            <v>30.404</v>
          </cell>
          <cell r="K737">
            <v>96.1</v>
          </cell>
          <cell r="O737">
            <v>7.52</v>
          </cell>
          <cell r="S737">
            <v>30.404</v>
          </cell>
          <cell r="U737">
            <v>80.180000000000007</v>
          </cell>
          <cell r="V737">
            <v>15</v>
          </cell>
          <cell r="X737">
            <v>7.52</v>
          </cell>
          <cell r="AB737">
            <v>94.212000000000003</v>
          </cell>
          <cell r="AC737">
            <v>44.45</v>
          </cell>
          <cell r="AG737">
            <v>7.52</v>
          </cell>
          <cell r="AL737">
            <v>33.049999999999997</v>
          </cell>
          <cell r="AP737">
            <v>12.38</v>
          </cell>
          <cell r="AT737">
            <v>65.305999999999997</v>
          </cell>
          <cell r="AV737">
            <v>62.96</v>
          </cell>
          <cell r="AY737">
            <v>12.38</v>
          </cell>
          <cell r="BC737">
            <v>86.304000000000002</v>
          </cell>
          <cell r="BD737">
            <v>114.31</v>
          </cell>
          <cell r="BL737">
            <v>93.09</v>
          </cell>
          <cell r="BM737">
            <v>258.07</v>
          </cell>
          <cell r="BQ737">
            <v>5.875</v>
          </cell>
          <cell r="BU737">
            <v>53.09</v>
          </cell>
          <cell r="BW737">
            <v>243.11</v>
          </cell>
          <cell r="BZ737">
            <v>3.5249999999999999</v>
          </cell>
          <cell r="CD737">
            <v>85.26</v>
          </cell>
          <cell r="CF737">
            <v>213.32</v>
          </cell>
          <cell r="CI737">
            <v>11</v>
          </cell>
          <cell r="CM737">
            <v>100.864</v>
          </cell>
          <cell r="CN737">
            <v>330.57</v>
          </cell>
          <cell r="CR737">
            <v>17.309999999999999</v>
          </cell>
          <cell r="CV737">
            <v>83.171999999999997</v>
          </cell>
          <cell r="CW737">
            <v>330.57</v>
          </cell>
          <cell r="DE737">
            <v>60.48</v>
          </cell>
          <cell r="DF737">
            <v>353.81</v>
          </cell>
          <cell r="DN737">
            <v>40.548000000000002</v>
          </cell>
          <cell r="DO737">
            <v>352.67</v>
          </cell>
          <cell r="DS737">
            <v>8</v>
          </cell>
          <cell r="DW737">
            <v>42.68</v>
          </cell>
          <cell r="DX737">
            <v>328.98</v>
          </cell>
          <cell r="EB737">
            <v>8.2249999999999996</v>
          </cell>
          <cell r="EF737">
            <v>18.443999999999999</v>
          </cell>
          <cell r="EG737">
            <v>270.97000000000003</v>
          </cell>
          <cell r="EK737">
            <v>3.5249999999999999</v>
          </cell>
          <cell r="EO737">
            <v>37.061999999999998</v>
          </cell>
          <cell r="EP737">
            <v>139.41999999999999</v>
          </cell>
        </row>
        <row r="738">
          <cell r="A738">
            <v>118</v>
          </cell>
          <cell r="B738" t="str">
            <v>FG</v>
          </cell>
          <cell r="C738" t="str">
            <v>FM</v>
          </cell>
          <cell r="D738" t="str">
            <v>REFINED GLYCERINE-IP</v>
          </cell>
          <cell r="E738" t="str">
            <v>REFINED GLYCERINE-IP</v>
          </cell>
          <cell r="J738">
            <v>21.920999999999999</v>
          </cell>
          <cell r="S738">
            <v>21.920999999999999</v>
          </cell>
          <cell r="AB738">
            <v>6.2290000000000001</v>
          </cell>
          <cell r="AT738">
            <v>69.688999999999993</v>
          </cell>
          <cell r="BC738">
            <v>88.28</v>
          </cell>
          <cell r="BL738">
            <v>13.28</v>
          </cell>
          <cell r="BU738">
            <v>64.013999999999996</v>
          </cell>
          <cell r="CD738">
            <v>29.283000000000001</v>
          </cell>
          <cell r="CM738">
            <v>8.8510000000000009</v>
          </cell>
          <cell r="CV738">
            <v>116.164</v>
          </cell>
          <cell r="DE738">
            <v>82.997</v>
          </cell>
          <cell r="DN738">
            <v>57.997</v>
          </cell>
          <cell r="DW738">
            <v>2.9969999999999999</v>
          </cell>
          <cell r="EF738">
            <v>25.423999999999999</v>
          </cell>
          <cell r="EO738">
            <v>59.296999999999997</v>
          </cell>
        </row>
        <row r="739">
          <cell r="A739">
            <v>119</v>
          </cell>
          <cell r="B739" t="str">
            <v>FG</v>
          </cell>
          <cell r="C739" t="str">
            <v>FM</v>
          </cell>
          <cell r="D739" t="str">
            <v>REFINED GLYCERINE-USP</v>
          </cell>
          <cell r="E739" t="str">
            <v>REFINED GLYCERINE-USP</v>
          </cell>
          <cell r="F739">
            <v>131.81</v>
          </cell>
          <cell r="O739">
            <v>127.78999999999999</v>
          </cell>
          <cell r="X739">
            <v>98.47</v>
          </cell>
          <cell r="AG739">
            <v>83.2</v>
          </cell>
          <cell r="AP739">
            <v>50.066000000000003</v>
          </cell>
          <cell r="AY739">
            <v>67.790000000000006</v>
          </cell>
          <cell r="BH739">
            <v>150.5</v>
          </cell>
          <cell r="BQ739">
            <v>187.81</v>
          </cell>
          <cell r="BZ739">
            <v>176.82</v>
          </cell>
          <cell r="CI739">
            <v>60.73</v>
          </cell>
          <cell r="CR739">
            <v>51.07</v>
          </cell>
          <cell r="DA739">
            <v>93.28</v>
          </cell>
          <cell r="DJ739">
            <v>163.65</v>
          </cell>
          <cell r="DS739">
            <v>111.22</v>
          </cell>
          <cell r="EB739">
            <v>98.18</v>
          </cell>
          <cell r="EK739">
            <v>133.96</v>
          </cell>
        </row>
        <row r="740">
          <cell r="A740">
            <v>120</v>
          </cell>
          <cell r="B740" t="str">
            <v>FG</v>
          </cell>
          <cell r="C740" t="str">
            <v>FM</v>
          </cell>
          <cell r="D740" t="str">
            <v>REFINED GLYCERINE-JP</v>
          </cell>
          <cell r="E740" t="str">
            <v>REFINED GLYCERINE-JP</v>
          </cell>
          <cell r="F740">
            <v>5</v>
          </cell>
          <cell r="O740">
            <v>5</v>
          </cell>
          <cell r="X740">
            <v>5</v>
          </cell>
          <cell r="AG740">
            <v>7</v>
          </cell>
          <cell r="AP740">
            <v>23</v>
          </cell>
          <cell r="AY740">
            <v>11</v>
          </cell>
          <cell r="BH740">
            <v>13</v>
          </cell>
          <cell r="BQ740">
            <v>11</v>
          </cell>
          <cell r="BZ740">
            <v>13</v>
          </cell>
          <cell r="CI740">
            <v>24</v>
          </cell>
          <cell r="CR740">
            <v>28</v>
          </cell>
          <cell r="DA740">
            <v>11</v>
          </cell>
          <cell r="DJ740">
            <v>12</v>
          </cell>
          <cell r="DS740">
            <v>26</v>
          </cell>
          <cell r="EB740">
            <v>24</v>
          </cell>
          <cell r="EK740">
            <v>28</v>
          </cell>
        </row>
        <row r="741">
          <cell r="A741">
            <v>238</v>
          </cell>
          <cell r="B741" t="str">
            <v>FG</v>
          </cell>
          <cell r="C741" t="str">
            <v>FM</v>
          </cell>
          <cell r="D741" t="str">
            <v>DFA C18/C22 C22:1</v>
          </cell>
          <cell r="E741" t="str">
            <v>DFA C18/C22 C22:1</v>
          </cell>
        </row>
        <row r="742">
          <cell r="A742">
            <v>243</v>
          </cell>
          <cell r="B742" t="str">
            <v>FG</v>
          </cell>
          <cell r="C742" t="str">
            <v>FM</v>
          </cell>
          <cell r="D742" t="str">
            <v>STEARIC-90</v>
          </cell>
          <cell r="E742" t="str">
            <v>STEARIC-90</v>
          </cell>
        </row>
        <row r="743">
          <cell r="A743">
            <v>245</v>
          </cell>
          <cell r="B743" t="str">
            <v>FG</v>
          </cell>
          <cell r="C743" t="str">
            <v>FM</v>
          </cell>
          <cell r="D743" t="str">
            <v>HPS</v>
          </cell>
          <cell r="E743" t="str">
            <v>HPS</v>
          </cell>
        </row>
        <row r="744">
          <cell r="A744">
            <v>249</v>
          </cell>
          <cell r="B744" t="str">
            <v>FG</v>
          </cell>
          <cell r="C744" t="str">
            <v>FM</v>
          </cell>
          <cell r="D744" t="str">
            <v>OLEIC - IG</v>
          </cell>
          <cell r="E744" t="str">
            <v>OLEIC - IG</v>
          </cell>
        </row>
        <row r="745">
          <cell r="F745">
            <v>1357.8862799999999</v>
          </cell>
          <cell r="G745">
            <v>1588.6019024</v>
          </cell>
          <cell r="H745">
            <v>1406.6200000000001</v>
          </cell>
          <cell r="I745">
            <v>3065.4</v>
          </cell>
          <cell r="J745">
            <v>264.54700000000003</v>
          </cell>
          <cell r="K745">
            <v>96.1</v>
          </cell>
          <cell r="L745">
            <v>0</v>
          </cell>
          <cell r="M745">
            <v>352.47</v>
          </cell>
          <cell r="O745">
            <v>1573.51063</v>
          </cell>
          <cell r="P745">
            <v>1587.0119024000001</v>
          </cell>
          <cell r="Q745">
            <v>1406.89</v>
          </cell>
          <cell r="R745">
            <v>3344.5</v>
          </cell>
          <cell r="S745">
            <v>278.98399999999998</v>
          </cell>
          <cell r="T745">
            <v>0</v>
          </cell>
          <cell r="U745">
            <v>80.180000000000007</v>
          </cell>
          <cell r="V745">
            <v>317.91000000000003</v>
          </cell>
          <cell r="W745">
            <v>0</v>
          </cell>
          <cell r="X745">
            <v>1643.4892300000001</v>
          </cell>
          <cell r="Y745">
            <v>1734.2683024</v>
          </cell>
          <cell r="Z745">
            <v>1227.94</v>
          </cell>
          <cell r="AA745">
            <v>3884.62</v>
          </cell>
          <cell r="AB745">
            <v>387.48999999999995</v>
          </cell>
          <cell r="AC745">
            <v>44.45</v>
          </cell>
          <cell r="AD745">
            <v>0</v>
          </cell>
          <cell r="AE745">
            <v>360</v>
          </cell>
          <cell r="AF745">
            <v>0</v>
          </cell>
          <cell r="AG745">
            <v>1783.70598</v>
          </cell>
          <cell r="AH745">
            <v>1743.9921024</v>
          </cell>
          <cell r="AI745">
            <v>1110.5400000000002</v>
          </cell>
          <cell r="AJ745">
            <v>3970.8478285714286</v>
          </cell>
          <cell r="AK745">
            <v>0</v>
          </cell>
          <cell r="AL745">
            <v>33.049999999999997</v>
          </cell>
          <cell r="AM745">
            <v>0</v>
          </cell>
          <cell r="AN745">
            <v>216.72</v>
          </cell>
          <cell r="AO745">
            <v>0</v>
          </cell>
          <cell r="AP745">
            <v>1512.1813800000004</v>
          </cell>
          <cell r="AQ745">
            <v>1384.1321023999999</v>
          </cell>
          <cell r="AR745">
            <v>1238.8700000000001</v>
          </cell>
          <cell r="AS745">
            <v>3932.5</v>
          </cell>
          <cell r="AT745">
            <v>134.995</v>
          </cell>
          <cell r="AU745">
            <v>0</v>
          </cell>
          <cell r="AV745">
            <v>62.96</v>
          </cell>
          <cell r="AW745">
            <v>266.78999999999996</v>
          </cell>
          <cell r="AX745">
            <v>0</v>
          </cell>
          <cell r="AY745">
            <v>1258.7136800000001</v>
          </cell>
          <cell r="AZ745">
            <v>1408.2785024</v>
          </cell>
          <cell r="BA745">
            <v>1175.8600000000001</v>
          </cell>
          <cell r="BB745">
            <v>3403.4</v>
          </cell>
          <cell r="BC745">
            <v>494.07899999999995</v>
          </cell>
          <cell r="BD745">
            <v>114.31</v>
          </cell>
          <cell r="BE745">
            <v>0</v>
          </cell>
          <cell r="BF745">
            <v>27</v>
          </cell>
          <cell r="BG745">
            <v>0</v>
          </cell>
          <cell r="BH745">
            <v>1004.85083</v>
          </cell>
          <cell r="BI745">
            <v>1773.5123024</v>
          </cell>
          <cell r="BJ745">
            <v>1175.8600000000001</v>
          </cell>
          <cell r="BK745">
            <v>3209.2988857142859</v>
          </cell>
          <cell r="BL745">
            <v>106.37</v>
          </cell>
          <cell r="BM745">
            <v>258.07</v>
          </cell>
          <cell r="BN745">
            <v>0</v>
          </cell>
          <cell r="BO745">
            <v>312.48</v>
          </cell>
          <cell r="BP745">
            <v>0</v>
          </cell>
          <cell r="BQ745">
            <v>1364.62573</v>
          </cell>
          <cell r="BR745">
            <v>1577.7023024</v>
          </cell>
          <cell r="BS745">
            <v>1166.9100000000001</v>
          </cell>
          <cell r="BT745">
            <v>1414.1000000000001</v>
          </cell>
          <cell r="BU745">
            <v>117.104</v>
          </cell>
          <cell r="BV745">
            <v>0</v>
          </cell>
          <cell r="BW745">
            <v>243.11</v>
          </cell>
          <cell r="BX745">
            <v>303.48</v>
          </cell>
          <cell r="BY745">
            <v>0</v>
          </cell>
          <cell r="BZ745">
            <v>1399.5802800000001</v>
          </cell>
          <cell r="CA745">
            <v>1281.1711023999999</v>
          </cell>
          <cell r="CB745">
            <v>1300.6100000000001</v>
          </cell>
          <cell r="CC745">
            <v>2260.1</v>
          </cell>
          <cell r="CD745">
            <v>114.54300000000001</v>
          </cell>
          <cell r="CE745">
            <v>0</v>
          </cell>
          <cell r="CF745">
            <v>213.32</v>
          </cell>
          <cell r="CG745">
            <v>0</v>
          </cell>
          <cell r="CH745">
            <v>0</v>
          </cell>
          <cell r="CI745">
            <v>1391.5094799999999</v>
          </cell>
          <cell r="CJ745">
            <v>1215.6995024</v>
          </cell>
          <cell r="CK745">
            <v>1429.91</v>
          </cell>
          <cell r="CL745">
            <v>3192.7</v>
          </cell>
          <cell r="CM745">
            <v>109.715</v>
          </cell>
          <cell r="CN745">
            <v>330.57</v>
          </cell>
          <cell r="CO745">
            <v>0</v>
          </cell>
          <cell r="CP745">
            <v>28.880000000000003</v>
          </cell>
          <cell r="CQ745">
            <v>0</v>
          </cell>
          <cell r="CR745">
            <v>1422.1526799999999</v>
          </cell>
          <cell r="CS745">
            <v>1410.0144823999999</v>
          </cell>
          <cell r="CT745">
            <v>1398.19</v>
          </cell>
          <cell r="CU745">
            <v>2814.7</v>
          </cell>
          <cell r="CV745">
            <v>486.69399999999996</v>
          </cell>
          <cell r="CW745">
            <v>330.57</v>
          </cell>
          <cell r="CX745">
            <v>0</v>
          </cell>
          <cell r="CY745">
            <v>67.650000000000006</v>
          </cell>
          <cell r="CZ745">
            <v>0</v>
          </cell>
          <cell r="DA745">
            <v>1314.36268</v>
          </cell>
          <cell r="DB745">
            <v>1414.6284823999999</v>
          </cell>
          <cell r="DC745">
            <v>1382.78</v>
          </cell>
          <cell r="DD745">
            <v>2531.6999999999998</v>
          </cell>
          <cell r="DE745">
            <v>403.86900000000003</v>
          </cell>
          <cell r="DF745">
            <v>353.81</v>
          </cell>
          <cell r="DG745">
            <v>0</v>
          </cell>
          <cell r="DH745">
            <v>0</v>
          </cell>
          <cell r="DI745">
            <v>0</v>
          </cell>
          <cell r="DJ745">
            <v>1204.8616800000002</v>
          </cell>
          <cell r="DK745">
            <v>1594.0996823999999</v>
          </cell>
          <cell r="DL745">
            <v>1381.27</v>
          </cell>
          <cell r="DM745">
            <v>2124.2999999999997</v>
          </cell>
          <cell r="DN745">
            <v>98.545000000000002</v>
          </cell>
          <cell r="DO745">
            <v>352.67</v>
          </cell>
          <cell r="DP745">
            <v>0</v>
          </cell>
          <cell r="DQ745">
            <v>105.23</v>
          </cell>
          <cell r="DR745">
            <v>0</v>
          </cell>
          <cell r="DS745">
            <v>1314.2017800000001</v>
          </cell>
          <cell r="DT745">
            <v>1215.3386823999999</v>
          </cell>
          <cell r="DU745">
            <v>1381.27</v>
          </cell>
          <cell r="DV745">
            <v>3176.5999999999995</v>
          </cell>
          <cell r="DW745">
            <v>293.17700000000002</v>
          </cell>
          <cell r="DX745">
            <v>328.98</v>
          </cell>
          <cell r="DY745">
            <v>0</v>
          </cell>
          <cell r="DZ745">
            <v>135.31</v>
          </cell>
          <cell r="EA745">
            <v>0</v>
          </cell>
          <cell r="EB745">
            <v>1045.1359</v>
          </cell>
          <cell r="EC745">
            <v>1285.8296823999999</v>
          </cell>
          <cell r="ED745">
            <v>1381.27</v>
          </cell>
          <cell r="EE745">
            <v>2429.4</v>
          </cell>
          <cell r="EF745">
            <v>231.98399999999998</v>
          </cell>
          <cell r="EG745">
            <v>270.97000000000003</v>
          </cell>
          <cell r="EH745">
            <v>0</v>
          </cell>
          <cell r="EI745">
            <v>118.82</v>
          </cell>
          <cell r="EJ745">
            <v>0</v>
          </cell>
          <cell r="EK745">
            <v>1089.4725000000001</v>
          </cell>
          <cell r="EL745">
            <v>1215.8376823999999</v>
          </cell>
          <cell r="EM745">
            <v>1381.27</v>
          </cell>
          <cell r="EN745">
            <v>1303.2</v>
          </cell>
          <cell r="EO745">
            <v>291.44899999999996</v>
          </cell>
          <cell r="EP745">
            <v>139.41999999999999</v>
          </cell>
          <cell r="EQ745">
            <v>0</v>
          </cell>
          <cell r="ER745">
            <v>0</v>
          </cell>
          <cell r="ES745">
            <v>0</v>
          </cell>
        </row>
        <row r="746">
          <cell r="A746" t="str">
            <v>DRUMS</v>
          </cell>
        </row>
        <row r="747">
          <cell r="A747">
            <v>121</v>
          </cell>
          <cell r="B747" t="str">
            <v>FG</v>
          </cell>
          <cell r="C747" t="str">
            <v>FM</v>
          </cell>
          <cell r="D747" t="str">
            <v>REFINED GLYCERINE-CP</v>
          </cell>
          <cell r="H747">
            <v>2.09</v>
          </cell>
          <cell r="Q747">
            <v>2.09</v>
          </cell>
          <cell r="X747">
            <v>1.75</v>
          </cell>
          <cell r="Z747">
            <v>2.09</v>
          </cell>
          <cell r="AB747">
            <v>3</v>
          </cell>
          <cell r="AG747">
            <v>5.5</v>
          </cell>
          <cell r="AI747">
            <v>2</v>
          </cell>
          <cell r="AP747">
            <v>5.5</v>
          </cell>
          <cell r="AR747">
            <v>2.09</v>
          </cell>
          <cell r="AT747">
            <v>72.5</v>
          </cell>
          <cell r="AY747">
            <v>0.5</v>
          </cell>
          <cell r="BA747">
            <v>2.09</v>
          </cell>
          <cell r="BC747">
            <v>94.5</v>
          </cell>
          <cell r="BH747">
            <v>0.5</v>
          </cell>
          <cell r="BJ747">
            <v>2.09</v>
          </cell>
          <cell r="BL747">
            <v>99.5</v>
          </cell>
          <cell r="BQ747">
            <v>15.5</v>
          </cell>
          <cell r="BS747">
            <v>2.09</v>
          </cell>
          <cell r="BU747">
            <v>72</v>
          </cell>
          <cell r="BZ747">
            <v>6.25</v>
          </cell>
          <cell r="CB747">
            <v>2.09</v>
          </cell>
          <cell r="CD747">
            <v>61</v>
          </cell>
          <cell r="CI747">
            <v>2.25</v>
          </cell>
          <cell r="CK747">
            <v>2.09</v>
          </cell>
          <cell r="CM747">
            <v>20.5</v>
          </cell>
          <cell r="CR747">
            <v>0.25</v>
          </cell>
          <cell r="CT747">
            <v>2.09</v>
          </cell>
          <cell r="CV747">
            <v>43</v>
          </cell>
          <cell r="DA747">
            <v>10.25</v>
          </cell>
          <cell r="DC747">
            <v>2.09</v>
          </cell>
          <cell r="DE747">
            <v>71.5</v>
          </cell>
          <cell r="DJ747">
            <v>8.5</v>
          </cell>
          <cell r="DL747">
            <v>2.09</v>
          </cell>
          <cell r="DN747">
            <v>56</v>
          </cell>
          <cell r="DS747">
            <v>8.5</v>
          </cell>
          <cell r="DU747">
            <v>0.09</v>
          </cell>
          <cell r="DW747">
            <v>23.5</v>
          </cell>
          <cell r="EB747">
            <v>3</v>
          </cell>
          <cell r="ED747">
            <v>0.09</v>
          </cell>
          <cell r="EF747">
            <v>10.25</v>
          </cell>
          <cell r="EK747">
            <v>3</v>
          </cell>
          <cell r="EM747">
            <v>0.09</v>
          </cell>
          <cell r="EO747">
            <v>15</v>
          </cell>
        </row>
        <row r="748">
          <cell r="A748">
            <v>122</v>
          </cell>
          <cell r="B748" t="str">
            <v>FG</v>
          </cell>
          <cell r="C748" t="str">
            <v>FM</v>
          </cell>
          <cell r="D748" t="str">
            <v>REFINED GLYCERINE-IP</v>
          </cell>
          <cell r="F748">
            <v>6</v>
          </cell>
          <cell r="H748">
            <v>2.75</v>
          </cell>
          <cell r="J748">
            <v>14</v>
          </cell>
          <cell r="Q748">
            <v>2.75</v>
          </cell>
          <cell r="S748">
            <v>14</v>
          </cell>
          <cell r="X748">
            <v>4.75</v>
          </cell>
          <cell r="Z748">
            <v>2.75</v>
          </cell>
          <cell r="AB748">
            <v>55</v>
          </cell>
          <cell r="AG748">
            <v>4.75</v>
          </cell>
          <cell r="AI748">
            <v>2.75</v>
          </cell>
          <cell r="AP748">
            <v>11.25</v>
          </cell>
          <cell r="AR748">
            <v>2.75</v>
          </cell>
          <cell r="AT748">
            <v>57.75</v>
          </cell>
          <cell r="AY748">
            <v>0.75</v>
          </cell>
          <cell r="BA748">
            <v>2.75</v>
          </cell>
          <cell r="BC748">
            <v>34.5</v>
          </cell>
          <cell r="BH748">
            <v>0.75</v>
          </cell>
          <cell r="BJ748">
            <v>2.75</v>
          </cell>
          <cell r="BL748">
            <v>61.25</v>
          </cell>
          <cell r="BQ748">
            <v>7.75</v>
          </cell>
          <cell r="BS748">
            <v>2.75</v>
          </cell>
          <cell r="BU748">
            <v>4.75</v>
          </cell>
          <cell r="BZ748">
            <v>7.75</v>
          </cell>
          <cell r="CB748">
            <v>2.75</v>
          </cell>
          <cell r="CD748">
            <v>15.75</v>
          </cell>
          <cell r="CI748">
            <v>3.75</v>
          </cell>
          <cell r="CK748">
            <v>2.75</v>
          </cell>
          <cell r="CM748">
            <v>30.75</v>
          </cell>
          <cell r="CR748">
            <v>0.75</v>
          </cell>
          <cell r="CT748">
            <v>2.75</v>
          </cell>
          <cell r="CV748">
            <v>8.75</v>
          </cell>
          <cell r="DA748">
            <v>12.75</v>
          </cell>
          <cell r="DC748">
            <v>2.75</v>
          </cell>
          <cell r="DE748">
            <v>53.5</v>
          </cell>
          <cell r="DJ748">
            <v>8.75</v>
          </cell>
          <cell r="DL748">
            <v>2.75</v>
          </cell>
          <cell r="DN748">
            <v>29.5</v>
          </cell>
          <cell r="DS748">
            <v>8.75</v>
          </cell>
          <cell r="DW748">
            <v>6.5</v>
          </cell>
          <cell r="EB748">
            <v>3.25</v>
          </cell>
          <cell r="EF748">
            <v>50.75</v>
          </cell>
          <cell r="EK748">
            <v>10.5</v>
          </cell>
          <cell r="EO748">
            <v>18.25</v>
          </cell>
        </row>
        <row r="749">
          <cell r="A749">
            <v>123</v>
          </cell>
          <cell r="B749" t="str">
            <v>FG</v>
          </cell>
          <cell r="C749" t="str">
            <v>FM</v>
          </cell>
          <cell r="D749" t="str">
            <v>REFINED GLYCERINE-USP</v>
          </cell>
          <cell r="F749">
            <v>4</v>
          </cell>
          <cell r="X749">
            <v>18</v>
          </cell>
          <cell r="AY749">
            <v>18</v>
          </cell>
          <cell r="BQ749">
            <v>18</v>
          </cell>
          <cell r="CI749">
            <v>24</v>
          </cell>
          <cell r="CR749">
            <v>44</v>
          </cell>
          <cell r="DA749">
            <v>6</v>
          </cell>
        </row>
        <row r="750">
          <cell r="A750">
            <v>124</v>
          </cell>
          <cell r="B750" t="str">
            <v>FG</v>
          </cell>
          <cell r="C750" t="str">
            <v>FM</v>
          </cell>
          <cell r="D750" t="str">
            <v>REFINED GLYCERINE-JP</v>
          </cell>
        </row>
        <row r="751">
          <cell r="A751">
            <v>125</v>
          </cell>
          <cell r="B751" t="str">
            <v>FG</v>
          </cell>
          <cell r="C751" t="str">
            <v>FM</v>
          </cell>
          <cell r="D751" t="str">
            <v>DPKO</v>
          </cell>
          <cell r="F751">
            <v>17.46</v>
          </cell>
          <cell r="X751">
            <v>4.68</v>
          </cell>
          <cell r="AG751">
            <v>3.42</v>
          </cell>
          <cell r="AP751">
            <v>6.03</v>
          </cell>
          <cell r="AY751">
            <v>14.04</v>
          </cell>
          <cell r="BH751">
            <v>5.13</v>
          </cell>
          <cell r="BQ751">
            <v>19.350000000000001</v>
          </cell>
          <cell r="BZ751">
            <v>2.25</v>
          </cell>
          <cell r="CI751">
            <v>1.53</v>
          </cell>
          <cell r="CR751">
            <v>1.35</v>
          </cell>
          <cell r="DA751">
            <v>0.09</v>
          </cell>
          <cell r="DJ751">
            <v>0.72</v>
          </cell>
          <cell r="DS751">
            <v>0.72</v>
          </cell>
          <cell r="EK751">
            <v>14.67</v>
          </cell>
        </row>
        <row r="752">
          <cell r="A752">
            <v>126</v>
          </cell>
          <cell r="B752" t="str">
            <v>FG</v>
          </cell>
          <cell r="C752" t="str">
            <v>FM</v>
          </cell>
          <cell r="D752" t="str">
            <v>C6&gt;98%</v>
          </cell>
          <cell r="F752">
            <v>0.18</v>
          </cell>
          <cell r="H752">
            <v>0.89999999999999991</v>
          </cell>
          <cell r="Q752">
            <v>0.89999999999999991</v>
          </cell>
          <cell r="X752">
            <v>0.18</v>
          </cell>
          <cell r="Z752">
            <v>0.89999999999999991</v>
          </cell>
          <cell r="AG752">
            <v>0.18</v>
          </cell>
          <cell r="AI752">
            <v>0.89999999999999991</v>
          </cell>
          <cell r="AP752">
            <v>0.18</v>
          </cell>
          <cell r="AR752">
            <v>0.89999999999999991</v>
          </cell>
          <cell r="AY752">
            <v>0.18</v>
          </cell>
          <cell r="BA752">
            <v>0.89999999999999991</v>
          </cell>
          <cell r="BH752">
            <v>28.98</v>
          </cell>
          <cell r="BJ752">
            <v>0.89999999999999991</v>
          </cell>
          <cell r="BQ752">
            <v>28.98</v>
          </cell>
          <cell r="BS752">
            <v>0.89999999999999991</v>
          </cell>
          <cell r="BZ752">
            <v>57.6</v>
          </cell>
          <cell r="CB752">
            <v>0.89999999999999991</v>
          </cell>
          <cell r="CI752">
            <v>28.98</v>
          </cell>
          <cell r="CK752">
            <v>0.9</v>
          </cell>
          <cell r="CR752">
            <v>0.18</v>
          </cell>
          <cell r="CT752">
            <v>0.89999999999999991</v>
          </cell>
          <cell r="DA752">
            <v>0.18</v>
          </cell>
          <cell r="DC752">
            <v>0.89999999999999991</v>
          </cell>
          <cell r="DJ752">
            <v>0.18</v>
          </cell>
          <cell r="DL752">
            <v>0.89999999999999991</v>
          </cell>
          <cell r="DS752">
            <v>0.18</v>
          </cell>
          <cell r="DU752">
            <v>0.89999999999999991</v>
          </cell>
          <cell r="EB752">
            <v>0.18</v>
          </cell>
          <cell r="ED752">
            <v>0.89999999999999991</v>
          </cell>
          <cell r="EK752">
            <v>0.18</v>
          </cell>
          <cell r="EM752">
            <v>0.89999999999999991</v>
          </cell>
        </row>
        <row r="753">
          <cell r="A753">
            <v>127</v>
          </cell>
          <cell r="B753" t="str">
            <v>FG</v>
          </cell>
          <cell r="C753" t="str">
            <v>FM</v>
          </cell>
          <cell r="D753" t="str">
            <v>C8&gt;98%</v>
          </cell>
          <cell r="F753">
            <v>43.74</v>
          </cell>
          <cell r="H753">
            <v>7.2</v>
          </cell>
          <cell r="Q753">
            <v>7.2</v>
          </cell>
          <cell r="X753">
            <v>57.6</v>
          </cell>
          <cell r="Z753">
            <v>7.2</v>
          </cell>
          <cell r="AG753">
            <v>57.6</v>
          </cell>
          <cell r="AI753">
            <v>7.2</v>
          </cell>
          <cell r="AP753">
            <v>57.6</v>
          </cell>
          <cell r="AR753">
            <v>7.2</v>
          </cell>
          <cell r="AY753">
            <v>39.42</v>
          </cell>
          <cell r="BA753">
            <v>7.2</v>
          </cell>
          <cell r="BH753">
            <v>39.42</v>
          </cell>
          <cell r="BJ753">
            <v>7.2</v>
          </cell>
          <cell r="BQ753">
            <v>39.42</v>
          </cell>
          <cell r="BS753">
            <v>7.2</v>
          </cell>
          <cell r="BZ753">
            <v>38.880000000000003</v>
          </cell>
          <cell r="CB753">
            <v>7.2</v>
          </cell>
          <cell r="CI753">
            <v>38.340000000000003</v>
          </cell>
          <cell r="CK753">
            <v>7.2</v>
          </cell>
          <cell r="CR753">
            <v>38.340000000000003</v>
          </cell>
          <cell r="CT753">
            <v>7.2</v>
          </cell>
          <cell r="DA753">
            <v>38.340000000000003</v>
          </cell>
          <cell r="DC753">
            <v>7.2</v>
          </cell>
          <cell r="DJ753">
            <v>38.340000000000003</v>
          </cell>
          <cell r="DL753">
            <v>7.2</v>
          </cell>
          <cell r="DS753">
            <v>37.799999999999997</v>
          </cell>
          <cell r="DU753">
            <v>7.2</v>
          </cell>
          <cell r="EB753">
            <v>21.06</v>
          </cell>
          <cell r="ED753">
            <v>7.2</v>
          </cell>
          <cell r="EK753">
            <v>20.88</v>
          </cell>
          <cell r="EM753">
            <v>7.2</v>
          </cell>
        </row>
        <row r="754">
          <cell r="A754">
            <v>128</v>
          </cell>
          <cell r="B754" t="str">
            <v>FG</v>
          </cell>
          <cell r="C754" t="str">
            <v>FM</v>
          </cell>
          <cell r="D754" t="str">
            <v>C10&gt;98%</v>
          </cell>
          <cell r="F754">
            <v>1.8</v>
          </cell>
          <cell r="H754">
            <v>0.18</v>
          </cell>
          <cell r="Q754">
            <v>0.18</v>
          </cell>
          <cell r="X754">
            <v>1.8</v>
          </cell>
          <cell r="Z754">
            <v>0.18</v>
          </cell>
          <cell r="AG754">
            <v>1.8</v>
          </cell>
          <cell r="AI754">
            <v>0.18</v>
          </cell>
          <cell r="AP754">
            <v>1.8</v>
          </cell>
          <cell r="AR754">
            <v>0.18</v>
          </cell>
          <cell r="AY754">
            <v>1.8</v>
          </cell>
          <cell r="BA754">
            <v>0.18</v>
          </cell>
          <cell r="BH754">
            <v>1.8</v>
          </cell>
          <cell r="BJ754">
            <v>0.18</v>
          </cell>
          <cell r="BQ754">
            <v>1.44</v>
          </cell>
          <cell r="BS754">
            <v>0.18</v>
          </cell>
          <cell r="BZ754">
            <v>1.44</v>
          </cell>
          <cell r="CB754">
            <v>0.18</v>
          </cell>
          <cell r="CI754">
            <v>1.44</v>
          </cell>
          <cell r="CK754">
            <v>0.18</v>
          </cell>
          <cell r="CR754">
            <v>1.44</v>
          </cell>
          <cell r="CT754">
            <v>0.18</v>
          </cell>
          <cell r="DA754">
            <v>1.44</v>
          </cell>
          <cell r="DC754">
            <v>0.18</v>
          </cell>
          <cell r="DJ754">
            <v>1.44</v>
          </cell>
          <cell r="DL754">
            <v>0.18</v>
          </cell>
          <cell r="DS754">
            <v>1.44</v>
          </cell>
          <cell r="DU754">
            <v>0.18</v>
          </cell>
          <cell r="EB754">
            <v>1.44</v>
          </cell>
          <cell r="ED754">
            <v>0.18</v>
          </cell>
          <cell r="EK754">
            <v>1.44</v>
          </cell>
          <cell r="EM754">
            <v>0.18</v>
          </cell>
        </row>
        <row r="755">
          <cell r="A755">
            <v>129</v>
          </cell>
          <cell r="B755" t="str">
            <v>FG</v>
          </cell>
          <cell r="C755" t="str">
            <v>FM</v>
          </cell>
          <cell r="D755" t="str">
            <v>C8+C10&gt;98%</v>
          </cell>
          <cell r="F755">
            <v>11.7</v>
          </cell>
          <cell r="H755">
            <v>3.78</v>
          </cell>
          <cell r="Q755">
            <v>3.78</v>
          </cell>
          <cell r="X755">
            <v>11.7</v>
          </cell>
          <cell r="Z755">
            <v>3.78</v>
          </cell>
          <cell r="AG755">
            <v>11.7</v>
          </cell>
          <cell r="AI755">
            <v>3.78</v>
          </cell>
          <cell r="AP755">
            <v>11.7</v>
          </cell>
          <cell r="AR755">
            <v>3.78</v>
          </cell>
          <cell r="AY755">
            <v>11.7</v>
          </cell>
          <cell r="BA755">
            <v>3.78</v>
          </cell>
          <cell r="BH755">
            <v>11.7</v>
          </cell>
          <cell r="BJ755">
            <v>3.78</v>
          </cell>
          <cell r="BQ755">
            <v>11.7</v>
          </cell>
          <cell r="BS755">
            <v>3.78</v>
          </cell>
          <cell r="BZ755">
            <v>11.52</v>
          </cell>
          <cell r="CB755">
            <v>3.78</v>
          </cell>
          <cell r="CI755">
            <v>11.52</v>
          </cell>
          <cell r="CK755">
            <v>3.78</v>
          </cell>
          <cell r="CR755">
            <v>11.52</v>
          </cell>
          <cell r="CT755">
            <v>3.78</v>
          </cell>
          <cell r="DA755">
            <v>11.52</v>
          </cell>
          <cell r="DC755">
            <v>3.78</v>
          </cell>
          <cell r="DJ755">
            <v>11.34</v>
          </cell>
          <cell r="DL755">
            <v>3.78</v>
          </cell>
          <cell r="DS755">
            <v>4.68</v>
          </cell>
          <cell r="DU755">
            <v>3.78</v>
          </cell>
          <cell r="EB755">
            <v>4.68</v>
          </cell>
          <cell r="ED755">
            <v>3.78</v>
          </cell>
          <cell r="EK755">
            <v>4.5</v>
          </cell>
          <cell r="EM755">
            <v>3.78</v>
          </cell>
        </row>
        <row r="756">
          <cell r="A756">
            <v>130</v>
          </cell>
          <cell r="B756" t="str">
            <v>FG</v>
          </cell>
          <cell r="C756" t="str">
            <v>FM</v>
          </cell>
          <cell r="D756" t="str">
            <v>OLEIC-15</v>
          </cell>
          <cell r="F756">
            <v>16.829999999999998</v>
          </cell>
          <cell r="H756">
            <v>0.185</v>
          </cell>
          <cell r="Q756">
            <v>0.185</v>
          </cell>
          <cell r="X756">
            <v>8.64</v>
          </cell>
          <cell r="Z756">
            <v>0.185</v>
          </cell>
          <cell r="AG756">
            <v>4.1399999999999997</v>
          </cell>
          <cell r="AI756">
            <v>0.185</v>
          </cell>
          <cell r="AP756">
            <v>4.1399999999999997</v>
          </cell>
          <cell r="AR756">
            <v>0.185</v>
          </cell>
          <cell r="AY756">
            <v>4.1399999999999997</v>
          </cell>
          <cell r="BA756">
            <v>0.185</v>
          </cell>
          <cell r="BH756">
            <v>4.1399999999999997</v>
          </cell>
          <cell r="BJ756">
            <v>0.185</v>
          </cell>
          <cell r="BQ756">
            <v>3.06</v>
          </cell>
          <cell r="BS756">
            <v>0.185</v>
          </cell>
          <cell r="BZ756">
            <v>3.06</v>
          </cell>
          <cell r="CB756">
            <v>0.185</v>
          </cell>
          <cell r="CI756">
            <v>2.61</v>
          </cell>
          <cell r="CK756">
            <v>0.185</v>
          </cell>
          <cell r="CR756">
            <v>1.62</v>
          </cell>
          <cell r="CT756">
            <v>0.185</v>
          </cell>
          <cell r="DA756">
            <v>1.62</v>
          </cell>
          <cell r="DC756">
            <v>0.185</v>
          </cell>
          <cell r="DL756">
            <v>0.185</v>
          </cell>
          <cell r="DS756">
            <v>9.9</v>
          </cell>
          <cell r="DU756">
            <v>0.185</v>
          </cell>
          <cell r="EB756">
            <v>7.74</v>
          </cell>
          <cell r="ED756">
            <v>0.185</v>
          </cell>
          <cell r="EK756">
            <v>7.74</v>
          </cell>
          <cell r="EM756">
            <v>0.185</v>
          </cell>
        </row>
        <row r="757">
          <cell r="A757">
            <v>131</v>
          </cell>
          <cell r="B757" t="str">
            <v>FG</v>
          </cell>
          <cell r="C757" t="str">
            <v>NM</v>
          </cell>
          <cell r="D757" t="str">
            <v>OLEIC-20</v>
          </cell>
          <cell r="H757">
            <v>0.09</v>
          </cell>
          <cell r="Q757">
            <v>0.09</v>
          </cell>
          <cell r="Z757">
            <v>0.09</v>
          </cell>
          <cell r="AR757">
            <v>0.09</v>
          </cell>
          <cell r="BA757">
            <v>0.09</v>
          </cell>
          <cell r="BJ757">
            <v>0.09</v>
          </cell>
          <cell r="BS757">
            <v>0.09</v>
          </cell>
          <cell r="CB757">
            <v>0.09</v>
          </cell>
          <cell r="CK757">
            <v>0.09</v>
          </cell>
          <cell r="CT757">
            <v>0.09</v>
          </cell>
          <cell r="DC757">
            <v>0.09</v>
          </cell>
          <cell r="DL757">
            <v>0.09</v>
          </cell>
          <cell r="DU757">
            <v>0.09</v>
          </cell>
          <cell r="ED757">
            <v>0.09</v>
          </cell>
          <cell r="EM757">
            <v>0.09</v>
          </cell>
        </row>
        <row r="758">
          <cell r="A758">
            <v>132</v>
          </cell>
          <cell r="B758" t="str">
            <v>FG</v>
          </cell>
          <cell r="C758" t="str">
            <v>NM</v>
          </cell>
          <cell r="D758" t="str">
            <v>OLEIC-26</v>
          </cell>
          <cell r="H758">
            <v>0.63</v>
          </cell>
          <cell r="N758">
            <v>0</v>
          </cell>
          <cell r="Q758">
            <v>0.63</v>
          </cell>
          <cell r="Z758">
            <v>0.63</v>
          </cell>
          <cell r="AI758">
            <v>0.63</v>
          </cell>
          <cell r="AR758">
            <v>0.63</v>
          </cell>
          <cell r="BA758">
            <v>0.63</v>
          </cell>
          <cell r="BJ758">
            <v>0.63</v>
          </cell>
          <cell r="BS758">
            <v>0.63</v>
          </cell>
          <cell r="CB758">
            <v>0.63</v>
          </cell>
          <cell r="CK758">
            <v>0.63</v>
          </cell>
          <cell r="CT758">
            <v>0.63</v>
          </cell>
          <cell r="DC758">
            <v>0.63</v>
          </cell>
          <cell r="DL758">
            <v>0.63</v>
          </cell>
          <cell r="DU758">
            <v>0.63</v>
          </cell>
          <cell r="ED758">
            <v>0.63</v>
          </cell>
          <cell r="EM758">
            <v>0.63</v>
          </cell>
        </row>
        <row r="759">
          <cell r="A759">
            <v>133</v>
          </cell>
          <cell r="B759" t="str">
            <v>FG</v>
          </cell>
          <cell r="C759" t="str">
            <v>NM</v>
          </cell>
          <cell r="D759" t="str">
            <v>OLEIC-29</v>
          </cell>
          <cell r="H759">
            <v>0.18</v>
          </cell>
          <cell r="Q759">
            <v>0.18</v>
          </cell>
          <cell r="Z759">
            <v>0.18</v>
          </cell>
          <cell r="AI759">
            <v>0.18</v>
          </cell>
          <cell r="AR759">
            <v>0.18</v>
          </cell>
          <cell r="BA759">
            <v>0.18</v>
          </cell>
          <cell r="BJ759">
            <v>0.18</v>
          </cell>
          <cell r="BS759">
            <v>0.18</v>
          </cell>
          <cell r="CB759">
            <v>0.18</v>
          </cell>
          <cell r="CK759">
            <v>0.18</v>
          </cell>
          <cell r="CT759">
            <v>0.18</v>
          </cell>
          <cell r="DC759">
            <v>0.18</v>
          </cell>
          <cell r="DL759">
            <v>0.18</v>
          </cell>
          <cell r="DU759">
            <v>0.18</v>
          </cell>
          <cell r="ED759">
            <v>0.18</v>
          </cell>
          <cell r="EM759">
            <v>0.18</v>
          </cell>
        </row>
        <row r="760">
          <cell r="A760">
            <v>134</v>
          </cell>
          <cell r="B760" t="str">
            <v>FG</v>
          </cell>
          <cell r="C760" t="str">
            <v>FM</v>
          </cell>
          <cell r="D760" t="str">
            <v>OLEIC-K</v>
          </cell>
          <cell r="F760">
            <v>4.8600000000000003</v>
          </cell>
          <cell r="H760">
            <v>4.335</v>
          </cell>
          <cell r="Q760">
            <v>4.335</v>
          </cell>
          <cell r="X760">
            <v>4.8600000000000003</v>
          </cell>
          <cell r="Z760">
            <v>4.335</v>
          </cell>
          <cell r="AG760">
            <v>2.7</v>
          </cell>
          <cell r="AI760">
            <v>12.434999999999999</v>
          </cell>
          <cell r="AP760">
            <v>2.7</v>
          </cell>
          <cell r="AR760">
            <v>4.335</v>
          </cell>
          <cell r="AY760">
            <v>2.7</v>
          </cell>
          <cell r="BA760">
            <v>4.335</v>
          </cell>
          <cell r="BH760">
            <v>11.7</v>
          </cell>
          <cell r="BJ760">
            <v>4.335</v>
          </cell>
          <cell r="BQ760">
            <v>2.7</v>
          </cell>
          <cell r="BS760">
            <v>4.335</v>
          </cell>
          <cell r="BZ760">
            <v>2.34</v>
          </cell>
          <cell r="CB760">
            <v>4.335</v>
          </cell>
          <cell r="CI760">
            <v>2.34</v>
          </cell>
          <cell r="CK760">
            <v>4.335</v>
          </cell>
          <cell r="CR760">
            <v>2.34</v>
          </cell>
          <cell r="CT760">
            <v>4.335</v>
          </cell>
          <cell r="DA760">
            <v>2.34</v>
          </cell>
          <cell r="DC760">
            <v>4.335</v>
          </cell>
          <cell r="DJ760">
            <v>2.34</v>
          </cell>
          <cell r="DL760">
            <v>4.335</v>
          </cell>
          <cell r="DS760">
            <v>2.34</v>
          </cell>
          <cell r="DU760">
            <v>4.335</v>
          </cell>
          <cell r="EB760">
            <v>2.34</v>
          </cell>
          <cell r="ED760">
            <v>4.335</v>
          </cell>
          <cell r="EK760">
            <v>1.98</v>
          </cell>
          <cell r="EM760">
            <v>4.335</v>
          </cell>
        </row>
        <row r="761">
          <cell r="A761">
            <v>135</v>
          </cell>
          <cell r="B761" t="str">
            <v>FG</v>
          </cell>
          <cell r="C761" t="str">
            <v>NM</v>
          </cell>
          <cell r="D761" t="str">
            <v>OLEIC-70</v>
          </cell>
          <cell r="H761">
            <v>0.185</v>
          </cell>
          <cell r="Q761">
            <v>0.185</v>
          </cell>
          <cell r="Z761">
            <v>0.185</v>
          </cell>
          <cell r="AI761">
            <v>0.185</v>
          </cell>
          <cell r="AR761">
            <v>0.185</v>
          </cell>
          <cell r="BA761">
            <v>0.185</v>
          </cell>
          <cell r="BJ761">
            <v>0.185</v>
          </cell>
          <cell r="BS761">
            <v>0.185</v>
          </cell>
          <cell r="CB761">
            <v>0.185</v>
          </cell>
          <cell r="CK761">
            <v>0.185</v>
          </cell>
          <cell r="CT761">
            <v>0.185</v>
          </cell>
          <cell r="DC761">
            <v>0.185</v>
          </cell>
          <cell r="DL761">
            <v>0.185</v>
          </cell>
          <cell r="DU761">
            <v>0.185</v>
          </cell>
          <cell r="ED761">
            <v>0.185</v>
          </cell>
          <cell r="EM761">
            <v>0.185</v>
          </cell>
        </row>
        <row r="762">
          <cell r="A762">
            <v>136</v>
          </cell>
          <cell r="B762" t="str">
            <v>FG</v>
          </cell>
          <cell r="C762" t="str">
            <v>FM</v>
          </cell>
          <cell r="D762" t="str">
            <v>C22:1&gt;90</v>
          </cell>
          <cell r="F762">
            <v>0.18</v>
          </cell>
          <cell r="X762">
            <v>14.58</v>
          </cell>
          <cell r="AG762">
            <v>0.18</v>
          </cell>
          <cell r="AI762">
            <v>0.09</v>
          </cell>
          <cell r="AP762">
            <v>0.18</v>
          </cell>
          <cell r="AY762">
            <v>0.18</v>
          </cell>
          <cell r="BH762">
            <v>0.18</v>
          </cell>
          <cell r="BQ762">
            <v>0.18</v>
          </cell>
          <cell r="BZ762">
            <v>0.18</v>
          </cell>
          <cell r="CI762">
            <v>0.18</v>
          </cell>
          <cell r="CR762">
            <v>0.18</v>
          </cell>
          <cell r="DA762">
            <v>0.18</v>
          </cell>
          <cell r="DJ762">
            <v>0.18</v>
          </cell>
          <cell r="DS762">
            <v>0.18</v>
          </cell>
          <cell r="EB762">
            <v>0.18</v>
          </cell>
          <cell r="EK762">
            <v>0.18</v>
          </cell>
        </row>
        <row r="763">
          <cell r="A763">
            <v>137</v>
          </cell>
          <cell r="B763" t="str">
            <v>FG</v>
          </cell>
          <cell r="C763" t="str">
            <v>NM</v>
          </cell>
          <cell r="D763" t="str">
            <v>DCPS</v>
          </cell>
        </row>
        <row r="764">
          <cell r="A764">
            <v>138</v>
          </cell>
          <cell r="B764" t="str">
            <v>FG</v>
          </cell>
          <cell r="C764" t="str">
            <v>NM</v>
          </cell>
          <cell r="D764" t="str">
            <v>DFA C12/C14</v>
          </cell>
          <cell r="DV764">
            <v>12.58</v>
          </cell>
        </row>
        <row r="765">
          <cell r="A765">
            <v>139</v>
          </cell>
          <cell r="B765" t="str">
            <v>FG</v>
          </cell>
          <cell r="C765" t="str">
            <v>NM</v>
          </cell>
          <cell r="D765" t="str">
            <v>OLEIC-IG</v>
          </cell>
          <cell r="F765">
            <v>4.68</v>
          </cell>
          <cell r="X765">
            <v>20.16</v>
          </cell>
          <cell r="AG765">
            <v>7.56</v>
          </cell>
          <cell r="AP765">
            <v>7.56</v>
          </cell>
          <cell r="AY765">
            <v>1.17</v>
          </cell>
          <cell r="BH765">
            <v>7.56</v>
          </cell>
          <cell r="BQ765">
            <v>7.56</v>
          </cell>
          <cell r="BZ765">
            <v>7.56</v>
          </cell>
          <cell r="CI765">
            <v>7.56</v>
          </cell>
          <cell r="CR765">
            <v>7.56</v>
          </cell>
          <cell r="DA765">
            <v>7.56</v>
          </cell>
          <cell r="DJ765">
            <v>7.56</v>
          </cell>
          <cell r="DS765">
            <v>7.56</v>
          </cell>
          <cell r="EB765">
            <v>7.56</v>
          </cell>
          <cell r="EK765">
            <v>7.56</v>
          </cell>
        </row>
        <row r="766">
          <cell r="A766">
            <v>140</v>
          </cell>
          <cell r="B766" t="str">
            <v>FG</v>
          </cell>
          <cell r="C766" t="str">
            <v>NM</v>
          </cell>
          <cell r="D766" t="str">
            <v>Vegarol 1214</v>
          </cell>
          <cell r="CL766">
            <v>0.17</v>
          </cell>
          <cell r="DD766">
            <v>0.17</v>
          </cell>
          <cell r="DM766">
            <v>12.58</v>
          </cell>
        </row>
        <row r="767">
          <cell r="A767">
            <v>257</v>
          </cell>
          <cell r="B767" t="str">
            <v>FG</v>
          </cell>
          <cell r="C767" t="str">
            <v>NM</v>
          </cell>
          <cell r="D767" t="str">
            <v>Vegarol 10</v>
          </cell>
        </row>
        <row r="768">
          <cell r="F768">
            <v>111.43</v>
          </cell>
          <cell r="G768">
            <v>0</v>
          </cell>
          <cell r="H768">
            <v>22.504999999999999</v>
          </cell>
          <cell r="I768">
            <v>0</v>
          </cell>
          <cell r="J768">
            <v>14</v>
          </cell>
          <cell r="K768">
            <v>0</v>
          </cell>
          <cell r="L768">
            <v>0</v>
          </cell>
          <cell r="M768">
            <v>0</v>
          </cell>
          <cell r="O768">
            <v>0</v>
          </cell>
          <cell r="P768">
            <v>0</v>
          </cell>
          <cell r="Q768">
            <v>22.504999999999999</v>
          </cell>
          <cell r="R768">
            <v>0</v>
          </cell>
          <cell r="S768">
            <v>14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148.70000000000002</v>
          </cell>
          <cell r="Y768">
            <v>0</v>
          </cell>
          <cell r="Z768">
            <v>22.504999999999999</v>
          </cell>
          <cell r="AA768">
            <v>0</v>
          </cell>
          <cell r="AB768">
            <v>58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99.530000000000015</v>
          </cell>
          <cell r="AH768">
            <v>0</v>
          </cell>
          <cell r="AI768">
            <v>30.514999999999997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108.64000000000001</v>
          </cell>
          <cell r="AQ768">
            <v>0</v>
          </cell>
          <cell r="AR768">
            <v>22.504999999999999</v>
          </cell>
          <cell r="AS768">
            <v>0</v>
          </cell>
          <cell r="AT768">
            <v>130.25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94.580000000000013</v>
          </cell>
          <cell r="AZ768">
            <v>0</v>
          </cell>
          <cell r="BA768">
            <v>22.504999999999999</v>
          </cell>
          <cell r="BB768">
            <v>0</v>
          </cell>
          <cell r="BC768">
            <v>129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111.86000000000001</v>
          </cell>
          <cell r="BI768">
            <v>0</v>
          </cell>
          <cell r="BJ768">
            <v>22.504999999999999</v>
          </cell>
          <cell r="BK768">
            <v>0</v>
          </cell>
          <cell r="BL768">
            <v>160.75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155.63999999999999</v>
          </cell>
          <cell r="BR768">
            <v>0</v>
          </cell>
          <cell r="BS768">
            <v>22.504999999999999</v>
          </cell>
          <cell r="BT768">
            <v>0</v>
          </cell>
          <cell r="BU768">
            <v>76.75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138.82999999999998</v>
          </cell>
          <cell r="CA768">
            <v>0</v>
          </cell>
          <cell r="CB768">
            <v>22.504999999999999</v>
          </cell>
          <cell r="CC768">
            <v>0</v>
          </cell>
          <cell r="CD768">
            <v>76.75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124.50000000000001</v>
          </cell>
          <cell r="CJ768">
            <v>0</v>
          </cell>
          <cell r="CK768">
            <v>22.504999999999999</v>
          </cell>
          <cell r="CL768">
            <v>0.17</v>
          </cell>
          <cell r="CM768">
            <v>51.25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109.53000000000002</v>
          </cell>
          <cell r="CS768">
            <v>0</v>
          </cell>
          <cell r="CT768">
            <v>22.504999999999999</v>
          </cell>
          <cell r="CU768">
            <v>0</v>
          </cell>
          <cell r="CV768">
            <v>51.75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92.27000000000001</v>
          </cell>
          <cell r="DB768">
            <v>0</v>
          </cell>
          <cell r="DC768">
            <v>22.504999999999999</v>
          </cell>
          <cell r="DD768">
            <v>0.17</v>
          </cell>
          <cell r="DE768">
            <v>125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79.350000000000009</v>
          </cell>
          <cell r="DK768">
            <v>0</v>
          </cell>
          <cell r="DL768">
            <v>22.504999999999999</v>
          </cell>
          <cell r="DM768">
            <v>12.58</v>
          </cell>
          <cell r="DN768">
            <v>85.5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82.050000000000011</v>
          </cell>
          <cell r="DT768">
            <v>0</v>
          </cell>
          <cell r="DU768">
            <v>17.754999999999999</v>
          </cell>
          <cell r="DV768">
            <v>12.58</v>
          </cell>
          <cell r="DW768">
            <v>30</v>
          </cell>
          <cell r="DX768">
            <v>0</v>
          </cell>
          <cell r="DY768">
            <v>0</v>
          </cell>
          <cell r="DZ768">
            <v>0</v>
          </cell>
          <cell r="EA768">
            <v>0</v>
          </cell>
          <cell r="EB768">
            <v>51.43</v>
          </cell>
          <cell r="EC768">
            <v>0</v>
          </cell>
          <cell r="ED768">
            <v>17.754999999999999</v>
          </cell>
          <cell r="EE768">
            <v>0</v>
          </cell>
          <cell r="EF768">
            <v>61</v>
          </cell>
          <cell r="EG768">
            <v>0</v>
          </cell>
          <cell r="EH768">
            <v>0</v>
          </cell>
          <cell r="EI768">
            <v>0</v>
          </cell>
          <cell r="EJ768">
            <v>0</v>
          </cell>
          <cell r="EK768">
            <v>72.63000000000001</v>
          </cell>
          <cell r="EL768">
            <v>0</v>
          </cell>
          <cell r="EM768">
            <v>17.754999999999999</v>
          </cell>
          <cell r="EN768">
            <v>0</v>
          </cell>
          <cell r="EO768">
            <v>33.25</v>
          </cell>
          <cell r="EP768">
            <v>0</v>
          </cell>
          <cell r="EQ768">
            <v>0</v>
          </cell>
          <cell r="ER768">
            <v>0</v>
          </cell>
          <cell r="ES768">
            <v>0</v>
          </cell>
        </row>
        <row r="769">
          <cell r="A769" t="str">
            <v>FATTY ACID FLAKES</v>
          </cell>
        </row>
        <row r="770">
          <cell r="A770">
            <v>141</v>
          </cell>
          <cell r="B770" t="str">
            <v>FG</v>
          </cell>
          <cell r="C770" t="str">
            <v>FM</v>
          </cell>
          <cell r="D770" t="str">
            <v>C14&gt;99%</v>
          </cell>
          <cell r="I770">
            <v>32.875</v>
          </cell>
          <cell r="R770">
            <v>32.875</v>
          </cell>
          <cell r="AA770">
            <v>32.875</v>
          </cell>
          <cell r="AJ770">
            <v>32.875</v>
          </cell>
          <cell r="AS770">
            <v>32.875</v>
          </cell>
          <cell r="BB770">
            <v>32.875</v>
          </cell>
          <cell r="BK770">
            <v>32.875</v>
          </cell>
          <cell r="BT770">
            <v>32.875</v>
          </cell>
          <cell r="CC770">
            <v>32.875</v>
          </cell>
          <cell r="CL770">
            <v>32.875</v>
          </cell>
          <cell r="CU770">
            <v>32.875</v>
          </cell>
          <cell r="DD770">
            <v>32.875</v>
          </cell>
          <cell r="DM770">
            <v>32.875</v>
          </cell>
          <cell r="DV770">
            <v>32.875</v>
          </cell>
          <cell r="EE770">
            <v>32.875</v>
          </cell>
          <cell r="EN770">
            <v>32.875</v>
          </cell>
        </row>
        <row r="771">
          <cell r="A771">
            <v>142</v>
          </cell>
          <cell r="B771" t="str">
            <v>FG</v>
          </cell>
          <cell r="C771" t="str">
            <v>FM</v>
          </cell>
          <cell r="D771" t="str">
            <v>C16 85%</v>
          </cell>
          <cell r="R771">
            <v>0</v>
          </cell>
          <cell r="AS771">
            <v>0</v>
          </cell>
          <cell r="BB771">
            <v>0</v>
          </cell>
          <cell r="BK771">
            <v>0</v>
          </cell>
          <cell r="BT771">
            <v>0</v>
          </cell>
          <cell r="CC771">
            <v>0</v>
          </cell>
          <cell r="CU771">
            <v>0</v>
          </cell>
          <cell r="EE771">
            <v>0</v>
          </cell>
          <cell r="EN771">
            <v>0</v>
          </cell>
        </row>
        <row r="772">
          <cell r="A772">
            <v>143</v>
          </cell>
          <cell r="B772" t="str">
            <v>FG</v>
          </cell>
          <cell r="C772" t="str">
            <v>FM</v>
          </cell>
          <cell r="D772" t="str">
            <v>UTSR</v>
          </cell>
          <cell r="F772">
            <v>19.600000000000001</v>
          </cell>
          <cell r="H772">
            <v>6.85</v>
          </cell>
          <cell r="I772">
            <v>551.30999999999995</v>
          </cell>
          <cell r="Q772">
            <v>6.85</v>
          </cell>
          <cell r="R772">
            <v>475.31</v>
          </cell>
          <cell r="X772">
            <v>92.6</v>
          </cell>
          <cell r="Z772">
            <v>25.85</v>
          </cell>
          <cell r="AA772">
            <v>427.56</v>
          </cell>
          <cell r="AG772">
            <v>66.75</v>
          </cell>
          <cell r="AI772">
            <v>0.85</v>
          </cell>
          <cell r="AJ772">
            <v>493.66</v>
          </cell>
          <cell r="AP772">
            <v>81.599999999999994</v>
          </cell>
          <cell r="AR772">
            <v>10.85</v>
          </cell>
          <cell r="AS772">
            <v>376.83499999999998</v>
          </cell>
          <cell r="AY772">
            <v>111.8</v>
          </cell>
          <cell r="BA772">
            <v>68.849999999999994</v>
          </cell>
          <cell r="BB772">
            <v>315.98500000000001</v>
          </cell>
          <cell r="BH772">
            <v>66.849999999999994</v>
          </cell>
          <cell r="BJ772">
            <v>58.85</v>
          </cell>
          <cell r="BK772">
            <v>255.08500000000001</v>
          </cell>
          <cell r="BQ772">
            <v>25.85</v>
          </cell>
          <cell r="BS772">
            <v>49.85</v>
          </cell>
          <cell r="BT772">
            <v>205.88499999999999</v>
          </cell>
          <cell r="BZ772">
            <v>19.850000000000001</v>
          </cell>
          <cell r="CB772">
            <v>65.849999999999994</v>
          </cell>
          <cell r="CC772">
            <v>202.935</v>
          </cell>
          <cell r="CI772">
            <v>81.349999999999994</v>
          </cell>
          <cell r="CK772">
            <v>60.85</v>
          </cell>
          <cell r="CL772">
            <v>199.83500000000001</v>
          </cell>
          <cell r="CR772">
            <v>50.35</v>
          </cell>
          <cell r="CT772">
            <v>51.85</v>
          </cell>
          <cell r="CU772">
            <v>292.56</v>
          </cell>
          <cell r="DA772">
            <v>62.8</v>
          </cell>
          <cell r="DC772">
            <v>87.85</v>
          </cell>
          <cell r="DD772">
            <v>319.56</v>
          </cell>
          <cell r="DJ772">
            <v>35.799999999999997</v>
          </cell>
          <cell r="DL772">
            <v>27.85</v>
          </cell>
          <cell r="DM772">
            <v>308.91000000000003</v>
          </cell>
          <cell r="DS772">
            <v>75.05</v>
          </cell>
          <cell r="DU772">
            <v>8.35</v>
          </cell>
          <cell r="DV772">
            <v>264.81</v>
          </cell>
          <cell r="EB772">
            <v>154.30000000000001</v>
          </cell>
          <cell r="ED772">
            <v>8.35</v>
          </cell>
          <cell r="EE772">
            <v>254.81</v>
          </cell>
          <cell r="EK772">
            <v>195.8</v>
          </cell>
          <cell r="EM772">
            <v>52.35</v>
          </cell>
          <cell r="EN772">
            <v>293.16000000000003</v>
          </cell>
        </row>
        <row r="773">
          <cell r="A773">
            <v>144</v>
          </cell>
          <cell r="B773" t="str">
            <v>FG</v>
          </cell>
          <cell r="C773" t="str">
            <v>FM</v>
          </cell>
          <cell r="D773" t="str">
            <v>UTSR SPECIAL</v>
          </cell>
          <cell r="I773">
            <v>0.45</v>
          </cell>
          <cell r="R773">
            <v>0.45</v>
          </cell>
          <cell r="AA773">
            <v>0.45</v>
          </cell>
          <cell r="AI773">
            <v>1.05</v>
          </cell>
          <cell r="AJ773">
            <v>0.45</v>
          </cell>
          <cell r="AS773">
            <v>0.45</v>
          </cell>
          <cell r="BB773">
            <v>0.45</v>
          </cell>
          <cell r="BK773">
            <v>0.45</v>
          </cell>
          <cell r="BT773">
            <v>0.45</v>
          </cell>
          <cell r="CC773">
            <v>0.45</v>
          </cell>
          <cell r="CL773">
            <v>0.45</v>
          </cell>
          <cell r="CU773">
            <v>0.45</v>
          </cell>
          <cell r="DD773">
            <v>0.45</v>
          </cell>
          <cell r="DM773">
            <v>0.45</v>
          </cell>
          <cell r="DV773">
            <v>0.45</v>
          </cell>
          <cell r="EE773">
            <v>0.45</v>
          </cell>
          <cell r="EN773">
            <v>0.45</v>
          </cell>
        </row>
        <row r="774">
          <cell r="A774">
            <v>145</v>
          </cell>
          <cell r="B774" t="str">
            <v>FG</v>
          </cell>
          <cell r="C774" t="str">
            <v>FM</v>
          </cell>
          <cell r="D774" t="str">
            <v>DTP-7</v>
          </cell>
          <cell r="F774">
            <v>48.3</v>
          </cell>
          <cell r="I774">
            <v>48.1</v>
          </cell>
          <cell r="R774">
            <v>35.799999999999997</v>
          </cell>
          <cell r="X774">
            <v>36.9</v>
          </cell>
          <cell r="AA774">
            <v>3.8</v>
          </cell>
          <cell r="AG774">
            <v>34.9</v>
          </cell>
          <cell r="AJ774">
            <v>1.1499999999999999</v>
          </cell>
          <cell r="AP774">
            <v>43.9</v>
          </cell>
          <cell r="AS774">
            <v>34.5</v>
          </cell>
          <cell r="AY774">
            <v>17.600000000000001</v>
          </cell>
          <cell r="BB774">
            <v>11</v>
          </cell>
          <cell r="BH774">
            <v>8.6</v>
          </cell>
          <cell r="BK774">
            <v>2</v>
          </cell>
          <cell r="BQ774">
            <v>5.6</v>
          </cell>
          <cell r="BT774">
            <v>34.950000000000003</v>
          </cell>
          <cell r="BZ774">
            <v>20.6</v>
          </cell>
          <cell r="CC774">
            <v>76.05</v>
          </cell>
          <cell r="CI774">
            <v>34.799999999999997</v>
          </cell>
          <cell r="CK774">
            <v>31</v>
          </cell>
          <cell r="CL774">
            <v>42.8</v>
          </cell>
          <cell r="CR774">
            <v>45.8</v>
          </cell>
          <cell r="CT774">
            <v>41.2</v>
          </cell>
          <cell r="CU774">
            <v>26.8</v>
          </cell>
          <cell r="DA774">
            <v>36.799999999999997</v>
          </cell>
          <cell r="DC774">
            <v>41.2</v>
          </cell>
          <cell r="DD774">
            <v>50.35</v>
          </cell>
          <cell r="DJ774">
            <v>16.3</v>
          </cell>
          <cell r="DL774">
            <v>41.2</v>
          </cell>
          <cell r="DM774">
            <v>55.35</v>
          </cell>
          <cell r="DS774">
            <v>9.3000000000000007</v>
          </cell>
          <cell r="DU774">
            <v>41.2</v>
          </cell>
          <cell r="DV774">
            <v>78.900000000000006</v>
          </cell>
          <cell r="EB774">
            <v>1.8</v>
          </cell>
          <cell r="ED774">
            <v>41.2</v>
          </cell>
          <cell r="EE774">
            <v>49.95</v>
          </cell>
          <cell r="EK774">
            <v>1.8</v>
          </cell>
          <cell r="EM774">
            <v>36.200000000000003</v>
          </cell>
          <cell r="EN774">
            <v>53.05</v>
          </cell>
        </row>
        <row r="775">
          <cell r="A775">
            <v>146</v>
          </cell>
          <cell r="B775" t="str">
            <v>FG</v>
          </cell>
          <cell r="C775" t="str">
            <v>FM</v>
          </cell>
          <cell r="D775" t="str">
            <v>DTP-CT</v>
          </cell>
          <cell r="F775">
            <v>27.3</v>
          </cell>
          <cell r="R775">
            <v>0</v>
          </cell>
          <cell r="X775">
            <v>22.6</v>
          </cell>
          <cell r="AG775">
            <v>18.600000000000001</v>
          </cell>
          <cell r="AJ775">
            <v>0</v>
          </cell>
          <cell r="AP775">
            <v>18.600000000000001</v>
          </cell>
          <cell r="AS775">
            <v>0</v>
          </cell>
          <cell r="AY775">
            <v>2.6</v>
          </cell>
          <cell r="BB775">
            <v>0</v>
          </cell>
          <cell r="BH775">
            <v>2.6</v>
          </cell>
          <cell r="BK775">
            <v>0</v>
          </cell>
          <cell r="BQ775">
            <v>26.6</v>
          </cell>
          <cell r="BT775">
            <v>0</v>
          </cell>
          <cell r="BZ775">
            <v>37.6</v>
          </cell>
          <cell r="CC775">
            <v>0</v>
          </cell>
          <cell r="CI775">
            <v>0.4</v>
          </cell>
          <cell r="CR775">
            <v>47.4</v>
          </cell>
          <cell r="CU775">
            <v>0</v>
          </cell>
          <cell r="DA775">
            <v>57.65</v>
          </cell>
          <cell r="DC775">
            <v>20</v>
          </cell>
          <cell r="DJ775">
            <v>44.65</v>
          </cell>
          <cell r="DL775">
            <v>20</v>
          </cell>
          <cell r="DS775">
            <v>44.65</v>
          </cell>
          <cell r="DU775">
            <v>20</v>
          </cell>
          <cell r="EB775">
            <v>13.65</v>
          </cell>
          <cell r="ED775">
            <v>20</v>
          </cell>
          <cell r="EE775">
            <v>0</v>
          </cell>
          <cell r="EK775">
            <v>4.6500000000000004</v>
          </cell>
          <cell r="EM775">
            <v>20</v>
          </cell>
          <cell r="EN775">
            <v>0</v>
          </cell>
        </row>
        <row r="776">
          <cell r="A776">
            <v>147</v>
          </cell>
          <cell r="B776" t="str">
            <v>FG</v>
          </cell>
          <cell r="C776" t="str">
            <v>FM</v>
          </cell>
          <cell r="D776" t="str">
            <v>P-12</v>
          </cell>
          <cell r="F776">
            <v>1.25</v>
          </cell>
          <cell r="H776">
            <v>12</v>
          </cell>
          <cell r="I776">
            <v>27.65</v>
          </cell>
          <cell r="Q776">
            <v>6</v>
          </cell>
          <cell r="R776">
            <v>86.4</v>
          </cell>
          <cell r="X776">
            <v>1.25</v>
          </cell>
          <cell r="AA776">
            <v>115.1</v>
          </cell>
          <cell r="AG776">
            <v>1.25</v>
          </cell>
          <cell r="AJ776">
            <v>109.1</v>
          </cell>
          <cell r="AR776">
            <v>4</v>
          </cell>
          <cell r="AS776">
            <v>103.1</v>
          </cell>
          <cell r="BA776">
            <v>4</v>
          </cell>
          <cell r="BB776">
            <v>69.099999999999994</v>
          </cell>
          <cell r="BH776">
            <v>51.4</v>
          </cell>
          <cell r="BJ776">
            <v>24</v>
          </cell>
          <cell r="BK776">
            <v>124.4</v>
          </cell>
          <cell r="BQ776">
            <v>39.4</v>
          </cell>
          <cell r="BS776">
            <v>34</v>
          </cell>
          <cell r="BT776">
            <v>130.1</v>
          </cell>
          <cell r="BZ776">
            <v>23.4</v>
          </cell>
          <cell r="CB776">
            <v>34</v>
          </cell>
          <cell r="CC776">
            <v>117.1</v>
          </cell>
          <cell r="CI776">
            <v>39.4</v>
          </cell>
          <cell r="CK776">
            <v>34.049999999999997</v>
          </cell>
          <cell r="CL776">
            <v>107.4</v>
          </cell>
          <cell r="CR776">
            <v>14.4</v>
          </cell>
          <cell r="CT776">
            <v>34</v>
          </cell>
          <cell r="CU776">
            <v>92.4</v>
          </cell>
          <cell r="DA776">
            <v>14.4</v>
          </cell>
          <cell r="DC776">
            <v>34</v>
          </cell>
          <cell r="DD776">
            <v>92.4</v>
          </cell>
          <cell r="DJ776">
            <v>13.4</v>
          </cell>
          <cell r="DL776">
            <v>34</v>
          </cell>
          <cell r="DM776">
            <v>74.400000000000006</v>
          </cell>
          <cell r="DS776">
            <v>13.4</v>
          </cell>
          <cell r="DU776">
            <v>34</v>
          </cell>
          <cell r="DV776">
            <v>74.400000000000006</v>
          </cell>
          <cell r="EB776">
            <v>0.4</v>
          </cell>
          <cell r="ED776">
            <v>18</v>
          </cell>
          <cell r="EE776">
            <v>65.400000000000006</v>
          </cell>
          <cell r="EK776">
            <v>0.4</v>
          </cell>
          <cell r="EM776">
            <v>18</v>
          </cell>
          <cell r="EN776">
            <v>40.4</v>
          </cell>
        </row>
        <row r="777">
          <cell r="A777">
            <v>148</v>
          </cell>
          <cell r="B777" t="str">
            <v>FG</v>
          </cell>
          <cell r="C777" t="str">
            <v>FM</v>
          </cell>
          <cell r="D777" t="str">
            <v>P-12 SPECIAL</v>
          </cell>
          <cell r="R777">
            <v>0</v>
          </cell>
          <cell r="AJ777">
            <v>0</v>
          </cell>
          <cell r="AS777">
            <v>0</v>
          </cell>
          <cell r="BB777">
            <v>0</v>
          </cell>
          <cell r="BK777">
            <v>0</v>
          </cell>
          <cell r="BT777">
            <v>0</v>
          </cell>
          <cell r="CC777">
            <v>0</v>
          </cell>
          <cell r="CU777">
            <v>0</v>
          </cell>
          <cell r="EE777">
            <v>25</v>
          </cell>
          <cell r="EN777">
            <v>25</v>
          </cell>
        </row>
        <row r="778">
          <cell r="A778">
            <v>149</v>
          </cell>
          <cell r="B778" t="str">
            <v>FG</v>
          </cell>
          <cell r="C778" t="str">
            <v>NM</v>
          </cell>
          <cell r="D778" t="str">
            <v>BEHENIC-75</v>
          </cell>
          <cell r="R778">
            <v>0</v>
          </cell>
          <cell r="AJ778">
            <v>0</v>
          </cell>
          <cell r="AS778">
            <v>0</v>
          </cell>
          <cell r="BB778">
            <v>0</v>
          </cell>
          <cell r="BK778">
            <v>0</v>
          </cell>
          <cell r="BT778">
            <v>0</v>
          </cell>
          <cell r="CC778">
            <v>0</v>
          </cell>
          <cell r="CU778">
            <v>0</v>
          </cell>
          <cell r="EE778">
            <v>0</v>
          </cell>
          <cell r="EN778">
            <v>0</v>
          </cell>
        </row>
        <row r="779">
          <cell r="A779">
            <v>150</v>
          </cell>
          <cell r="B779" t="str">
            <v>FG</v>
          </cell>
          <cell r="C779" t="str">
            <v>NM</v>
          </cell>
          <cell r="D779" t="str">
            <v>BEHENIC-85</v>
          </cell>
          <cell r="R779">
            <v>0</v>
          </cell>
          <cell r="AJ779">
            <v>0</v>
          </cell>
          <cell r="AS779">
            <v>0</v>
          </cell>
          <cell r="BB779">
            <v>0</v>
          </cell>
          <cell r="BK779">
            <v>0</v>
          </cell>
          <cell r="BT779">
            <v>0</v>
          </cell>
          <cell r="CC779">
            <v>0</v>
          </cell>
          <cell r="CU779">
            <v>0</v>
          </cell>
          <cell r="EE779">
            <v>0</v>
          </cell>
          <cell r="EN779">
            <v>0</v>
          </cell>
        </row>
        <row r="780">
          <cell r="A780">
            <v>151</v>
          </cell>
          <cell r="B780" t="str">
            <v>FG</v>
          </cell>
          <cell r="C780" t="str">
            <v>FM</v>
          </cell>
          <cell r="D780" t="str">
            <v>BEHENIC-90</v>
          </cell>
          <cell r="F780">
            <v>144.94999999999999</v>
          </cell>
          <cell r="N780">
            <v>0</v>
          </cell>
          <cell r="R780">
            <v>0</v>
          </cell>
          <cell r="X780">
            <v>144.94999999999999</v>
          </cell>
          <cell r="AG780">
            <v>144.94999999999999</v>
          </cell>
          <cell r="AJ780">
            <v>0</v>
          </cell>
          <cell r="AP780">
            <v>144.94999999999999</v>
          </cell>
          <cell r="AS780">
            <v>0</v>
          </cell>
          <cell r="AY780">
            <v>144.94999999999999</v>
          </cell>
          <cell r="BB780">
            <v>0</v>
          </cell>
          <cell r="BH780">
            <v>144.94999999999999</v>
          </cell>
          <cell r="BK780">
            <v>0</v>
          </cell>
          <cell r="BQ780">
            <v>117.7</v>
          </cell>
          <cell r="BT780">
            <v>0</v>
          </cell>
          <cell r="BZ780">
            <v>117.7</v>
          </cell>
          <cell r="CC780">
            <v>0</v>
          </cell>
          <cell r="CI780">
            <v>117.7</v>
          </cell>
          <cell r="CR780">
            <v>117.7</v>
          </cell>
          <cell r="CU780">
            <v>0</v>
          </cell>
          <cell r="DA780">
            <v>117.7</v>
          </cell>
          <cell r="DJ780">
            <v>77.7</v>
          </cell>
          <cell r="DS780">
            <v>77.7</v>
          </cell>
          <cell r="EB780">
            <v>77.7</v>
          </cell>
          <cell r="EE780">
            <v>0</v>
          </cell>
          <cell r="EK780">
            <v>77.7</v>
          </cell>
          <cell r="EN780">
            <v>0</v>
          </cell>
        </row>
        <row r="781">
          <cell r="A781">
            <v>152</v>
          </cell>
          <cell r="B781" t="str">
            <v>FG</v>
          </cell>
          <cell r="C781" t="str">
            <v>FM</v>
          </cell>
          <cell r="D781" t="str">
            <v>G3 STEARIC</v>
          </cell>
          <cell r="H781">
            <v>1.75</v>
          </cell>
          <cell r="Q781">
            <v>1.75</v>
          </cell>
          <cell r="R781">
            <v>0</v>
          </cell>
          <cell r="Z781">
            <v>1.75</v>
          </cell>
          <cell r="AJ781">
            <v>0</v>
          </cell>
          <cell r="AR781">
            <v>1.75</v>
          </cell>
          <cell r="AS781">
            <v>0</v>
          </cell>
          <cell r="BA781">
            <v>1.75</v>
          </cell>
          <cell r="BB781">
            <v>0</v>
          </cell>
          <cell r="BJ781">
            <v>1.75</v>
          </cell>
          <cell r="BK781">
            <v>0</v>
          </cell>
          <cell r="BS781">
            <v>1.75</v>
          </cell>
          <cell r="BT781">
            <v>0</v>
          </cell>
          <cell r="CB781">
            <v>1.75</v>
          </cell>
          <cell r="CC781">
            <v>0</v>
          </cell>
          <cell r="CT781">
            <v>1.75</v>
          </cell>
          <cell r="CU781">
            <v>0</v>
          </cell>
          <cell r="DC781">
            <v>1.75</v>
          </cell>
          <cell r="DL781">
            <v>1.75</v>
          </cell>
          <cell r="DU781">
            <v>1.75</v>
          </cell>
          <cell r="ED781">
            <v>1.75</v>
          </cell>
          <cell r="EE781">
            <v>0</v>
          </cell>
          <cell r="EM781">
            <v>1.75</v>
          </cell>
          <cell r="EN781">
            <v>0</v>
          </cell>
        </row>
        <row r="782">
          <cell r="A782">
            <v>153</v>
          </cell>
          <cell r="B782" t="str">
            <v>FG</v>
          </cell>
          <cell r="C782" t="str">
            <v>NM</v>
          </cell>
          <cell r="D782" t="str">
            <v>HYD.CASTOR OIL</v>
          </cell>
          <cell r="R782">
            <v>0</v>
          </cell>
          <cell r="AJ782">
            <v>0</v>
          </cell>
          <cell r="AS782">
            <v>0</v>
          </cell>
          <cell r="BB782">
            <v>0</v>
          </cell>
          <cell r="BK782">
            <v>0</v>
          </cell>
          <cell r="BT782">
            <v>0</v>
          </cell>
          <cell r="CC782">
            <v>0</v>
          </cell>
          <cell r="CU782">
            <v>0</v>
          </cell>
          <cell r="EE782">
            <v>0</v>
          </cell>
          <cell r="EN782">
            <v>0</v>
          </cell>
        </row>
        <row r="783">
          <cell r="A783">
            <v>154</v>
          </cell>
          <cell r="B783" t="str">
            <v>FG</v>
          </cell>
          <cell r="C783" t="str">
            <v>FM</v>
          </cell>
          <cell r="D783" t="str">
            <v>C16  W/E</v>
          </cell>
          <cell r="I783">
            <v>32.979999999999997</v>
          </cell>
          <cell r="R783">
            <v>32.979999999999997</v>
          </cell>
          <cell r="AA783">
            <v>32.979999999999997</v>
          </cell>
          <cell r="AJ783">
            <v>32.979999999999997</v>
          </cell>
          <cell r="AS783">
            <v>32.979999999999997</v>
          </cell>
          <cell r="BB783">
            <v>32.979999999999997</v>
          </cell>
          <cell r="BK783">
            <v>32.979999999999997</v>
          </cell>
          <cell r="BT783">
            <v>32.979999999999997</v>
          </cell>
          <cell r="CC783">
            <v>32.979999999999997</v>
          </cell>
          <cell r="CL783">
            <v>25.98</v>
          </cell>
          <cell r="CU783">
            <v>25.98</v>
          </cell>
          <cell r="DD783">
            <v>25.98</v>
          </cell>
          <cell r="DM783">
            <v>25.98</v>
          </cell>
          <cell r="DV783">
            <v>25.98</v>
          </cell>
          <cell r="EE783">
            <v>25.98</v>
          </cell>
          <cell r="EN783">
            <v>25.98</v>
          </cell>
        </row>
        <row r="784">
          <cell r="A784">
            <v>155</v>
          </cell>
          <cell r="B784" t="str">
            <v>FG</v>
          </cell>
          <cell r="C784" t="str">
            <v>FM</v>
          </cell>
          <cell r="D784" t="str">
            <v>C18  W/E</v>
          </cell>
          <cell r="I784">
            <v>15.64</v>
          </cell>
          <cell r="R784">
            <v>15.64</v>
          </cell>
          <cell r="AA784">
            <v>15.64</v>
          </cell>
          <cell r="AJ784">
            <v>15.64</v>
          </cell>
          <cell r="AS784">
            <v>15.64</v>
          </cell>
          <cell r="BB784">
            <v>15.64</v>
          </cell>
          <cell r="BK784">
            <v>15.64</v>
          </cell>
          <cell r="BT784">
            <v>15.64</v>
          </cell>
          <cell r="CC784">
            <v>15.64</v>
          </cell>
          <cell r="CL784">
            <v>15.64</v>
          </cell>
          <cell r="CU784">
            <v>15.64</v>
          </cell>
          <cell r="DD784">
            <v>15.64</v>
          </cell>
          <cell r="DM784">
            <v>15.64</v>
          </cell>
          <cell r="DV784">
            <v>15.64</v>
          </cell>
          <cell r="EE784">
            <v>15.64</v>
          </cell>
          <cell r="EN784">
            <v>15.64</v>
          </cell>
        </row>
        <row r="785">
          <cell r="A785">
            <v>156</v>
          </cell>
          <cell r="B785" t="str">
            <v>FG</v>
          </cell>
          <cell r="C785" t="str">
            <v>FM</v>
          </cell>
          <cell r="D785" t="str">
            <v>C1618  W/E</v>
          </cell>
          <cell r="I785">
            <v>15.46</v>
          </cell>
          <cell r="R785">
            <v>15.46</v>
          </cell>
          <cell r="AA785">
            <v>15.46</v>
          </cell>
          <cell r="AJ785">
            <v>15.46</v>
          </cell>
          <cell r="AS785">
            <v>15.46</v>
          </cell>
          <cell r="BB785">
            <v>15.46</v>
          </cell>
          <cell r="BK785">
            <v>15.46</v>
          </cell>
          <cell r="BT785">
            <v>15.46</v>
          </cell>
          <cell r="CC785">
            <v>15.46</v>
          </cell>
          <cell r="CL785">
            <v>15.46</v>
          </cell>
          <cell r="CU785">
            <v>15.46</v>
          </cell>
          <cell r="DD785">
            <v>15.46</v>
          </cell>
          <cell r="DM785">
            <v>15.46</v>
          </cell>
          <cell r="DV785">
            <v>15.46</v>
          </cell>
          <cell r="EE785">
            <v>15.46</v>
          </cell>
          <cell r="EN785">
            <v>15.46</v>
          </cell>
        </row>
        <row r="786">
          <cell r="A786">
            <v>157</v>
          </cell>
          <cell r="B786" t="str">
            <v>FG</v>
          </cell>
          <cell r="C786" t="str">
            <v>NM</v>
          </cell>
          <cell r="D786" t="str">
            <v>CONTAMINATED FATTY ACID</v>
          </cell>
          <cell r="I786">
            <v>23</v>
          </cell>
          <cell r="R786">
            <v>23</v>
          </cell>
          <cell r="AA786">
            <v>24</v>
          </cell>
          <cell r="AJ786">
            <v>25</v>
          </cell>
          <cell r="AS786">
            <v>26</v>
          </cell>
          <cell r="BB786">
            <v>27</v>
          </cell>
          <cell r="BK786">
            <v>28</v>
          </cell>
          <cell r="BT786">
            <v>30</v>
          </cell>
          <cell r="CC786">
            <v>30</v>
          </cell>
          <cell r="CL786">
            <v>32</v>
          </cell>
          <cell r="CU786">
            <v>32</v>
          </cell>
          <cell r="DD786">
            <v>33</v>
          </cell>
          <cell r="DM786">
            <v>33</v>
          </cell>
          <cell r="DV786">
            <v>35</v>
          </cell>
          <cell r="EE786">
            <v>36</v>
          </cell>
          <cell r="EN786">
            <v>37</v>
          </cell>
        </row>
        <row r="787">
          <cell r="A787">
            <v>158</v>
          </cell>
          <cell r="B787" t="str">
            <v>FG</v>
          </cell>
          <cell r="C787" t="str">
            <v>NM</v>
          </cell>
          <cell r="D787" t="str">
            <v>STEARIC ACID - SPECIAL</v>
          </cell>
          <cell r="F787">
            <v>1.35</v>
          </cell>
          <cell r="H787">
            <v>1.05</v>
          </cell>
          <cell r="Q787">
            <v>1.05</v>
          </cell>
          <cell r="R787">
            <v>0</v>
          </cell>
          <cell r="X787">
            <v>1.35</v>
          </cell>
          <cell r="Z787">
            <v>1.05</v>
          </cell>
          <cell r="AG787">
            <v>1.35</v>
          </cell>
          <cell r="AJ787">
            <v>0</v>
          </cell>
          <cell r="AP787">
            <v>1.35</v>
          </cell>
          <cell r="AR787">
            <v>1.05</v>
          </cell>
          <cell r="AS787">
            <v>0</v>
          </cell>
          <cell r="BA787">
            <v>1.05</v>
          </cell>
          <cell r="BB787">
            <v>0</v>
          </cell>
          <cell r="BH787">
            <v>1.35</v>
          </cell>
          <cell r="BJ787">
            <v>1.05</v>
          </cell>
          <cell r="BK787">
            <v>0</v>
          </cell>
          <cell r="BQ787">
            <v>1.35</v>
          </cell>
          <cell r="BS787">
            <v>1.05</v>
          </cell>
          <cell r="BT787">
            <v>0</v>
          </cell>
          <cell r="BZ787">
            <v>1.35</v>
          </cell>
          <cell r="CB787">
            <v>1.05</v>
          </cell>
          <cell r="CC787">
            <v>0</v>
          </cell>
          <cell r="CI787">
            <v>1.35</v>
          </cell>
          <cell r="CK787">
            <v>1.05</v>
          </cell>
          <cell r="CR787">
            <v>1.35</v>
          </cell>
          <cell r="CT787">
            <v>1.05</v>
          </cell>
          <cell r="CU787">
            <v>0</v>
          </cell>
          <cell r="DA787">
            <v>1.35</v>
          </cell>
          <cell r="DC787">
            <v>1.05</v>
          </cell>
          <cell r="DJ787">
            <v>1.35</v>
          </cell>
          <cell r="DL787">
            <v>1.05</v>
          </cell>
          <cell r="DS787">
            <v>1.35</v>
          </cell>
          <cell r="DU787">
            <v>1.05</v>
          </cell>
          <cell r="EB787">
            <v>1.35</v>
          </cell>
          <cell r="ED787">
            <v>1.05</v>
          </cell>
          <cell r="EE787">
            <v>0</v>
          </cell>
          <cell r="EK787">
            <v>1.35</v>
          </cell>
          <cell r="EM787">
            <v>1.05</v>
          </cell>
          <cell r="EN787">
            <v>0</v>
          </cell>
        </row>
        <row r="788">
          <cell r="A788">
            <v>159</v>
          </cell>
          <cell r="B788" t="str">
            <v>FG</v>
          </cell>
          <cell r="C788" t="str">
            <v>NM</v>
          </cell>
          <cell r="D788" t="str">
            <v>DFA-C18/22</v>
          </cell>
          <cell r="F788">
            <v>15.2</v>
          </cell>
          <cell r="X788">
            <v>15.2</v>
          </cell>
          <cell r="AG788">
            <v>15.2</v>
          </cell>
          <cell r="AY788">
            <v>15.2</v>
          </cell>
          <cell r="BQ788">
            <v>15.2</v>
          </cell>
          <cell r="BZ788">
            <v>15.2</v>
          </cell>
          <cell r="CI788">
            <v>15.2</v>
          </cell>
          <cell r="CR788">
            <v>15.2</v>
          </cell>
          <cell r="DA788">
            <v>15.2</v>
          </cell>
          <cell r="DJ788">
            <v>15.2</v>
          </cell>
          <cell r="DS788">
            <v>15.2</v>
          </cell>
          <cell r="EB788">
            <v>15.2</v>
          </cell>
          <cell r="EK788">
            <v>15.2</v>
          </cell>
        </row>
        <row r="789">
          <cell r="A789">
            <v>160</v>
          </cell>
          <cell r="B789" t="str">
            <v>FG</v>
          </cell>
          <cell r="C789" t="str">
            <v>NM</v>
          </cell>
          <cell r="D789" t="str">
            <v>C10 Alc (14 * 170 kgs)</v>
          </cell>
          <cell r="I789">
            <v>2.38</v>
          </cell>
        </row>
        <row r="790">
          <cell r="A790">
            <v>241</v>
          </cell>
          <cell r="B790" t="str">
            <v>FG</v>
          </cell>
          <cell r="C790" t="str">
            <v>NM</v>
          </cell>
          <cell r="D790" t="str">
            <v>C12</v>
          </cell>
        </row>
        <row r="791">
          <cell r="A791">
            <v>244</v>
          </cell>
          <cell r="B791" t="str">
            <v>FG</v>
          </cell>
          <cell r="C791" t="str">
            <v>NM</v>
          </cell>
          <cell r="D791" t="str">
            <v>STEARIC-90</v>
          </cell>
          <cell r="E791" t="str">
            <v>STEARIC-90</v>
          </cell>
        </row>
        <row r="792">
          <cell r="A792">
            <v>246</v>
          </cell>
          <cell r="B792" t="str">
            <v>FG</v>
          </cell>
          <cell r="C792" t="str">
            <v>NM</v>
          </cell>
          <cell r="D792" t="str">
            <v>HPS 25 KGS</v>
          </cell>
        </row>
        <row r="793">
          <cell r="F793">
            <v>257.95</v>
          </cell>
          <cell r="G793">
            <v>0</v>
          </cell>
          <cell r="H793">
            <v>21.650000000000002</v>
          </cell>
          <cell r="I793">
            <v>749.84500000000003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O793">
            <v>0</v>
          </cell>
          <cell r="P793">
            <v>0</v>
          </cell>
          <cell r="Q793">
            <v>15.65</v>
          </cell>
          <cell r="R793">
            <v>717.91499999999996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314.84999999999997</v>
          </cell>
          <cell r="Y793">
            <v>0</v>
          </cell>
          <cell r="Z793">
            <v>28.650000000000002</v>
          </cell>
          <cell r="AA793">
            <v>667.86500000000001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283</v>
          </cell>
          <cell r="AH793">
            <v>0</v>
          </cell>
          <cell r="AI793">
            <v>1.9</v>
          </cell>
          <cell r="AJ793">
            <v>726.31500000000017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290.39999999999998</v>
          </cell>
          <cell r="AQ793">
            <v>0</v>
          </cell>
          <cell r="AR793">
            <v>17.650000000000002</v>
          </cell>
          <cell r="AS793">
            <v>637.84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292.14999999999998</v>
          </cell>
          <cell r="AZ793">
            <v>0</v>
          </cell>
          <cell r="BA793">
            <v>75.649999999999991</v>
          </cell>
          <cell r="BB793">
            <v>520.49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275.75</v>
          </cell>
          <cell r="BI793">
            <v>0</v>
          </cell>
          <cell r="BJ793">
            <v>85.649999999999991</v>
          </cell>
          <cell r="BK793">
            <v>506.89000000000004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231.7</v>
          </cell>
          <cell r="BR793">
            <v>0</v>
          </cell>
          <cell r="BS793">
            <v>86.649999999999991</v>
          </cell>
          <cell r="BT793">
            <v>498.34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235.70000000000002</v>
          </cell>
          <cell r="CA793">
            <v>0</v>
          </cell>
          <cell r="CB793">
            <v>102.64999999999999</v>
          </cell>
          <cell r="CC793">
            <v>523.49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290.2</v>
          </cell>
          <cell r="CJ793">
            <v>0</v>
          </cell>
          <cell r="CK793">
            <v>126.94999999999999</v>
          </cell>
          <cell r="CL793">
            <v>472.44</v>
          </cell>
          <cell r="CM793">
            <v>0</v>
          </cell>
          <cell r="CN793">
            <v>0</v>
          </cell>
          <cell r="CO793">
            <v>0</v>
          </cell>
          <cell r="CP793">
            <v>0</v>
          </cell>
          <cell r="CQ793">
            <v>0</v>
          </cell>
          <cell r="CR793">
            <v>292.20000000000005</v>
          </cell>
          <cell r="CS793">
            <v>0</v>
          </cell>
          <cell r="CT793">
            <v>129.85000000000002</v>
          </cell>
          <cell r="CU793">
            <v>534.16499999999996</v>
          </cell>
          <cell r="CV793">
            <v>0</v>
          </cell>
          <cell r="CW793">
            <v>0</v>
          </cell>
          <cell r="CX793">
            <v>0</v>
          </cell>
          <cell r="CY793">
            <v>0</v>
          </cell>
          <cell r="CZ793">
            <v>0</v>
          </cell>
          <cell r="DA793">
            <v>305.90000000000003</v>
          </cell>
          <cell r="DB793">
            <v>0</v>
          </cell>
          <cell r="DC793">
            <v>185.85000000000002</v>
          </cell>
          <cell r="DD793">
            <v>585.71500000000003</v>
          </cell>
          <cell r="DE793">
            <v>0</v>
          </cell>
          <cell r="DF793">
            <v>0</v>
          </cell>
          <cell r="DG793">
            <v>0</v>
          </cell>
          <cell r="DH793">
            <v>0</v>
          </cell>
          <cell r="DI793">
            <v>0</v>
          </cell>
          <cell r="DJ793">
            <v>204.4</v>
          </cell>
          <cell r="DK793">
            <v>0</v>
          </cell>
          <cell r="DL793">
            <v>125.85000000000001</v>
          </cell>
          <cell r="DM793">
            <v>562.06500000000005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236.65</v>
          </cell>
          <cell r="DT793">
            <v>0</v>
          </cell>
          <cell r="DU793">
            <v>106.35000000000001</v>
          </cell>
          <cell r="DV793">
            <v>543.51499999999987</v>
          </cell>
          <cell r="DW793">
            <v>0</v>
          </cell>
          <cell r="DX793">
            <v>0</v>
          </cell>
          <cell r="DY793">
            <v>0</v>
          </cell>
          <cell r="DZ793">
            <v>0</v>
          </cell>
          <cell r="EA793">
            <v>0</v>
          </cell>
          <cell r="EB793">
            <v>264.40000000000003</v>
          </cell>
          <cell r="EC793">
            <v>0</v>
          </cell>
          <cell r="ED793">
            <v>90.350000000000009</v>
          </cell>
          <cell r="EE793">
            <v>521.56500000000005</v>
          </cell>
          <cell r="EF793">
            <v>0</v>
          </cell>
          <cell r="EG793">
            <v>0</v>
          </cell>
          <cell r="EH793">
            <v>0</v>
          </cell>
          <cell r="EI793">
            <v>0</v>
          </cell>
          <cell r="EJ793">
            <v>0</v>
          </cell>
          <cell r="EK793">
            <v>296.90000000000003</v>
          </cell>
          <cell r="EL793">
            <v>0</v>
          </cell>
          <cell r="EM793">
            <v>129.35000000000002</v>
          </cell>
          <cell r="EN793">
            <v>539.01499999999999</v>
          </cell>
          <cell r="EO793">
            <v>0</v>
          </cell>
          <cell r="EP793">
            <v>0</v>
          </cell>
          <cell r="EQ793">
            <v>0</v>
          </cell>
          <cell r="ER793">
            <v>0</v>
          </cell>
          <cell r="ES793">
            <v>0</v>
          </cell>
        </row>
        <row r="794">
          <cell r="A794" t="str">
            <v>FATTY ALCOHOLS</v>
          </cell>
        </row>
        <row r="795">
          <cell r="A795">
            <v>256</v>
          </cell>
          <cell r="B795" t="str">
            <v>FG</v>
          </cell>
          <cell r="C795" t="str">
            <v>FM</v>
          </cell>
          <cell r="D795" t="str">
            <v>VEGROL10</v>
          </cell>
          <cell r="N795">
            <v>0</v>
          </cell>
        </row>
        <row r="796">
          <cell r="A796">
            <v>161</v>
          </cell>
          <cell r="B796" t="str">
            <v>FG</v>
          </cell>
          <cell r="C796" t="str">
            <v>FM</v>
          </cell>
          <cell r="D796" t="str">
            <v>VEGROL1214</v>
          </cell>
          <cell r="H796">
            <v>640.02</v>
          </cell>
          <cell r="I796">
            <v>151.68</v>
          </cell>
          <cell r="M796">
            <v>16.87</v>
          </cell>
          <cell r="Q796">
            <v>640.02</v>
          </cell>
          <cell r="R796">
            <v>134</v>
          </cell>
          <cell r="Z796">
            <v>47.6</v>
          </cell>
          <cell r="AA796">
            <v>126.37</v>
          </cell>
          <cell r="AE796">
            <v>8.49</v>
          </cell>
          <cell r="AI796">
            <v>47.6</v>
          </cell>
          <cell r="AJ796">
            <v>185.35</v>
          </cell>
          <cell r="AN796">
            <v>8.49</v>
          </cell>
          <cell r="AR796">
            <v>500.64</v>
          </cell>
          <cell r="AS796">
            <v>454.92</v>
          </cell>
          <cell r="BB796">
            <v>1300.1600000000001</v>
          </cell>
          <cell r="BF796">
            <v>74.599999999999994</v>
          </cell>
          <cell r="BK796">
            <v>714.11</v>
          </cell>
          <cell r="BS796">
            <v>103.3</v>
          </cell>
          <cell r="BT796">
            <v>1225.26</v>
          </cell>
          <cell r="CC796">
            <v>966.3</v>
          </cell>
          <cell r="CG796">
            <v>15.16</v>
          </cell>
          <cell r="CL796">
            <v>1070.08</v>
          </cell>
          <cell r="CP796">
            <v>15.94</v>
          </cell>
          <cell r="CU796">
            <v>1643.15</v>
          </cell>
          <cell r="CY796">
            <v>60.94</v>
          </cell>
          <cell r="DD796">
            <v>1979.49</v>
          </cell>
          <cell r="DM796">
            <v>1992.72</v>
          </cell>
          <cell r="DQ796">
            <v>54.5</v>
          </cell>
          <cell r="DV796">
            <v>1720.85</v>
          </cell>
          <cell r="DZ796">
            <v>74.75</v>
          </cell>
          <cell r="EE796">
            <v>1201.3399999999999</v>
          </cell>
          <cell r="EI796">
            <v>75.56</v>
          </cell>
          <cell r="EN796">
            <v>926.94</v>
          </cell>
          <cell r="ER796">
            <v>45.5</v>
          </cell>
        </row>
        <row r="797">
          <cell r="A797">
            <v>162</v>
          </cell>
          <cell r="B797" t="str">
            <v>FG</v>
          </cell>
          <cell r="C797" t="str">
            <v>FM</v>
          </cell>
          <cell r="D797" t="str">
            <v>VEGROL1216</v>
          </cell>
          <cell r="H797">
            <v>2039.95</v>
          </cell>
          <cell r="I797">
            <v>1435.09</v>
          </cell>
          <cell r="Q797">
            <v>2039.95</v>
          </cell>
          <cell r="R797">
            <v>1376.17</v>
          </cell>
          <cell r="Z797">
            <v>1920.89</v>
          </cell>
          <cell r="AA797">
            <v>22.87</v>
          </cell>
          <cell r="AI797">
            <v>1447.16</v>
          </cell>
          <cell r="AJ797">
            <v>251.13762999999997</v>
          </cell>
          <cell r="AR797">
            <v>1327.49</v>
          </cell>
          <cell r="AS797">
            <v>228.74</v>
          </cell>
          <cell r="BA797">
            <v>477.83</v>
          </cell>
          <cell r="BB797">
            <v>159.81</v>
          </cell>
          <cell r="BJ797">
            <v>379.33</v>
          </cell>
          <cell r="BK797">
            <v>216.00662999999997</v>
          </cell>
          <cell r="BT797">
            <v>505.99</v>
          </cell>
          <cell r="CB797">
            <v>103.3</v>
          </cell>
          <cell r="CC797">
            <v>366.1</v>
          </cell>
          <cell r="CG797">
            <v>30.09</v>
          </cell>
          <cell r="CK797">
            <v>103.3</v>
          </cell>
          <cell r="CL797">
            <v>262.14999999999998</v>
          </cell>
          <cell r="CP797">
            <v>61</v>
          </cell>
          <cell r="CT797">
            <v>103.3</v>
          </cell>
          <cell r="CU797">
            <v>172.05</v>
          </cell>
          <cell r="DC797">
            <v>103.3</v>
          </cell>
          <cell r="DD797">
            <v>359.89</v>
          </cell>
          <cell r="DL797">
            <v>381.65</v>
          </cell>
          <cell r="DM797">
            <v>396.9</v>
          </cell>
          <cell r="DQ797">
            <v>65.64</v>
          </cell>
          <cell r="DU797">
            <v>1098.72</v>
          </cell>
          <cell r="DV797">
            <v>282.70999999999998</v>
          </cell>
          <cell r="ED797">
            <v>1098.72</v>
          </cell>
          <cell r="EE797">
            <v>530.27</v>
          </cell>
          <cell r="EM797">
            <v>1098.72</v>
          </cell>
          <cell r="EN797">
            <v>391.51</v>
          </cell>
        </row>
        <row r="798">
          <cell r="A798">
            <v>163</v>
          </cell>
          <cell r="B798" t="str">
            <v>FG</v>
          </cell>
          <cell r="C798" t="str">
            <v>FM</v>
          </cell>
          <cell r="D798" t="str">
            <v>VEGROL 1218</v>
          </cell>
          <cell r="I798">
            <v>505.86</v>
          </cell>
          <cell r="R798">
            <v>472.86</v>
          </cell>
          <cell r="AA798">
            <v>481.84</v>
          </cell>
          <cell r="AJ798">
            <v>530.19214999999997</v>
          </cell>
          <cell r="AS798">
            <v>605.92999999999995</v>
          </cell>
          <cell r="BB798">
            <v>504.15</v>
          </cell>
          <cell r="BF798">
            <v>17.170000000000002</v>
          </cell>
          <cell r="BK798">
            <v>625.04999999999995</v>
          </cell>
          <cell r="BT798">
            <v>655.29999999999995</v>
          </cell>
          <cell r="CC798">
            <v>608.4</v>
          </cell>
          <cell r="CL798">
            <v>562.66999999999996</v>
          </cell>
          <cell r="CU798">
            <v>562.66999999999996</v>
          </cell>
          <cell r="DD798">
            <v>562.66999999999996</v>
          </cell>
          <cell r="DM798">
            <v>580.34</v>
          </cell>
          <cell r="DQ798">
            <v>15.49</v>
          </cell>
          <cell r="DV798">
            <v>565.26</v>
          </cell>
          <cell r="EE798">
            <v>537.87</v>
          </cell>
          <cell r="EN798">
            <v>491.79</v>
          </cell>
        </row>
        <row r="799">
          <cell r="A799">
            <v>164</v>
          </cell>
          <cell r="B799" t="str">
            <v>FG</v>
          </cell>
          <cell r="C799" t="str">
            <v>FM</v>
          </cell>
          <cell r="D799" t="str">
            <v>VEGROL C1618TA</v>
          </cell>
          <cell r="I799">
            <v>758.56</v>
          </cell>
          <cell r="M799">
            <v>18.77</v>
          </cell>
          <cell r="R799">
            <v>755.47</v>
          </cell>
          <cell r="AA799">
            <v>753.33</v>
          </cell>
          <cell r="AJ799">
            <v>674.13875199999995</v>
          </cell>
          <cell r="AS799">
            <v>605.55999999999995</v>
          </cell>
          <cell r="BB799">
            <v>605.45000000000005</v>
          </cell>
          <cell r="BK799">
            <v>906.86</v>
          </cell>
          <cell r="BT799">
            <v>1022.6</v>
          </cell>
          <cell r="CC799">
            <v>1019.1</v>
          </cell>
          <cell r="CL799">
            <v>1019.1</v>
          </cell>
          <cell r="CU799">
            <v>984.2</v>
          </cell>
          <cell r="DD799">
            <v>923.89</v>
          </cell>
          <cell r="DM799">
            <v>854.51</v>
          </cell>
          <cell r="DV799">
            <v>689.41</v>
          </cell>
          <cell r="EE799">
            <v>1123.9000000000001</v>
          </cell>
          <cell r="EN799">
            <v>1509.1</v>
          </cell>
        </row>
        <row r="800">
          <cell r="A800">
            <v>165</v>
          </cell>
          <cell r="B800" t="str">
            <v>FG</v>
          </cell>
          <cell r="C800" t="str">
            <v>FM</v>
          </cell>
          <cell r="D800" t="str">
            <v>VEGROL C1618(50:50)</v>
          </cell>
          <cell r="I800">
            <v>379.25</v>
          </cell>
          <cell r="R800">
            <v>379.25</v>
          </cell>
          <cell r="AA800">
            <v>378.59</v>
          </cell>
          <cell r="AJ800">
            <v>378.58676800000001</v>
          </cell>
          <cell r="AS800">
            <v>379.45</v>
          </cell>
          <cell r="BB800">
            <v>378.9</v>
          </cell>
          <cell r="BK800">
            <v>378.92075199999999</v>
          </cell>
          <cell r="BT800">
            <v>379.45</v>
          </cell>
          <cell r="CC800">
            <v>379.45</v>
          </cell>
          <cell r="CL800">
            <v>364.32</v>
          </cell>
          <cell r="CU800">
            <v>364.32</v>
          </cell>
          <cell r="DD800">
            <v>364.32</v>
          </cell>
          <cell r="DM800">
            <v>317.41000000000003</v>
          </cell>
          <cell r="DV800">
            <v>303.88</v>
          </cell>
          <cell r="EE800">
            <v>243.66</v>
          </cell>
          <cell r="EN800">
            <v>243.66</v>
          </cell>
        </row>
        <row r="801">
          <cell r="A801">
            <v>166</v>
          </cell>
          <cell r="B801" t="str">
            <v>FG</v>
          </cell>
          <cell r="C801" t="str">
            <v>FM</v>
          </cell>
          <cell r="D801" t="str">
            <v>VEGROL C1618PS</v>
          </cell>
        </row>
        <row r="802">
          <cell r="A802">
            <v>167</v>
          </cell>
          <cell r="B802" t="str">
            <v>FG</v>
          </cell>
          <cell r="C802" t="str">
            <v>FM</v>
          </cell>
          <cell r="D802" t="str">
            <v>VEGROL C1698</v>
          </cell>
          <cell r="I802">
            <v>249.89</v>
          </cell>
          <cell r="R802">
            <v>195.49</v>
          </cell>
          <cell r="AA802">
            <v>160.82</v>
          </cell>
          <cell r="AJ802">
            <v>160.70196799999999</v>
          </cell>
          <cell r="AS802">
            <v>160.69999999999999</v>
          </cell>
          <cell r="BB802">
            <v>179.58</v>
          </cell>
          <cell r="BK802">
            <v>834.48</v>
          </cell>
          <cell r="BT802">
            <v>700.8</v>
          </cell>
          <cell r="CC802">
            <v>456.53</v>
          </cell>
          <cell r="CL802">
            <v>336.04</v>
          </cell>
          <cell r="CU802">
            <v>336.04</v>
          </cell>
          <cell r="DD802">
            <v>262.69</v>
          </cell>
          <cell r="DM802">
            <v>153.56</v>
          </cell>
          <cell r="DV802">
            <v>67.77</v>
          </cell>
          <cell r="EE802">
            <v>640.33000000000004</v>
          </cell>
          <cell r="EN802">
            <v>550.64</v>
          </cell>
        </row>
        <row r="803">
          <cell r="A803">
            <v>168</v>
          </cell>
          <cell r="B803" t="str">
            <v>FG</v>
          </cell>
          <cell r="C803" t="str">
            <v>FM</v>
          </cell>
          <cell r="D803" t="str">
            <v>VEGROL C1895</v>
          </cell>
        </row>
        <row r="804">
          <cell r="A804">
            <v>169</v>
          </cell>
          <cell r="B804" t="str">
            <v>FG</v>
          </cell>
          <cell r="C804" t="str">
            <v>FM</v>
          </cell>
          <cell r="D804" t="str">
            <v>VEGROL C1898</v>
          </cell>
          <cell r="I804">
            <v>511.02</v>
          </cell>
          <cell r="R804">
            <v>528.61</v>
          </cell>
          <cell r="AA804">
            <v>491.67</v>
          </cell>
          <cell r="AJ804">
            <v>485.43779200000006</v>
          </cell>
          <cell r="AS804">
            <v>479.07</v>
          </cell>
          <cell r="BB804">
            <v>477.45</v>
          </cell>
          <cell r="BK804">
            <v>399.63855000000001</v>
          </cell>
          <cell r="BT804">
            <v>398.22</v>
          </cell>
          <cell r="CC804">
            <v>396.38</v>
          </cell>
          <cell r="CL804">
            <v>324.33999999999997</v>
          </cell>
          <cell r="CU804">
            <v>304.5</v>
          </cell>
          <cell r="DD804">
            <v>304.5</v>
          </cell>
          <cell r="DM804">
            <v>302.08</v>
          </cell>
          <cell r="DV804">
            <v>224.33</v>
          </cell>
          <cell r="EE804">
            <v>181.3</v>
          </cell>
          <cell r="EN804">
            <v>433.54</v>
          </cell>
        </row>
        <row r="805">
          <cell r="A805">
            <v>170</v>
          </cell>
          <cell r="B805" t="str">
            <v>FG</v>
          </cell>
          <cell r="C805" t="str">
            <v>FM</v>
          </cell>
          <cell r="D805" t="str">
            <v>VEGROL C1822 (seed alc)</v>
          </cell>
          <cell r="AA805">
            <v>644.11</v>
          </cell>
          <cell r="AJ805">
            <v>209.06559999999999</v>
          </cell>
          <cell r="AS805">
            <v>210.38</v>
          </cell>
          <cell r="BB805">
            <v>254.12</v>
          </cell>
          <cell r="BK805">
            <v>254.4511</v>
          </cell>
          <cell r="BT805">
            <v>254.22</v>
          </cell>
          <cell r="CC805">
            <v>251.4</v>
          </cell>
          <cell r="CL805">
            <v>254.62</v>
          </cell>
          <cell r="CU805">
            <v>254.62</v>
          </cell>
          <cell r="DD805">
            <v>254.62</v>
          </cell>
          <cell r="DM805">
            <v>254.62</v>
          </cell>
          <cell r="DV805">
            <v>254.62</v>
          </cell>
          <cell r="EE805">
            <v>254.62</v>
          </cell>
          <cell r="EN805">
            <v>254.62</v>
          </cell>
        </row>
        <row r="806">
          <cell r="A806">
            <v>171</v>
          </cell>
          <cell r="B806" t="str">
            <v>FG</v>
          </cell>
          <cell r="C806" t="str">
            <v>SM</v>
          </cell>
          <cell r="D806" t="str">
            <v>VEGROL C20:2250:50</v>
          </cell>
        </row>
        <row r="807">
          <cell r="A807">
            <v>172</v>
          </cell>
          <cell r="B807" t="str">
            <v>FG</v>
          </cell>
          <cell r="C807" t="str">
            <v>SM</v>
          </cell>
          <cell r="D807" t="str">
            <v>VEGROL C2280</v>
          </cell>
          <cell r="I807">
            <v>164.94</v>
          </cell>
          <cell r="N807">
            <v>0</v>
          </cell>
          <cell r="R807">
            <v>38.15</v>
          </cell>
          <cell r="AA807">
            <v>49.45</v>
          </cell>
          <cell r="AJ807">
            <v>507.48020000000002</v>
          </cell>
          <cell r="AS807">
            <v>449.58</v>
          </cell>
          <cell r="BB807">
            <v>310.70999999999998</v>
          </cell>
          <cell r="BK807">
            <v>310.69119999999998</v>
          </cell>
          <cell r="BT807">
            <v>310.75</v>
          </cell>
          <cell r="CC807">
            <v>309</v>
          </cell>
          <cell r="CL807">
            <v>310.94</v>
          </cell>
          <cell r="CU807">
            <v>310.94</v>
          </cell>
          <cell r="DD807">
            <v>274.45</v>
          </cell>
          <cell r="DM807">
            <v>274.45</v>
          </cell>
          <cell r="DV807">
            <v>274.45</v>
          </cell>
          <cell r="EE807">
            <v>274.45</v>
          </cell>
          <cell r="EN807">
            <v>258.73</v>
          </cell>
        </row>
        <row r="808">
          <cell r="A808">
            <v>173</v>
          </cell>
          <cell r="B808" t="str">
            <v>FG</v>
          </cell>
          <cell r="C808" t="str">
            <v>SM</v>
          </cell>
          <cell r="D808" t="str">
            <v>VEGROL1216 CONCENTRATED</v>
          </cell>
          <cell r="AA808">
            <v>1376.17</v>
          </cell>
          <cell r="AJ808">
            <v>1228.83</v>
          </cell>
          <cell r="AS808">
            <v>1130.02</v>
          </cell>
          <cell r="BB808">
            <v>1129.1600000000001</v>
          </cell>
          <cell r="BK808">
            <v>1688.8429999999998</v>
          </cell>
          <cell r="BT808">
            <v>2005.13</v>
          </cell>
          <cell r="CC808">
            <v>2140.6</v>
          </cell>
          <cell r="CL808">
            <v>2136.6999999999998</v>
          </cell>
          <cell r="CU808">
            <v>2135.1</v>
          </cell>
          <cell r="DD808">
            <v>1923.81</v>
          </cell>
          <cell r="DM808">
            <v>1399</v>
          </cell>
          <cell r="DV808">
            <v>1114.7</v>
          </cell>
          <cell r="EE808">
            <v>963.4</v>
          </cell>
          <cell r="EN808">
            <v>960.5</v>
          </cell>
        </row>
        <row r="809">
          <cell r="A809">
            <v>250</v>
          </cell>
          <cell r="B809" t="str">
            <v>FG</v>
          </cell>
          <cell r="C809" t="str">
            <v>SM</v>
          </cell>
          <cell r="D809" t="str">
            <v>VEGROL C2270</v>
          </cell>
        </row>
        <row r="810">
          <cell r="F810">
            <v>0</v>
          </cell>
          <cell r="G810">
            <v>0</v>
          </cell>
          <cell r="H810">
            <v>2679.9700000000003</v>
          </cell>
          <cell r="I810">
            <v>4156.29</v>
          </cell>
          <cell r="J810">
            <v>0</v>
          </cell>
          <cell r="K810">
            <v>0</v>
          </cell>
          <cell r="L810">
            <v>0</v>
          </cell>
          <cell r="M810">
            <v>35.64</v>
          </cell>
          <cell r="O810">
            <v>0</v>
          </cell>
          <cell r="P810">
            <v>0</v>
          </cell>
          <cell r="Q810">
            <v>2679.9700000000003</v>
          </cell>
          <cell r="R810">
            <v>3880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1968.49</v>
          </cell>
          <cell r="AA810">
            <v>4485.2199999999993</v>
          </cell>
          <cell r="AB810">
            <v>0</v>
          </cell>
          <cell r="AC810">
            <v>0</v>
          </cell>
          <cell r="AD810">
            <v>0</v>
          </cell>
          <cell r="AE810">
            <v>8.49</v>
          </cell>
          <cell r="AF810">
            <v>0</v>
          </cell>
          <cell r="AG810">
            <v>0</v>
          </cell>
          <cell r="AH810">
            <v>0</v>
          </cell>
          <cell r="AI810">
            <v>1494.76</v>
          </cell>
          <cell r="AJ810">
            <v>4610.9208600000002</v>
          </cell>
          <cell r="AK810">
            <v>0</v>
          </cell>
          <cell r="AL810">
            <v>0</v>
          </cell>
          <cell r="AM810">
            <v>0</v>
          </cell>
          <cell r="AN810">
            <v>8.49</v>
          </cell>
          <cell r="AO810">
            <v>0</v>
          </cell>
          <cell r="AP810">
            <v>0</v>
          </cell>
          <cell r="AQ810">
            <v>0</v>
          </cell>
          <cell r="AR810">
            <v>1828.13</v>
          </cell>
          <cell r="AS810">
            <v>4704.3500000000004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477.83</v>
          </cell>
          <cell r="BB810">
            <v>5299.4899999999989</v>
          </cell>
          <cell r="BC810">
            <v>0</v>
          </cell>
          <cell r="BD810">
            <v>0</v>
          </cell>
          <cell r="BE810">
            <v>0</v>
          </cell>
          <cell r="BF810">
            <v>91.77</v>
          </cell>
          <cell r="BG810">
            <v>0</v>
          </cell>
          <cell r="BH810">
            <v>0</v>
          </cell>
          <cell r="BI810">
            <v>0</v>
          </cell>
          <cell r="BJ810">
            <v>379.33</v>
          </cell>
          <cell r="BK810">
            <v>6329.0512319999998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103.3</v>
          </cell>
          <cell r="BT810">
            <v>7457.72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103.3</v>
          </cell>
          <cell r="CC810">
            <v>6893.26</v>
          </cell>
          <cell r="CD810">
            <v>0</v>
          </cell>
          <cell r="CE810">
            <v>0</v>
          </cell>
          <cell r="CF810">
            <v>0</v>
          </cell>
          <cell r="CG810">
            <v>45.25</v>
          </cell>
          <cell r="CH810">
            <v>0</v>
          </cell>
          <cell r="CI810">
            <v>0</v>
          </cell>
          <cell r="CJ810">
            <v>0</v>
          </cell>
          <cell r="CK810">
            <v>103.3</v>
          </cell>
          <cell r="CL810">
            <v>6640.96</v>
          </cell>
          <cell r="CM810">
            <v>0</v>
          </cell>
          <cell r="CN810">
            <v>0</v>
          </cell>
          <cell r="CO810">
            <v>0</v>
          </cell>
          <cell r="CP810">
            <v>76.94</v>
          </cell>
          <cell r="CQ810">
            <v>0</v>
          </cell>
          <cell r="CR810">
            <v>0</v>
          </cell>
          <cell r="CS810">
            <v>0</v>
          </cell>
          <cell r="CT810">
            <v>103.3</v>
          </cell>
          <cell r="CU810">
            <v>7067.59</v>
          </cell>
          <cell r="CV810">
            <v>0</v>
          </cell>
          <cell r="CW810">
            <v>0</v>
          </cell>
          <cell r="CX810">
            <v>0</v>
          </cell>
          <cell r="CY810">
            <v>60.94</v>
          </cell>
          <cell r="CZ810">
            <v>0</v>
          </cell>
          <cell r="DA810">
            <v>0</v>
          </cell>
          <cell r="DB810">
            <v>0</v>
          </cell>
          <cell r="DC810">
            <v>103.3</v>
          </cell>
          <cell r="DD810">
            <v>7210.33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  <cell r="DL810">
            <v>381.65</v>
          </cell>
          <cell r="DM810">
            <v>6525.59</v>
          </cell>
          <cell r="DN810">
            <v>0</v>
          </cell>
          <cell r="DO810">
            <v>0</v>
          </cell>
          <cell r="DP810">
            <v>0</v>
          </cell>
          <cell r="DQ810">
            <v>135.63</v>
          </cell>
          <cell r="DR810">
            <v>0</v>
          </cell>
          <cell r="DS810">
            <v>0</v>
          </cell>
          <cell r="DT810">
            <v>0</v>
          </cell>
          <cell r="DU810">
            <v>1098.72</v>
          </cell>
          <cell r="DV810">
            <v>5497.98</v>
          </cell>
          <cell r="DW810">
            <v>0</v>
          </cell>
          <cell r="DX810">
            <v>0</v>
          </cell>
          <cell r="DY810">
            <v>0</v>
          </cell>
          <cell r="DZ810">
            <v>74.75</v>
          </cell>
          <cell r="EA810">
            <v>0</v>
          </cell>
          <cell r="EB810">
            <v>0</v>
          </cell>
          <cell r="EC810">
            <v>0</v>
          </cell>
          <cell r="ED810">
            <v>1098.72</v>
          </cell>
          <cell r="EE810">
            <v>5951.1399999999994</v>
          </cell>
          <cell r="EF810">
            <v>0</v>
          </cell>
          <cell r="EG810">
            <v>0</v>
          </cell>
          <cell r="EH810">
            <v>0</v>
          </cell>
          <cell r="EI810">
            <v>75.56</v>
          </cell>
          <cell r="EJ810">
            <v>0</v>
          </cell>
          <cell r="EK810">
            <v>0</v>
          </cell>
          <cell r="EL810">
            <v>0</v>
          </cell>
          <cell r="EM810">
            <v>1098.72</v>
          </cell>
          <cell r="EN810">
            <v>6021.0300000000007</v>
          </cell>
          <cell r="EO810">
            <v>0</v>
          </cell>
          <cell r="EP810">
            <v>0</v>
          </cell>
          <cell r="EQ810">
            <v>0</v>
          </cell>
          <cell r="ER810">
            <v>45.5</v>
          </cell>
          <cell r="ES810">
            <v>0</v>
          </cell>
        </row>
        <row r="811">
          <cell r="A811" t="str">
            <v>PASTILLES</v>
          </cell>
        </row>
        <row r="812">
          <cell r="A812">
            <v>174</v>
          </cell>
          <cell r="B812" t="str">
            <v>FG</v>
          </cell>
          <cell r="C812" t="str">
            <v>FM</v>
          </cell>
          <cell r="D812" t="str">
            <v>VEGROL C1618TA</v>
          </cell>
          <cell r="I812">
            <v>336.52</v>
          </cell>
          <cell r="R812">
            <v>315.92</v>
          </cell>
          <cell r="AA812">
            <v>273.02</v>
          </cell>
          <cell r="AJ812">
            <v>314.995</v>
          </cell>
          <cell r="AS812">
            <v>302.52</v>
          </cell>
          <cell r="BB812">
            <v>265.52</v>
          </cell>
          <cell r="BK812">
            <v>221.72</v>
          </cell>
          <cell r="BT812">
            <v>310.72000000000003</v>
          </cell>
          <cell r="CC812">
            <v>247.47</v>
          </cell>
          <cell r="CL812">
            <v>149.87</v>
          </cell>
          <cell r="CU812">
            <v>174.17</v>
          </cell>
          <cell r="DD812">
            <v>162.54499999999999</v>
          </cell>
          <cell r="DM812">
            <v>183.94499999999999</v>
          </cell>
          <cell r="DV812">
            <v>327.245</v>
          </cell>
          <cell r="EE812">
            <v>282.59500000000003</v>
          </cell>
          <cell r="EN812">
            <v>266.995</v>
          </cell>
        </row>
        <row r="813">
          <cell r="A813">
            <v>175</v>
          </cell>
          <cell r="B813" t="str">
            <v>FG</v>
          </cell>
          <cell r="C813" t="str">
            <v>FM</v>
          </cell>
          <cell r="D813" t="str">
            <v>VEGROL C1618(50:50)</v>
          </cell>
          <cell r="I813">
            <v>176.53</v>
          </cell>
          <cell r="R813">
            <v>168.53</v>
          </cell>
          <cell r="AA813">
            <v>165.53</v>
          </cell>
          <cell r="AJ813">
            <v>151.52000000000001</v>
          </cell>
          <cell r="AS813">
            <v>142.02000000000001</v>
          </cell>
          <cell r="BB813">
            <v>127.02</v>
          </cell>
          <cell r="BK813">
            <v>111.02</v>
          </cell>
          <cell r="BT813">
            <v>105.02</v>
          </cell>
          <cell r="CC813">
            <v>102.02</v>
          </cell>
          <cell r="CL813">
            <v>108.02</v>
          </cell>
          <cell r="CU813">
            <v>135.12</v>
          </cell>
          <cell r="DD813">
            <v>101.52</v>
          </cell>
          <cell r="DM813">
            <v>114.72</v>
          </cell>
          <cell r="DV813">
            <v>107.27</v>
          </cell>
          <cell r="EE813">
            <v>146.77000000000001</v>
          </cell>
          <cell r="EN813">
            <v>117.77</v>
          </cell>
        </row>
        <row r="814">
          <cell r="A814">
            <v>176</v>
          </cell>
          <cell r="B814" t="str">
            <v>FG</v>
          </cell>
          <cell r="C814" t="str">
            <v>FM</v>
          </cell>
          <cell r="D814" t="str">
            <v>VEGROL C1618PS</v>
          </cell>
          <cell r="I814">
            <v>11.08</v>
          </cell>
          <cell r="R814">
            <v>11.08</v>
          </cell>
          <cell r="AA814">
            <v>11.08</v>
          </cell>
          <cell r="AJ814">
            <v>11.08</v>
          </cell>
          <cell r="AS814">
            <v>11.08</v>
          </cell>
          <cell r="BB814">
            <v>11.08</v>
          </cell>
          <cell r="BK814">
            <v>11.08</v>
          </cell>
          <cell r="BT814">
            <v>11.08</v>
          </cell>
          <cell r="CC814">
            <v>11.08</v>
          </cell>
          <cell r="CL814">
            <v>11.08</v>
          </cell>
          <cell r="CU814">
            <v>11.08</v>
          </cell>
          <cell r="DD814">
            <v>11.08</v>
          </cell>
          <cell r="DM814">
            <v>11.08</v>
          </cell>
          <cell r="DV814">
            <v>11.08</v>
          </cell>
          <cell r="EE814">
            <v>11.08</v>
          </cell>
          <cell r="EN814">
            <v>11.08</v>
          </cell>
        </row>
        <row r="815">
          <cell r="A815">
            <v>177</v>
          </cell>
          <cell r="B815" t="str">
            <v>FG</v>
          </cell>
          <cell r="C815" t="str">
            <v>FM</v>
          </cell>
          <cell r="D815" t="str">
            <v>VEGROL C1698</v>
          </cell>
          <cell r="I815">
            <v>95.04</v>
          </cell>
          <cell r="R815">
            <v>142.63</v>
          </cell>
          <cell r="AA815">
            <v>80.203000000000003</v>
          </cell>
          <cell r="AJ815">
            <v>51.4</v>
          </cell>
          <cell r="AS815">
            <v>21.4</v>
          </cell>
          <cell r="BB815">
            <v>13.9</v>
          </cell>
          <cell r="BK815">
            <v>119.95</v>
          </cell>
          <cell r="BT815">
            <v>69.42</v>
          </cell>
          <cell r="CC815">
            <v>150.62</v>
          </cell>
          <cell r="CL815">
            <v>157.03</v>
          </cell>
          <cell r="CU815">
            <v>149.83000000000001</v>
          </cell>
          <cell r="DD815">
            <v>143.22999999999999</v>
          </cell>
          <cell r="DM815">
            <v>89.59</v>
          </cell>
          <cell r="DV815">
            <v>41.99</v>
          </cell>
          <cell r="EE815">
            <v>52.36</v>
          </cell>
          <cell r="EN815">
            <v>96.15</v>
          </cell>
        </row>
        <row r="816">
          <cell r="A816">
            <v>178</v>
          </cell>
          <cell r="B816" t="str">
            <v>FG</v>
          </cell>
          <cell r="C816" t="str">
            <v>FM</v>
          </cell>
          <cell r="D816" t="str">
            <v>VEGROL C1895</v>
          </cell>
          <cell r="R816">
            <v>0</v>
          </cell>
          <cell r="AJ816">
            <v>0</v>
          </cell>
          <cell r="AS816">
            <v>0</v>
          </cell>
          <cell r="BB816">
            <v>0</v>
          </cell>
          <cell r="BK816">
            <v>0</v>
          </cell>
          <cell r="BT816">
            <v>0</v>
          </cell>
          <cell r="CC816">
            <v>0</v>
          </cell>
          <cell r="CU816">
            <v>0</v>
          </cell>
          <cell r="DM816">
            <v>0</v>
          </cell>
          <cell r="DV816">
            <v>0</v>
          </cell>
          <cell r="EE816">
            <v>0</v>
          </cell>
          <cell r="EN816">
            <v>0</v>
          </cell>
        </row>
        <row r="817">
          <cell r="A817">
            <v>179</v>
          </cell>
          <cell r="B817" t="str">
            <v>FG</v>
          </cell>
          <cell r="C817" t="str">
            <v>FM</v>
          </cell>
          <cell r="D817" t="str">
            <v>VEGROL C1898</v>
          </cell>
          <cell r="I817">
            <v>1.66</v>
          </cell>
          <cell r="R817">
            <v>1.66</v>
          </cell>
          <cell r="AA817">
            <v>84.26</v>
          </cell>
          <cell r="AJ817">
            <v>81.260000000000005</v>
          </cell>
          <cell r="AS817">
            <v>66.86</v>
          </cell>
          <cell r="BB817">
            <v>54.61</v>
          </cell>
          <cell r="BK817">
            <v>88.674000000000007</v>
          </cell>
          <cell r="BT817">
            <v>63.024000000000001</v>
          </cell>
          <cell r="CC817">
            <v>31.943999999999999</v>
          </cell>
          <cell r="CL817">
            <v>103.117</v>
          </cell>
          <cell r="CU817">
            <v>81.522000000000006</v>
          </cell>
          <cell r="DD817">
            <v>49.048000000000002</v>
          </cell>
          <cell r="DM817">
            <v>32.548000000000002</v>
          </cell>
          <cell r="DV817">
            <v>87.47</v>
          </cell>
          <cell r="EE817">
            <v>108.15</v>
          </cell>
          <cell r="EN817">
            <v>93.15</v>
          </cell>
        </row>
        <row r="818">
          <cell r="A818">
            <v>180</v>
          </cell>
          <cell r="B818" t="str">
            <v>FG</v>
          </cell>
          <cell r="C818" t="str">
            <v>FM</v>
          </cell>
          <cell r="D818" t="str">
            <v>VEGROL C1822</v>
          </cell>
          <cell r="I818">
            <v>129.22499999999999</v>
          </cell>
          <cell r="R818">
            <v>129.22499999999999</v>
          </cell>
          <cell r="AA818">
            <v>129.22499999999999</v>
          </cell>
          <cell r="AJ818">
            <v>129.22499999999999</v>
          </cell>
          <cell r="AS818">
            <v>129.22499999999999</v>
          </cell>
          <cell r="BB818">
            <v>129.22499999999999</v>
          </cell>
          <cell r="BK818">
            <v>129.22499999999999</v>
          </cell>
          <cell r="BT818">
            <v>120.22499999999999</v>
          </cell>
          <cell r="CC818">
            <v>120.22499999999999</v>
          </cell>
          <cell r="CL818">
            <v>116.2</v>
          </cell>
          <cell r="CU818">
            <v>116.2</v>
          </cell>
          <cell r="DD818">
            <v>116.2</v>
          </cell>
          <cell r="DM818">
            <v>115.2</v>
          </cell>
          <cell r="DV818">
            <v>115.2</v>
          </cell>
          <cell r="EE818">
            <v>103.2</v>
          </cell>
          <cell r="EN818">
            <v>71.2</v>
          </cell>
        </row>
        <row r="819">
          <cell r="A819">
            <v>181</v>
          </cell>
          <cell r="B819" t="str">
            <v>FG</v>
          </cell>
          <cell r="C819" t="str">
            <v>FM</v>
          </cell>
          <cell r="D819" t="str">
            <v>VEGROL C22</v>
          </cell>
          <cell r="I819">
            <v>61.161999999999999</v>
          </cell>
          <cell r="R819">
            <v>54.762</v>
          </cell>
          <cell r="AA819">
            <v>65.311999999999998</v>
          </cell>
          <cell r="AJ819">
            <v>11.762</v>
          </cell>
          <cell r="AS819">
            <v>64.512</v>
          </cell>
          <cell r="BB819">
            <v>205.762</v>
          </cell>
          <cell r="BK819">
            <v>205.762</v>
          </cell>
          <cell r="BT819">
            <v>191.262</v>
          </cell>
          <cell r="CC819">
            <v>190.012</v>
          </cell>
          <cell r="CL819">
            <v>189.512</v>
          </cell>
          <cell r="CU819">
            <v>189.512</v>
          </cell>
          <cell r="DD819">
            <v>172.08199999999999</v>
          </cell>
          <cell r="DM819">
            <v>129.422</v>
          </cell>
          <cell r="DV819">
            <v>99.921999999999997</v>
          </cell>
          <cell r="EE819">
            <v>88.572000000000003</v>
          </cell>
          <cell r="EN819">
            <v>64.572000000000003</v>
          </cell>
        </row>
        <row r="820">
          <cell r="A820">
            <v>182</v>
          </cell>
          <cell r="B820" t="str">
            <v>FG</v>
          </cell>
          <cell r="C820" t="str">
            <v>FM</v>
          </cell>
          <cell r="D820" t="str">
            <v>VEGROL C2280</v>
          </cell>
          <cell r="R820">
            <v>0</v>
          </cell>
          <cell r="AJ820">
            <v>2.75</v>
          </cell>
          <cell r="AS820">
            <v>2.75</v>
          </cell>
          <cell r="BB820">
            <v>2.75</v>
          </cell>
          <cell r="BK820">
            <v>2.75</v>
          </cell>
          <cell r="BT820">
            <v>2.75</v>
          </cell>
          <cell r="CC820">
            <v>2.75</v>
          </cell>
          <cell r="CL820">
            <v>2.75</v>
          </cell>
          <cell r="CU820">
            <v>2.75</v>
          </cell>
          <cell r="DD820">
            <v>2.75</v>
          </cell>
          <cell r="DM820">
            <v>2.75</v>
          </cell>
          <cell r="DV820">
            <v>2.75</v>
          </cell>
          <cell r="EE820">
            <v>2.75</v>
          </cell>
          <cell r="EN820">
            <v>2.75</v>
          </cell>
        </row>
        <row r="821">
          <cell r="A821">
            <v>183</v>
          </cell>
          <cell r="B821" t="str">
            <v>FG</v>
          </cell>
          <cell r="C821" t="str">
            <v>FM</v>
          </cell>
          <cell r="D821" t="str">
            <v>OFF GRADE PASTILLES</v>
          </cell>
          <cell r="I821">
            <v>190</v>
          </cell>
          <cell r="R821">
            <v>190</v>
          </cell>
          <cell r="AA821">
            <v>192</v>
          </cell>
          <cell r="AJ821">
            <v>193</v>
          </cell>
          <cell r="AS821">
            <v>194</v>
          </cell>
          <cell r="BB821">
            <v>194</v>
          </cell>
          <cell r="BK821">
            <v>194</v>
          </cell>
          <cell r="BT821">
            <v>196</v>
          </cell>
          <cell r="CC821">
            <v>198</v>
          </cell>
          <cell r="CL821">
            <v>200</v>
          </cell>
          <cell r="CU821">
            <v>200</v>
          </cell>
          <cell r="DD821">
            <v>200</v>
          </cell>
          <cell r="DM821">
            <v>200</v>
          </cell>
          <cell r="DV821">
            <v>201</v>
          </cell>
          <cell r="EE821">
            <v>202</v>
          </cell>
          <cell r="EN821">
            <v>202</v>
          </cell>
        </row>
        <row r="822">
          <cell r="F822">
            <v>0</v>
          </cell>
          <cell r="G822">
            <v>0</v>
          </cell>
          <cell r="H822">
            <v>0</v>
          </cell>
          <cell r="I822">
            <v>1001.217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1013.807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1000.63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946.99199999999996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934.36699999999996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1003.867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1084.181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1069.501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1054.1210000000001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1037.579</v>
          </cell>
          <cell r="CM822">
            <v>0</v>
          </cell>
          <cell r="CN822">
            <v>0</v>
          </cell>
          <cell r="CO822">
            <v>0</v>
          </cell>
          <cell r="CP822">
            <v>0</v>
          </cell>
          <cell r="CQ822">
            <v>0</v>
          </cell>
          <cell r="CR822">
            <v>0</v>
          </cell>
          <cell r="CS822">
            <v>0</v>
          </cell>
          <cell r="CT822">
            <v>0</v>
          </cell>
          <cell r="CU822">
            <v>1060.184</v>
          </cell>
          <cell r="CV822">
            <v>0</v>
          </cell>
          <cell r="CW822">
            <v>0</v>
          </cell>
          <cell r="CX822">
            <v>0</v>
          </cell>
          <cell r="CY822">
            <v>0</v>
          </cell>
          <cell r="CZ822">
            <v>0</v>
          </cell>
          <cell r="DA822">
            <v>0</v>
          </cell>
          <cell r="DB822">
            <v>0</v>
          </cell>
          <cell r="DC822">
            <v>0</v>
          </cell>
          <cell r="DD822">
            <v>958.45500000000004</v>
          </cell>
          <cell r="DE822">
            <v>0</v>
          </cell>
          <cell r="DF822">
            <v>0</v>
          </cell>
          <cell r="DG822">
            <v>0</v>
          </cell>
          <cell r="DH822">
            <v>0</v>
          </cell>
          <cell r="DI822">
            <v>0</v>
          </cell>
          <cell r="DJ822">
            <v>0</v>
          </cell>
          <cell r="DK822">
            <v>0</v>
          </cell>
          <cell r="DL822">
            <v>0</v>
          </cell>
          <cell r="DM822">
            <v>879.255</v>
          </cell>
          <cell r="DN822">
            <v>0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>
            <v>0</v>
          </cell>
          <cell r="DV822">
            <v>993.92700000000002</v>
          </cell>
          <cell r="DW822">
            <v>0</v>
          </cell>
          <cell r="DX822">
            <v>0</v>
          </cell>
          <cell r="DY822">
            <v>0</v>
          </cell>
          <cell r="DZ822">
            <v>0</v>
          </cell>
          <cell r="EA822">
            <v>0</v>
          </cell>
          <cell r="EB822">
            <v>0</v>
          </cell>
          <cell r="EC822">
            <v>0</v>
          </cell>
          <cell r="ED822">
            <v>0</v>
          </cell>
          <cell r="EE822">
            <v>997.47700000000009</v>
          </cell>
          <cell r="EF822">
            <v>0</v>
          </cell>
          <cell r="EG822">
            <v>0</v>
          </cell>
          <cell r="EH822">
            <v>0</v>
          </cell>
          <cell r="EI822">
            <v>0</v>
          </cell>
          <cell r="EJ822">
            <v>0</v>
          </cell>
          <cell r="EK822">
            <v>0</v>
          </cell>
          <cell r="EL822">
            <v>0</v>
          </cell>
          <cell r="EM822">
            <v>0</v>
          </cell>
          <cell r="EN822">
            <v>925.66700000000003</v>
          </cell>
          <cell r="EO822">
            <v>0</v>
          </cell>
          <cell r="EP822">
            <v>0</v>
          </cell>
          <cell r="EQ822">
            <v>0</v>
          </cell>
          <cell r="ER822">
            <v>0</v>
          </cell>
          <cell r="ES822">
            <v>0</v>
          </cell>
        </row>
        <row r="823">
          <cell r="A823" t="str">
            <v xml:space="preserve">ALCOHOL-INTERMEDIATES </v>
          </cell>
        </row>
        <row r="824">
          <cell r="A824">
            <v>184</v>
          </cell>
          <cell r="B824" t="str">
            <v>IPRM</v>
          </cell>
          <cell r="C824" t="str">
            <v>NM</v>
          </cell>
          <cell r="D824" t="str">
            <v>ALCOHOL-L/E-C-12 88%</v>
          </cell>
        </row>
        <row r="825">
          <cell r="A825">
            <v>185</v>
          </cell>
          <cell r="B825" t="str">
            <v>IPRM</v>
          </cell>
          <cell r="C825" t="str">
            <v>NM</v>
          </cell>
          <cell r="D825" t="str">
            <v>ALCOHOL-L/E-1(1214)</v>
          </cell>
          <cell r="AJ825">
            <v>9.3000000000000007</v>
          </cell>
          <cell r="AS825">
            <v>18.899999999999999</v>
          </cell>
          <cell r="BK825">
            <v>9.3000000000000007</v>
          </cell>
          <cell r="BT825">
            <v>5</v>
          </cell>
          <cell r="CC825">
            <v>15.2</v>
          </cell>
          <cell r="CL825">
            <v>4</v>
          </cell>
          <cell r="CU825">
            <v>6.7</v>
          </cell>
          <cell r="DD825">
            <v>10.6</v>
          </cell>
          <cell r="DM825">
            <v>13.2</v>
          </cell>
          <cell r="DV825">
            <v>1.8</v>
          </cell>
          <cell r="EE825">
            <v>2.4</v>
          </cell>
          <cell r="EN825">
            <v>2.4</v>
          </cell>
        </row>
        <row r="826">
          <cell r="A826">
            <v>186</v>
          </cell>
          <cell r="B826" t="str">
            <v>IPRM</v>
          </cell>
          <cell r="C826" t="str">
            <v>NM</v>
          </cell>
          <cell r="D826" t="str">
            <v>ALCOHOL-L/E-2(C12C16)</v>
          </cell>
          <cell r="I826">
            <v>2465.36</v>
          </cell>
          <cell r="AJ826">
            <v>698.3</v>
          </cell>
        </row>
        <row r="827">
          <cell r="A827">
            <v>187</v>
          </cell>
          <cell r="B827" t="str">
            <v>IPRM</v>
          </cell>
          <cell r="C827" t="str">
            <v>NM</v>
          </cell>
          <cell r="D827" t="str">
            <v>ALCOHOL-L/E-C1618,22</v>
          </cell>
          <cell r="R827">
            <v>80</v>
          </cell>
          <cell r="AA827">
            <v>360.8</v>
          </cell>
          <cell r="AJ827">
            <v>369.05399999999997</v>
          </cell>
          <cell r="AS827">
            <v>405</v>
          </cell>
          <cell r="BK827">
            <v>181.8</v>
          </cell>
          <cell r="BT827">
            <v>786.6</v>
          </cell>
          <cell r="CC827">
            <v>490.8</v>
          </cell>
          <cell r="CL827">
            <v>495.2</v>
          </cell>
          <cell r="CU827">
            <v>495.2</v>
          </cell>
          <cell r="DD827">
            <v>495.2</v>
          </cell>
          <cell r="DM827">
            <v>495.2</v>
          </cell>
          <cell r="DV827">
            <v>495.2</v>
          </cell>
          <cell r="EE827">
            <v>547.5</v>
          </cell>
          <cell r="EN827">
            <v>550.6</v>
          </cell>
        </row>
        <row r="828">
          <cell r="A828">
            <v>188</v>
          </cell>
          <cell r="B828" t="str">
            <v>IPRM</v>
          </cell>
          <cell r="C828" t="str">
            <v>NM</v>
          </cell>
          <cell r="D828" t="str">
            <v>ALCOHOL-L/E-2(C12C18)</v>
          </cell>
          <cell r="AA828">
            <v>143.4</v>
          </cell>
          <cell r="AS828">
            <v>144.1</v>
          </cell>
          <cell r="BT828">
            <v>199</v>
          </cell>
          <cell r="CC828">
            <v>199</v>
          </cell>
          <cell r="CL828">
            <v>201</v>
          </cell>
          <cell r="CU828">
            <v>201</v>
          </cell>
          <cell r="DD828">
            <v>201</v>
          </cell>
          <cell r="DM828">
            <v>201</v>
          </cell>
          <cell r="DV828">
            <v>201</v>
          </cell>
          <cell r="EE828">
            <v>201</v>
          </cell>
          <cell r="EN828">
            <v>201</v>
          </cell>
        </row>
        <row r="829">
          <cell r="A829">
            <v>189</v>
          </cell>
          <cell r="B829" t="str">
            <v>IPRM</v>
          </cell>
          <cell r="C829" t="str">
            <v>NM</v>
          </cell>
          <cell r="D829" t="str">
            <v>ALCOHOL-C16RICH</v>
          </cell>
        </row>
        <row r="830">
          <cell r="A830">
            <v>190</v>
          </cell>
          <cell r="B830" t="str">
            <v>IPRM</v>
          </cell>
          <cell r="C830" t="str">
            <v>NM</v>
          </cell>
          <cell r="D830" t="str">
            <v>ALCOHOL-CRUDE / L/E'S</v>
          </cell>
          <cell r="I830">
            <v>116.8</v>
          </cell>
          <cell r="R830">
            <v>2465.36</v>
          </cell>
          <cell r="AA830">
            <v>2318.84</v>
          </cell>
          <cell r="AS830">
            <v>2315.67</v>
          </cell>
          <cell r="BT830">
            <v>42.9</v>
          </cell>
        </row>
        <row r="831">
          <cell r="A831">
            <v>191</v>
          </cell>
          <cell r="B831" t="str">
            <v>IPRM</v>
          </cell>
          <cell r="C831" t="str">
            <v>NM</v>
          </cell>
          <cell r="D831" t="str">
            <v>L/E of ALC . 18</v>
          </cell>
          <cell r="AJ831">
            <v>55</v>
          </cell>
          <cell r="BB831">
            <v>55</v>
          </cell>
          <cell r="BK831">
            <v>86.8</v>
          </cell>
        </row>
        <row r="832">
          <cell r="A832">
            <v>192</v>
          </cell>
          <cell r="B832" t="str">
            <v>IPRM</v>
          </cell>
          <cell r="C832" t="str">
            <v>NM</v>
          </cell>
          <cell r="D832" t="str">
            <v>L.E.of C 1822</v>
          </cell>
          <cell r="AJ832">
            <v>350</v>
          </cell>
          <cell r="BK832">
            <v>377</v>
          </cell>
        </row>
        <row r="833">
          <cell r="A833">
            <v>251</v>
          </cell>
          <cell r="B833" t="str">
            <v>IPRM</v>
          </cell>
          <cell r="C833" t="str">
            <v>NM</v>
          </cell>
          <cell r="D833" t="str">
            <v>ALCOHOL-C12/C14 (seed alc)</v>
          </cell>
        </row>
        <row r="834">
          <cell r="A834">
            <v>252</v>
          </cell>
          <cell r="B834" t="str">
            <v>IPRM</v>
          </cell>
          <cell r="C834" t="str">
            <v>NM</v>
          </cell>
          <cell r="D834" t="str">
            <v>ALCOHOL-C16 98 (seed alc)</v>
          </cell>
        </row>
        <row r="835">
          <cell r="A835">
            <v>253</v>
          </cell>
          <cell r="B835" t="str">
            <v>IPRM</v>
          </cell>
          <cell r="C835" t="str">
            <v>NM</v>
          </cell>
          <cell r="D835" t="str">
            <v>ALCOHOL-C18 98 (seed alc)</v>
          </cell>
        </row>
        <row r="836">
          <cell r="A836">
            <v>254</v>
          </cell>
          <cell r="B836" t="str">
            <v>IPRM</v>
          </cell>
          <cell r="C836" t="str">
            <v>NM</v>
          </cell>
          <cell r="D836" t="str">
            <v>ALCOHOL-C16/C18 TA (seed alc)</v>
          </cell>
        </row>
        <row r="837">
          <cell r="A837">
            <v>193</v>
          </cell>
          <cell r="B837" t="str">
            <v>IPRM</v>
          </cell>
          <cell r="C837" t="str">
            <v>NM</v>
          </cell>
          <cell r="D837" t="str">
            <v>ALCOHOL-C16/C18 (seed alc)</v>
          </cell>
          <cell r="I837">
            <v>407.4</v>
          </cell>
          <cell r="R837">
            <v>468.1</v>
          </cell>
          <cell r="AA837">
            <v>369.1</v>
          </cell>
          <cell r="AS837">
            <v>369.1</v>
          </cell>
          <cell r="BT837">
            <v>253.8</v>
          </cell>
          <cell r="CC837">
            <v>395.8</v>
          </cell>
          <cell r="CL837">
            <v>395.8</v>
          </cell>
          <cell r="CU837">
            <v>395.8</v>
          </cell>
          <cell r="DD837">
            <v>395.8</v>
          </cell>
          <cell r="DM837">
            <v>395.8</v>
          </cell>
          <cell r="DV837">
            <v>395.8</v>
          </cell>
          <cell r="EE837">
            <v>395.8</v>
          </cell>
          <cell r="EN837">
            <v>395.8</v>
          </cell>
        </row>
        <row r="838">
          <cell r="A838">
            <v>194</v>
          </cell>
          <cell r="B838" t="str">
            <v>IPRM</v>
          </cell>
          <cell r="C838" t="str">
            <v>NM</v>
          </cell>
          <cell r="D838" t="str">
            <v>ALCOHOL-C18/C22 (seed alc)</v>
          </cell>
          <cell r="I838">
            <v>205.7</v>
          </cell>
          <cell r="R838">
            <v>205.4</v>
          </cell>
          <cell r="AA838">
            <v>49.5</v>
          </cell>
          <cell r="AJ838">
            <v>43.7</v>
          </cell>
          <cell r="AS838">
            <v>93.2</v>
          </cell>
          <cell r="BT838">
            <v>49.5</v>
          </cell>
          <cell r="CC838">
            <v>49.9</v>
          </cell>
          <cell r="CL838">
            <v>49.9</v>
          </cell>
          <cell r="CU838">
            <v>49.9</v>
          </cell>
          <cell r="DD838">
            <v>49.9</v>
          </cell>
          <cell r="DM838">
            <v>49.9</v>
          </cell>
          <cell r="DV838">
            <v>49.9</v>
          </cell>
          <cell r="EE838">
            <v>49.9</v>
          </cell>
          <cell r="EN838">
            <v>49.9</v>
          </cell>
        </row>
        <row r="839">
          <cell r="A839">
            <v>255</v>
          </cell>
          <cell r="B839" t="str">
            <v>IPRM</v>
          </cell>
          <cell r="C839" t="str">
            <v>NM</v>
          </cell>
          <cell r="D839" t="str">
            <v>ALCOHOL-C22 70 (seed alc)</v>
          </cell>
        </row>
        <row r="840">
          <cell r="A840">
            <v>195</v>
          </cell>
          <cell r="B840" t="str">
            <v>IPRM</v>
          </cell>
          <cell r="C840" t="str">
            <v>NM</v>
          </cell>
          <cell r="D840" t="str">
            <v>Int. Alc.20-22</v>
          </cell>
          <cell r="AJ840">
            <v>49.5</v>
          </cell>
          <cell r="BB840">
            <v>426.2</v>
          </cell>
          <cell r="BK840">
            <v>49.5</v>
          </cell>
        </row>
        <row r="841">
          <cell r="A841">
            <v>196</v>
          </cell>
          <cell r="B841" t="str">
            <v>IPRM</v>
          </cell>
          <cell r="C841" t="str">
            <v>NM</v>
          </cell>
          <cell r="D841" t="str">
            <v>ALCOHOL-RESIDUE</v>
          </cell>
          <cell r="I841">
            <v>63.6</v>
          </cell>
          <cell r="R841">
            <v>63.6</v>
          </cell>
          <cell r="AA841">
            <v>63.6</v>
          </cell>
          <cell r="AJ841">
            <v>80.629714285714286</v>
          </cell>
          <cell r="AS841">
            <v>77.5</v>
          </cell>
          <cell r="BB841">
            <v>50.4</v>
          </cell>
          <cell r="BK841">
            <v>48.455357142857146</v>
          </cell>
          <cell r="BT841">
            <v>51.9</v>
          </cell>
          <cell r="CC841">
            <v>55</v>
          </cell>
          <cell r="CL841">
            <v>71.3</v>
          </cell>
          <cell r="CU841">
            <v>81.8</v>
          </cell>
          <cell r="DD841">
            <v>75.2</v>
          </cell>
          <cell r="DM841">
            <v>78.3</v>
          </cell>
          <cell r="DV841">
            <v>89.2</v>
          </cell>
          <cell r="EE841">
            <v>92.3</v>
          </cell>
          <cell r="EN841">
            <v>100.8</v>
          </cell>
          <cell r="ER841">
            <v>5.39</v>
          </cell>
        </row>
        <row r="842">
          <cell r="A842">
            <v>197</v>
          </cell>
          <cell r="B842" t="str">
            <v>IPRM</v>
          </cell>
          <cell r="C842" t="str">
            <v>NM</v>
          </cell>
          <cell r="D842" t="str">
            <v>ALCOHOL-HYDROCARBON</v>
          </cell>
        </row>
        <row r="843">
          <cell r="A843">
            <v>198</v>
          </cell>
          <cell r="B843" t="str">
            <v>IPRM</v>
          </cell>
          <cell r="C843" t="str">
            <v>NM</v>
          </cell>
          <cell r="D843" t="str">
            <v>Int. Alc. V1218</v>
          </cell>
          <cell r="R843">
            <v>125.8</v>
          </cell>
        </row>
        <row r="844">
          <cell r="A844">
            <v>199</v>
          </cell>
          <cell r="B844" t="str">
            <v>IPRM</v>
          </cell>
          <cell r="C844" t="str">
            <v>NM</v>
          </cell>
          <cell r="D844" t="str">
            <v>Int. Alc. V1216</v>
          </cell>
          <cell r="BB844">
            <v>149.5</v>
          </cell>
          <cell r="BK844">
            <v>198.76442857142857</v>
          </cell>
        </row>
        <row r="845">
          <cell r="A845">
            <v>200</v>
          </cell>
          <cell r="B845" t="str">
            <v>IPRM</v>
          </cell>
          <cell r="C845" t="str">
            <v>NM</v>
          </cell>
          <cell r="D845" t="str">
            <v>Int. Alc. V1618</v>
          </cell>
          <cell r="AJ845">
            <v>890.81594999999982</v>
          </cell>
          <cell r="BB845">
            <v>443.1</v>
          </cell>
          <cell r="BK845">
            <v>253.82784000000001</v>
          </cell>
        </row>
        <row r="846">
          <cell r="A846">
            <v>259</v>
          </cell>
          <cell r="B846" t="str">
            <v>IPRM</v>
          </cell>
          <cell r="C846" t="str">
            <v>NM</v>
          </cell>
          <cell r="D846" t="str">
            <v>Int. Alc. V1822</v>
          </cell>
        </row>
        <row r="847">
          <cell r="A847">
            <v>201</v>
          </cell>
          <cell r="B847" t="str">
            <v>IPRM</v>
          </cell>
          <cell r="C847" t="str">
            <v>NM</v>
          </cell>
          <cell r="D847" t="str">
            <v>Wax ester 1214/1618</v>
          </cell>
          <cell r="I847">
            <v>105</v>
          </cell>
          <cell r="R847">
            <v>105</v>
          </cell>
          <cell r="AA847">
            <v>105</v>
          </cell>
          <cell r="AJ847">
            <v>105</v>
          </cell>
          <cell r="AS847">
            <v>105</v>
          </cell>
          <cell r="BB847">
            <v>105</v>
          </cell>
          <cell r="BK847">
            <v>105</v>
          </cell>
          <cell r="BT847">
            <v>105</v>
          </cell>
          <cell r="CC847">
            <v>105</v>
          </cell>
          <cell r="CL847">
            <v>73.2</v>
          </cell>
          <cell r="CU847">
            <v>94.8</v>
          </cell>
          <cell r="DD847">
            <v>94.8</v>
          </cell>
          <cell r="DM847">
            <v>94.8</v>
          </cell>
          <cell r="DV847">
            <v>94.8</v>
          </cell>
          <cell r="EE847">
            <v>94.8</v>
          </cell>
          <cell r="EN847">
            <v>23.8</v>
          </cell>
        </row>
        <row r="848">
          <cell r="A848">
            <v>202</v>
          </cell>
          <cell r="B848" t="str">
            <v>IPRM</v>
          </cell>
          <cell r="C848" t="str">
            <v>NM</v>
          </cell>
          <cell r="D848" t="str">
            <v>Wax ester 1216/1218</v>
          </cell>
        </row>
        <row r="849">
          <cell r="A849">
            <v>203</v>
          </cell>
          <cell r="B849" t="str">
            <v>IPRM</v>
          </cell>
          <cell r="C849" t="str">
            <v>SM</v>
          </cell>
          <cell r="D849" t="str">
            <v>ALCOHOL Residue 1618</v>
          </cell>
        </row>
        <row r="850">
          <cell r="A850">
            <v>204</v>
          </cell>
          <cell r="B850" t="str">
            <v>IPRM</v>
          </cell>
          <cell r="C850" t="str">
            <v>SM</v>
          </cell>
          <cell r="D850" t="str">
            <v>ALCOHOL Residue 1822</v>
          </cell>
        </row>
        <row r="851">
          <cell r="A851">
            <v>205</v>
          </cell>
          <cell r="B851" t="str">
            <v>IPRM</v>
          </cell>
          <cell r="C851" t="str">
            <v>SM</v>
          </cell>
          <cell r="D851" t="str">
            <v>ALCOHOL Residue 2022</v>
          </cell>
          <cell r="AJ851">
            <v>51.026100000000007</v>
          </cell>
          <cell r="AS851">
            <v>52</v>
          </cell>
          <cell r="BB851">
            <v>50.8</v>
          </cell>
          <cell r="BK851">
            <v>50.228200000000001</v>
          </cell>
          <cell r="BT851">
            <v>50</v>
          </cell>
          <cell r="CC851">
            <v>50</v>
          </cell>
          <cell r="CL851">
            <v>50</v>
          </cell>
          <cell r="CU851">
            <v>50</v>
          </cell>
          <cell r="DD851">
            <v>50</v>
          </cell>
          <cell r="DM851">
            <v>50</v>
          </cell>
          <cell r="DV851">
            <v>50</v>
          </cell>
          <cell r="EE851">
            <v>51</v>
          </cell>
          <cell r="EN851">
            <v>51</v>
          </cell>
        </row>
        <row r="852">
          <cell r="A852">
            <v>206</v>
          </cell>
          <cell r="B852" t="str">
            <v>IPRM</v>
          </cell>
          <cell r="C852" t="str">
            <v>SM</v>
          </cell>
          <cell r="D852" t="str">
            <v>ALCOHOL B/P&gt;C18</v>
          </cell>
          <cell r="I852">
            <v>193.8</v>
          </cell>
          <cell r="R852">
            <v>193.8</v>
          </cell>
          <cell r="AA852">
            <v>193.8</v>
          </cell>
          <cell r="AJ852">
            <v>193.76112857142854</v>
          </cell>
          <cell r="AS852">
            <v>193.8</v>
          </cell>
          <cell r="BB852">
            <v>193.8</v>
          </cell>
          <cell r="BK852">
            <v>193.76112857142854</v>
          </cell>
          <cell r="BT852">
            <v>512.79999999999995</v>
          </cell>
          <cell r="CC852">
            <v>526.70000000000005</v>
          </cell>
          <cell r="CL852">
            <v>511.8</v>
          </cell>
          <cell r="CU852">
            <v>511.8</v>
          </cell>
          <cell r="DD852">
            <v>511.8</v>
          </cell>
          <cell r="DM852">
            <v>511.8</v>
          </cell>
          <cell r="DV852">
            <v>514.20000000000005</v>
          </cell>
          <cell r="EE852">
            <v>569</v>
          </cell>
          <cell r="EN852">
            <v>607</v>
          </cell>
        </row>
        <row r="853">
          <cell r="A853">
            <v>207</v>
          </cell>
          <cell r="B853" t="str">
            <v>IPRM</v>
          </cell>
          <cell r="C853" t="str">
            <v>SM</v>
          </cell>
          <cell r="D853" t="str">
            <v>Crude Alc. 1216</v>
          </cell>
          <cell r="AJ853">
            <v>871.9</v>
          </cell>
          <cell r="BB853">
            <v>2314.29</v>
          </cell>
          <cell r="BK853">
            <v>575.62400000000002</v>
          </cell>
        </row>
        <row r="854">
          <cell r="F854">
            <v>0</v>
          </cell>
          <cell r="G854">
            <v>0</v>
          </cell>
          <cell r="H854">
            <v>0</v>
          </cell>
          <cell r="I854">
            <v>3557.6600000000003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3707.0600000000004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3604.04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3767.9868928571427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3774.27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3788.09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2130.0609542857146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2056.5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1887.4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1852.2</v>
          </cell>
          <cell r="CM854">
            <v>0</v>
          </cell>
          <cell r="CN854">
            <v>0</v>
          </cell>
          <cell r="CO854">
            <v>0</v>
          </cell>
          <cell r="CP854">
            <v>0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1887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0</v>
          </cell>
          <cell r="DA854">
            <v>0</v>
          </cell>
          <cell r="DB854">
            <v>0</v>
          </cell>
          <cell r="DC854">
            <v>0</v>
          </cell>
          <cell r="DD854">
            <v>1884.3</v>
          </cell>
          <cell r="DE854">
            <v>0</v>
          </cell>
          <cell r="DF854">
            <v>0</v>
          </cell>
          <cell r="DG854">
            <v>0</v>
          </cell>
          <cell r="DH854">
            <v>0</v>
          </cell>
          <cell r="DI854">
            <v>0</v>
          </cell>
          <cell r="DJ854">
            <v>0</v>
          </cell>
          <cell r="DK854">
            <v>0</v>
          </cell>
          <cell r="DL854">
            <v>0</v>
          </cell>
          <cell r="DM854">
            <v>1890</v>
          </cell>
          <cell r="DN854">
            <v>0</v>
          </cell>
          <cell r="DO854">
            <v>0</v>
          </cell>
          <cell r="DP854">
            <v>0</v>
          </cell>
          <cell r="DQ854">
            <v>0</v>
          </cell>
          <cell r="DR854">
            <v>0</v>
          </cell>
          <cell r="DS854">
            <v>0</v>
          </cell>
          <cell r="DT854">
            <v>0</v>
          </cell>
          <cell r="DU854">
            <v>0</v>
          </cell>
          <cell r="DV854">
            <v>1891.9</v>
          </cell>
          <cell r="DW854">
            <v>0</v>
          </cell>
          <cell r="DX854">
            <v>0</v>
          </cell>
          <cell r="DY854">
            <v>0</v>
          </cell>
          <cell r="DZ854">
            <v>0</v>
          </cell>
          <cell r="EA854">
            <v>0</v>
          </cell>
          <cell r="EB854">
            <v>0</v>
          </cell>
          <cell r="EC854">
            <v>0</v>
          </cell>
          <cell r="ED854">
            <v>0</v>
          </cell>
          <cell r="EE854">
            <v>2003.7</v>
          </cell>
          <cell r="EF854">
            <v>0</v>
          </cell>
          <cell r="EG854">
            <v>0</v>
          </cell>
          <cell r="EH854">
            <v>0</v>
          </cell>
          <cell r="EI854">
            <v>0</v>
          </cell>
          <cell r="EJ854">
            <v>0</v>
          </cell>
          <cell r="EK854">
            <v>0</v>
          </cell>
          <cell r="EL854">
            <v>0</v>
          </cell>
          <cell r="EM854">
            <v>0</v>
          </cell>
          <cell r="EN854">
            <v>1982.3</v>
          </cell>
          <cell r="EO854">
            <v>0</v>
          </cell>
          <cell r="EP854">
            <v>0</v>
          </cell>
          <cell r="EQ854">
            <v>0</v>
          </cell>
          <cell r="ER854">
            <v>5.39</v>
          </cell>
          <cell r="ES854">
            <v>0</v>
          </cell>
        </row>
        <row r="855">
          <cell r="A855" t="str">
            <v>SOAP NOODLES</v>
          </cell>
        </row>
        <row r="856">
          <cell r="A856">
            <v>208</v>
          </cell>
          <cell r="B856" t="str">
            <v>FG</v>
          </cell>
          <cell r="C856" t="str">
            <v>FM</v>
          </cell>
          <cell r="D856" t="str">
            <v>DETTOL</v>
          </cell>
          <cell r="E856" t="str">
            <v>AL</v>
          </cell>
          <cell r="I856">
            <v>209.6</v>
          </cell>
          <cell r="J856">
            <v>1.7250000000000001</v>
          </cell>
          <cell r="N856">
            <v>52.15</v>
          </cell>
          <cell r="R856">
            <v>161.6</v>
          </cell>
          <cell r="S856">
            <v>1.7250000000000001</v>
          </cell>
          <cell r="W856">
            <v>52.15</v>
          </cell>
          <cell r="AA856">
            <v>146.6</v>
          </cell>
          <cell r="AB856">
            <v>1.7250000000000001</v>
          </cell>
          <cell r="AF856">
            <v>52.15</v>
          </cell>
          <cell r="AJ856">
            <v>59</v>
          </cell>
          <cell r="AK856">
            <v>1.7250000000000001</v>
          </cell>
          <cell r="AO856">
            <v>97.75</v>
          </cell>
          <cell r="AS856">
            <v>114</v>
          </cell>
          <cell r="AT856">
            <v>1.7250000000000001</v>
          </cell>
          <cell r="AX856">
            <v>97.75</v>
          </cell>
          <cell r="BB856">
            <v>83</v>
          </cell>
          <cell r="BC856">
            <v>1.7250000000000001</v>
          </cell>
          <cell r="BG856">
            <v>97.75</v>
          </cell>
          <cell r="BK856">
            <v>19</v>
          </cell>
          <cell r="BL856">
            <v>1.7250000000000001</v>
          </cell>
          <cell r="BO856">
            <v>52.4</v>
          </cell>
          <cell r="BP856">
            <v>145.6</v>
          </cell>
          <cell r="BT856">
            <v>46</v>
          </cell>
          <cell r="BU856">
            <v>1.7250000000000001</v>
          </cell>
          <cell r="BY856">
            <v>55.38</v>
          </cell>
          <cell r="CC856">
            <v>59</v>
          </cell>
          <cell r="CD856">
            <v>1.7250000000000001</v>
          </cell>
          <cell r="CH856">
            <v>35.880000000000003</v>
          </cell>
          <cell r="CL856">
            <v>2.6</v>
          </cell>
          <cell r="CM856">
            <v>1.7250000000000001</v>
          </cell>
          <cell r="CP856">
            <v>16.8</v>
          </cell>
          <cell r="CQ856">
            <v>131.88</v>
          </cell>
          <cell r="CU856">
            <v>34.6</v>
          </cell>
          <cell r="CV856">
            <v>1.7250000000000001</v>
          </cell>
          <cell r="CZ856">
            <v>116.05</v>
          </cell>
          <cell r="DD856">
            <v>142.6</v>
          </cell>
          <cell r="DI856">
            <v>103.3</v>
          </cell>
          <cell r="DM856">
            <v>129.6</v>
          </cell>
          <cell r="DN856">
            <v>1.7250000000000001</v>
          </cell>
          <cell r="DR856">
            <v>103.3</v>
          </cell>
          <cell r="DV856">
            <v>42.75</v>
          </cell>
          <cell r="DW856">
            <v>1.7250000000000001</v>
          </cell>
          <cell r="EA856">
            <v>103.3</v>
          </cell>
          <cell r="EE856">
            <v>42.75</v>
          </cell>
          <cell r="EF856">
            <v>1.7250000000000001</v>
          </cell>
          <cell r="EJ856">
            <v>103.3</v>
          </cell>
          <cell r="EN856">
            <v>69.25</v>
          </cell>
          <cell r="EO856">
            <v>1.7250000000000001</v>
          </cell>
          <cell r="ES856">
            <v>103.3</v>
          </cell>
        </row>
        <row r="857">
          <cell r="A857">
            <v>209</v>
          </cell>
          <cell r="B857" t="str">
            <v>FG</v>
          </cell>
          <cell r="C857" t="str">
            <v>FM</v>
          </cell>
          <cell r="D857" t="str">
            <v>DETTOL SKINCARE</v>
          </cell>
          <cell r="I857">
            <v>120.5</v>
          </cell>
          <cell r="N857">
            <v>7.5</v>
          </cell>
          <cell r="R857">
            <v>120.5</v>
          </cell>
          <cell r="W857">
            <v>7.5</v>
          </cell>
          <cell r="AA857">
            <v>120.5</v>
          </cell>
          <cell r="AF857">
            <v>7.5</v>
          </cell>
          <cell r="AJ857">
            <v>245.5</v>
          </cell>
          <cell r="AO857">
            <v>7.5</v>
          </cell>
          <cell r="AS857">
            <v>135.5</v>
          </cell>
          <cell r="AX857">
            <v>7.5</v>
          </cell>
          <cell r="BB857">
            <v>205.5</v>
          </cell>
          <cell r="BG857">
            <v>7.5</v>
          </cell>
          <cell r="BK857">
            <v>255.5</v>
          </cell>
          <cell r="BP857">
            <v>7.5</v>
          </cell>
          <cell r="BT857">
            <v>267.5</v>
          </cell>
          <cell r="CC857">
            <v>267.5</v>
          </cell>
          <cell r="CH857">
            <v>7.5</v>
          </cell>
          <cell r="CL857">
            <v>252</v>
          </cell>
          <cell r="CQ857">
            <v>7.5</v>
          </cell>
          <cell r="CU857">
            <v>232</v>
          </cell>
          <cell r="CZ857">
            <v>7.5</v>
          </cell>
          <cell r="DD857">
            <v>232</v>
          </cell>
          <cell r="DI857">
            <v>7.5</v>
          </cell>
          <cell r="DM857">
            <v>164.2</v>
          </cell>
          <cell r="DR857">
            <v>7.5</v>
          </cell>
          <cell r="DV857">
            <v>164.2</v>
          </cell>
          <cell r="EA857">
            <v>7.5</v>
          </cell>
          <cell r="EE857">
            <v>144.19999999999999</v>
          </cell>
          <cell r="EJ857">
            <v>7.5</v>
          </cell>
          <cell r="EN857">
            <v>119.8</v>
          </cell>
          <cell r="ES857">
            <v>7.5</v>
          </cell>
        </row>
        <row r="858">
          <cell r="A858">
            <v>210</v>
          </cell>
          <cell r="B858" t="str">
            <v>FG</v>
          </cell>
          <cell r="C858" t="str">
            <v>FM</v>
          </cell>
          <cell r="D858" t="str">
            <v>JBMS 40:60</v>
          </cell>
          <cell r="E858" t="str">
            <v>W</v>
          </cell>
          <cell r="I858">
            <v>91.4</v>
          </cell>
          <cell r="J858">
            <v>4</v>
          </cell>
          <cell r="M858">
            <v>300.8</v>
          </cell>
          <cell r="N858">
            <v>106.5</v>
          </cell>
          <cell r="R858">
            <v>13.4</v>
          </cell>
          <cell r="S858">
            <v>4</v>
          </cell>
          <cell r="V858">
            <v>264.39999999999998</v>
          </cell>
          <cell r="W858">
            <v>165.3</v>
          </cell>
          <cell r="AA858">
            <v>0</v>
          </cell>
          <cell r="AB858">
            <v>4</v>
          </cell>
          <cell r="AE858">
            <v>66</v>
          </cell>
          <cell r="AF858">
            <v>271.7</v>
          </cell>
          <cell r="AJ858">
            <v>15.8</v>
          </cell>
          <cell r="AK858">
            <v>50.53</v>
          </cell>
          <cell r="AN858">
            <v>457.6</v>
          </cell>
          <cell r="AO858">
            <v>107.3</v>
          </cell>
          <cell r="AS858">
            <v>0</v>
          </cell>
          <cell r="AT858">
            <v>14.53</v>
          </cell>
          <cell r="AX858">
            <v>345.7</v>
          </cell>
          <cell r="BB858">
            <v>0</v>
          </cell>
          <cell r="BC858">
            <v>14.53</v>
          </cell>
          <cell r="BG858">
            <v>188.9</v>
          </cell>
          <cell r="BK858">
            <v>40</v>
          </cell>
          <cell r="BL858">
            <v>14.53</v>
          </cell>
          <cell r="BO858">
            <v>314</v>
          </cell>
          <cell r="BP858">
            <v>21.7</v>
          </cell>
          <cell r="BT858">
            <v>171.6</v>
          </cell>
          <cell r="BU858">
            <v>14.53</v>
          </cell>
          <cell r="BX858">
            <v>66.400000000000006</v>
          </cell>
          <cell r="BY858">
            <v>279.3</v>
          </cell>
          <cell r="CC858">
            <v>58.4</v>
          </cell>
          <cell r="CD858">
            <v>30.53</v>
          </cell>
          <cell r="CG858">
            <v>114</v>
          </cell>
          <cell r="CH858">
            <v>228.1</v>
          </cell>
          <cell r="CL858">
            <v>0</v>
          </cell>
          <cell r="CM858">
            <v>34.93</v>
          </cell>
          <cell r="CP858">
            <v>144</v>
          </cell>
          <cell r="CQ858">
            <v>192.9</v>
          </cell>
          <cell r="CU858">
            <v>17.600000000000001</v>
          </cell>
          <cell r="CV858">
            <v>8.93</v>
          </cell>
          <cell r="CY858">
            <v>154</v>
          </cell>
          <cell r="CZ858">
            <v>262.89999999999998</v>
          </cell>
          <cell r="DD858">
            <v>14.8</v>
          </cell>
          <cell r="DH858">
            <v>18.8</v>
          </cell>
          <cell r="DI858">
            <v>307.3</v>
          </cell>
          <cell r="DM858">
            <v>5.2</v>
          </cell>
          <cell r="DQ858">
            <v>218.4</v>
          </cell>
          <cell r="DR858">
            <v>122.9</v>
          </cell>
          <cell r="DV858">
            <v>0</v>
          </cell>
          <cell r="DZ858">
            <v>58</v>
          </cell>
          <cell r="EA858">
            <v>269.3</v>
          </cell>
          <cell r="EE858">
            <v>207.4</v>
          </cell>
          <cell r="EI858">
            <v>292</v>
          </cell>
          <cell r="EJ858">
            <v>172.1</v>
          </cell>
          <cell r="EN858">
            <v>6</v>
          </cell>
          <cell r="ER858">
            <v>448</v>
          </cell>
          <cell r="ES858">
            <v>396.1</v>
          </cell>
        </row>
        <row r="859">
          <cell r="A859">
            <v>211</v>
          </cell>
          <cell r="B859" t="str">
            <v>FG</v>
          </cell>
          <cell r="C859" t="str">
            <v>FM</v>
          </cell>
          <cell r="D859" t="str">
            <v>JNC 99</v>
          </cell>
          <cell r="E859">
            <v>99</v>
          </cell>
          <cell r="I859">
            <v>0</v>
          </cell>
          <cell r="J859">
            <v>13.711999999999993</v>
          </cell>
          <cell r="M859">
            <v>26</v>
          </cell>
          <cell r="N859">
            <v>160.05000000000001</v>
          </cell>
          <cell r="R859">
            <v>0</v>
          </cell>
          <cell r="S859">
            <v>13.711999999999993</v>
          </cell>
          <cell r="V859">
            <v>26</v>
          </cell>
          <cell r="W859">
            <v>160.05000000000001</v>
          </cell>
          <cell r="AA859">
            <v>0</v>
          </cell>
          <cell r="AB859">
            <v>13.711999999999993</v>
          </cell>
          <cell r="AF859">
            <v>199.85000000000002</v>
          </cell>
          <cell r="AJ859">
            <v>0</v>
          </cell>
          <cell r="AK859">
            <v>13.711999999999993</v>
          </cell>
          <cell r="AO859">
            <v>199.85000000000002</v>
          </cell>
          <cell r="AS859">
            <v>0</v>
          </cell>
          <cell r="AT859">
            <v>13.711999999999993</v>
          </cell>
          <cell r="AX859">
            <v>188.65</v>
          </cell>
          <cell r="BB859">
            <v>72.2</v>
          </cell>
          <cell r="BC859">
            <v>13.711999999999993</v>
          </cell>
          <cell r="BG859">
            <v>136.6</v>
          </cell>
          <cell r="BK859">
            <v>30.6</v>
          </cell>
          <cell r="BL859">
            <v>29.711999999999993</v>
          </cell>
          <cell r="BP859">
            <v>122.2</v>
          </cell>
          <cell r="BT859">
            <v>17</v>
          </cell>
          <cell r="BU859">
            <v>37.711999999999989</v>
          </cell>
          <cell r="BY859">
            <v>122.2</v>
          </cell>
          <cell r="CC859">
            <v>22.4</v>
          </cell>
          <cell r="CD859">
            <v>6.0119999999999854</v>
          </cell>
          <cell r="CG859">
            <v>41.6</v>
          </cell>
          <cell r="CH859">
            <v>122.2</v>
          </cell>
          <cell r="CL859">
            <v>17.600000000000001</v>
          </cell>
          <cell r="CM859">
            <v>6.0119999999999854</v>
          </cell>
          <cell r="CQ859">
            <v>161.80000000000001</v>
          </cell>
          <cell r="CU859">
            <v>17.600000000000001</v>
          </cell>
          <cell r="CV859">
            <v>6.0119999999999854</v>
          </cell>
          <cell r="CY859">
            <v>2.4</v>
          </cell>
          <cell r="CZ859">
            <v>133.4</v>
          </cell>
          <cell r="DD859">
            <v>17.600000000000001</v>
          </cell>
          <cell r="DI859">
            <v>122</v>
          </cell>
          <cell r="DM859">
            <v>42.6</v>
          </cell>
          <cell r="DN859">
            <v>6.0119999999999854</v>
          </cell>
          <cell r="DQ859">
            <v>6.4</v>
          </cell>
          <cell r="DR859">
            <v>138.4</v>
          </cell>
          <cell r="DV859">
            <v>24.4</v>
          </cell>
          <cell r="DW859">
            <v>6.0119999999999854</v>
          </cell>
          <cell r="DZ859">
            <v>80</v>
          </cell>
          <cell r="EA859">
            <v>162</v>
          </cell>
          <cell r="EE859">
            <v>8.4</v>
          </cell>
          <cell r="EF859">
            <v>6.0119999999999854</v>
          </cell>
          <cell r="EJ859">
            <v>183.56</v>
          </cell>
          <cell r="EN859">
            <v>0</v>
          </cell>
          <cell r="EO859">
            <v>6.0119999999999854</v>
          </cell>
          <cell r="ES859">
            <v>167.81</v>
          </cell>
        </row>
        <row r="860">
          <cell r="A860">
            <v>212</v>
          </cell>
          <cell r="B860" t="str">
            <v>FG</v>
          </cell>
          <cell r="C860" t="str">
            <v>FM</v>
          </cell>
          <cell r="D860" t="str">
            <v>JO TF 70%</v>
          </cell>
          <cell r="E860" t="str">
            <v>TF</v>
          </cell>
          <cell r="I860">
            <v>0</v>
          </cell>
          <cell r="J860">
            <v>122.289</v>
          </cell>
          <cell r="M860">
            <v>111.3</v>
          </cell>
          <cell r="N860">
            <v>61.1</v>
          </cell>
          <cell r="R860">
            <v>127</v>
          </cell>
          <cell r="S860">
            <v>111.089</v>
          </cell>
          <cell r="V860">
            <v>159</v>
          </cell>
          <cell r="W860">
            <v>37.1</v>
          </cell>
          <cell r="AA860">
            <v>0</v>
          </cell>
          <cell r="AB860">
            <v>337.589</v>
          </cell>
          <cell r="AE860">
            <v>228.4</v>
          </cell>
          <cell r="AF860">
            <v>33.4</v>
          </cell>
          <cell r="AJ860">
            <v>0</v>
          </cell>
          <cell r="AK860">
            <v>298.03899999999999</v>
          </cell>
          <cell r="AN860">
            <v>113.7</v>
          </cell>
          <cell r="AO860">
            <v>104.02000000000001</v>
          </cell>
          <cell r="AS860">
            <v>0</v>
          </cell>
          <cell r="AT860">
            <v>153.13900000000001</v>
          </cell>
          <cell r="AW860">
            <v>15.9</v>
          </cell>
          <cell r="AX860">
            <v>30.38</v>
          </cell>
          <cell r="BB860">
            <v>6.9999999999999929</v>
          </cell>
          <cell r="BC860">
            <v>206.239</v>
          </cell>
          <cell r="BF860">
            <v>304.5</v>
          </cell>
          <cell r="BG860">
            <v>39.18</v>
          </cell>
          <cell r="BK860">
            <v>6.9999999999999929</v>
          </cell>
          <cell r="BL860">
            <v>537.41399999999999</v>
          </cell>
          <cell r="BO860">
            <v>80.7</v>
          </cell>
          <cell r="BP860">
            <v>342.81</v>
          </cell>
          <cell r="BT860">
            <v>0</v>
          </cell>
          <cell r="BU860">
            <v>334.26399999999995</v>
          </cell>
          <cell r="BY860">
            <v>324.23</v>
          </cell>
          <cell r="CC860">
            <v>0</v>
          </cell>
          <cell r="CD860">
            <v>335.964</v>
          </cell>
          <cell r="CH860">
            <v>229.82999999999998</v>
          </cell>
          <cell r="CL860">
            <v>0</v>
          </cell>
          <cell r="CM860">
            <v>263.51400000000001</v>
          </cell>
          <cell r="CQ860">
            <v>136</v>
          </cell>
          <cell r="CU860">
            <v>137.19999999999999</v>
          </cell>
          <cell r="CV860">
            <v>154.714</v>
          </cell>
          <cell r="CY860">
            <v>162.80000000000001</v>
          </cell>
          <cell r="CZ860">
            <v>109.83</v>
          </cell>
          <cell r="DD860">
            <v>71.2</v>
          </cell>
          <cell r="DH860">
            <v>191.2</v>
          </cell>
          <cell r="DI860">
            <v>134.22999999999999</v>
          </cell>
          <cell r="DM860">
            <v>56</v>
          </cell>
          <cell r="DN860">
            <v>250.38899999999998</v>
          </cell>
          <cell r="DQ860">
            <v>81.2</v>
          </cell>
          <cell r="DR860">
            <v>144.63</v>
          </cell>
          <cell r="DV860">
            <v>0</v>
          </cell>
          <cell r="DW860">
            <v>393.91399999999999</v>
          </cell>
          <cell r="DZ860">
            <v>138.4</v>
          </cell>
          <cell r="EA860">
            <v>160.22999999999999</v>
          </cell>
          <cell r="EE860">
            <v>0</v>
          </cell>
          <cell r="EF860">
            <v>448.66399999999999</v>
          </cell>
          <cell r="EJ860">
            <v>193.82999999999998</v>
          </cell>
          <cell r="EN860">
            <v>0</v>
          </cell>
          <cell r="EO860">
            <v>51.363999999999997</v>
          </cell>
          <cell r="ER860">
            <v>96.6</v>
          </cell>
          <cell r="ES860">
            <v>79.37</v>
          </cell>
        </row>
        <row r="861">
          <cell r="A861">
            <v>213</v>
          </cell>
          <cell r="B861" t="str">
            <v>FG</v>
          </cell>
          <cell r="C861" t="str">
            <v>FM</v>
          </cell>
          <cell r="D861" t="str">
            <v>DR TF 70%</v>
          </cell>
          <cell r="E861" t="str">
            <v>TF D</v>
          </cell>
          <cell r="I861">
            <v>11.6</v>
          </cell>
          <cell r="J861">
            <v>264.7</v>
          </cell>
          <cell r="N861">
            <v>255.8</v>
          </cell>
          <cell r="R861">
            <v>11.6</v>
          </cell>
          <cell r="S861">
            <v>253.9</v>
          </cell>
          <cell r="W861">
            <v>255.8</v>
          </cell>
          <cell r="AA861">
            <v>5.4000000000000057</v>
          </cell>
          <cell r="AE861">
            <v>273.10000000000002</v>
          </cell>
          <cell r="AF861">
            <v>186.6</v>
          </cell>
          <cell r="AJ861">
            <v>1.4000000000000057</v>
          </cell>
          <cell r="AO861">
            <v>351.8</v>
          </cell>
          <cell r="AS861">
            <v>0</v>
          </cell>
          <cell r="AX861">
            <v>272.2</v>
          </cell>
          <cell r="BB861">
            <v>0</v>
          </cell>
          <cell r="BF861">
            <v>98.4</v>
          </cell>
          <cell r="BG861">
            <v>97</v>
          </cell>
          <cell r="BK861">
            <v>1.6</v>
          </cell>
          <cell r="BT861">
            <v>24.4</v>
          </cell>
          <cell r="BX861">
            <v>375.2</v>
          </cell>
          <cell r="BY861">
            <v>98.2</v>
          </cell>
          <cell r="CC861">
            <v>98.8</v>
          </cell>
          <cell r="CG861">
            <v>182.4</v>
          </cell>
          <cell r="CH861">
            <v>263.8</v>
          </cell>
          <cell r="CL861">
            <v>0</v>
          </cell>
          <cell r="CP861">
            <v>17.600000000000001</v>
          </cell>
          <cell r="CQ861">
            <v>340.2</v>
          </cell>
          <cell r="CU861">
            <v>0</v>
          </cell>
          <cell r="CY861">
            <v>28</v>
          </cell>
          <cell r="CZ861">
            <v>233.8</v>
          </cell>
          <cell r="DD861">
            <v>22.6</v>
          </cell>
          <cell r="DH861">
            <v>146.4</v>
          </cell>
          <cell r="DI861">
            <v>96.6</v>
          </cell>
          <cell r="DM861">
            <v>0</v>
          </cell>
          <cell r="DQ861">
            <v>117.6</v>
          </cell>
          <cell r="DR861">
            <v>336.6</v>
          </cell>
          <cell r="DV861">
            <v>84.4</v>
          </cell>
          <cell r="EA861">
            <v>172.6</v>
          </cell>
          <cell r="EE861">
            <v>178.8</v>
          </cell>
          <cell r="EI861">
            <v>322</v>
          </cell>
          <cell r="EJ861">
            <v>100.6</v>
          </cell>
          <cell r="EN861">
            <v>0</v>
          </cell>
          <cell r="ER861">
            <v>196.8</v>
          </cell>
          <cell r="ES861">
            <v>429</v>
          </cell>
        </row>
        <row r="862">
          <cell r="A862">
            <v>214</v>
          </cell>
          <cell r="B862" t="str">
            <v>FG</v>
          </cell>
          <cell r="C862" t="str">
            <v>FM</v>
          </cell>
          <cell r="D862" t="str">
            <v>JO ALMOND W TF 70%</v>
          </cell>
          <cell r="E862" t="str">
            <v>VITAVON W TF</v>
          </cell>
          <cell r="I862">
            <v>144</v>
          </cell>
          <cell r="J862">
            <v>74.8</v>
          </cell>
          <cell r="M862">
            <v>65.2</v>
          </cell>
          <cell r="N862">
            <v>241.6</v>
          </cell>
          <cell r="R862">
            <v>0</v>
          </cell>
          <cell r="S862">
            <v>64.400000000000006</v>
          </cell>
          <cell r="V862">
            <v>306.39999999999998</v>
          </cell>
          <cell r="W862">
            <v>95.4</v>
          </cell>
          <cell r="AA862">
            <v>112.2</v>
          </cell>
          <cell r="AB862">
            <v>152.4</v>
          </cell>
          <cell r="AE862">
            <v>163.19999999999999</v>
          </cell>
          <cell r="AF862">
            <v>238.6</v>
          </cell>
          <cell r="AJ862">
            <v>51.4</v>
          </cell>
          <cell r="AK862">
            <v>153.6</v>
          </cell>
          <cell r="AN862">
            <v>81.599999999999994</v>
          </cell>
          <cell r="AO862">
            <v>152.4</v>
          </cell>
          <cell r="AS862">
            <v>346.6</v>
          </cell>
          <cell r="AT862">
            <v>190.8</v>
          </cell>
          <cell r="AW862">
            <v>279.2</v>
          </cell>
          <cell r="BB862">
            <v>33.4</v>
          </cell>
          <cell r="BC862">
            <v>156.80000000000001</v>
          </cell>
          <cell r="BF862">
            <v>182.8</v>
          </cell>
          <cell r="BG862">
            <v>363.2</v>
          </cell>
          <cell r="BK862">
            <v>5.2</v>
          </cell>
          <cell r="BL862">
            <v>8.4</v>
          </cell>
          <cell r="BO862">
            <v>40.799999999999947</v>
          </cell>
          <cell r="BP862">
            <v>532.79999999999995</v>
          </cell>
          <cell r="BT862">
            <v>0</v>
          </cell>
          <cell r="BY862">
            <v>573.6</v>
          </cell>
          <cell r="CC862">
            <v>0.19999999999999929</v>
          </cell>
          <cell r="CH862">
            <v>573.6</v>
          </cell>
          <cell r="CL862">
            <v>0</v>
          </cell>
          <cell r="CQ862">
            <v>522.23</v>
          </cell>
          <cell r="CU862">
            <v>0</v>
          </cell>
          <cell r="CY862">
            <v>5.2</v>
          </cell>
          <cell r="CZ862">
            <v>507.2</v>
          </cell>
          <cell r="DD862">
            <v>0</v>
          </cell>
          <cell r="DI862">
            <v>512.4</v>
          </cell>
          <cell r="DM862">
            <v>0</v>
          </cell>
          <cell r="DR862">
            <v>322</v>
          </cell>
          <cell r="DV862">
            <v>0</v>
          </cell>
          <cell r="EA862">
            <v>296.8</v>
          </cell>
          <cell r="EE862">
            <v>0</v>
          </cell>
          <cell r="EJ862">
            <v>239.6</v>
          </cell>
          <cell r="EN862">
            <v>0</v>
          </cell>
          <cell r="EO862">
            <v>389.22500000000002</v>
          </cell>
          <cell r="ES862">
            <v>211.2</v>
          </cell>
        </row>
        <row r="863">
          <cell r="A863">
            <v>215</v>
          </cell>
          <cell r="B863" t="str">
            <v>FG</v>
          </cell>
          <cell r="C863" t="str">
            <v>FM</v>
          </cell>
          <cell r="D863" t="str">
            <v>AMWAY</v>
          </cell>
          <cell r="I863">
            <v>27.8</v>
          </cell>
          <cell r="M863">
            <v>99.2</v>
          </cell>
          <cell r="N863">
            <v>40.200000000000003</v>
          </cell>
          <cell r="R863">
            <v>0</v>
          </cell>
          <cell r="V863">
            <v>120</v>
          </cell>
          <cell r="W863">
            <v>40.200000000000003</v>
          </cell>
          <cell r="AA863">
            <v>0</v>
          </cell>
          <cell r="AF863">
            <v>115</v>
          </cell>
          <cell r="AJ863">
            <v>0</v>
          </cell>
          <cell r="AO863">
            <v>92.6</v>
          </cell>
          <cell r="AS863">
            <v>0</v>
          </cell>
          <cell r="AX863">
            <v>47</v>
          </cell>
          <cell r="BB863">
            <v>57</v>
          </cell>
          <cell r="BG863">
            <v>14.2</v>
          </cell>
          <cell r="BK863">
            <v>7.6000000000000085</v>
          </cell>
          <cell r="BO863">
            <v>32.4</v>
          </cell>
          <cell r="BP863">
            <v>52.4</v>
          </cell>
          <cell r="BT863">
            <v>0</v>
          </cell>
          <cell r="BY863">
            <v>75</v>
          </cell>
          <cell r="CC863">
            <v>0</v>
          </cell>
          <cell r="CH863">
            <v>26.2</v>
          </cell>
          <cell r="CL863">
            <v>0.4</v>
          </cell>
          <cell r="CP863">
            <v>71.599999999999994</v>
          </cell>
          <cell r="CQ863">
            <v>41.4</v>
          </cell>
          <cell r="CU863">
            <v>0.4</v>
          </cell>
          <cell r="CY863">
            <v>15.2</v>
          </cell>
          <cell r="CZ863">
            <v>113</v>
          </cell>
          <cell r="DD863">
            <v>0.4</v>
          </cell>
          <cell r="DI863">
            <v>128.19999999999999</v>
          </cell>
          <cell r="DM863">
            <v>0</v>
          </cell>
          <cell r="DR863">
            <v>113.8</v>
          </cell>
          <cell r="DV863">
            <v>0</v>
          </cell>
          <cell r="EA863">
            <v>80.599999999999994</v>
          </cell>
          <cell r="EE863">
            <v>4.2</v>
          </cell>
          <cell r="EI863">
            <v>80.8</v>
          </cell>
          <cell r="EJ863">
            <v>80.599999999999994</v>
          </cell>
          <cell r="EN863">
            <v>0</v>
          </cell>
          <cell r="ES863">
            <v>132.19999999999999</v>
          </cell>
        </row>
        <row r="864">
          <cell r="A864">
            <v>216</v>
          </cell>
          <cell r="B864" t="str">
            <v>FG</v>
          </cell>
          <cell r="C864" t="str">
            <v>FM</v>
          </cell>
          <cell r="D864" t="str">
            <v>FA SAUDI</v>
          </cell>
          <cell r="I864">
            <v>16</v>
          </cell>
          <cell r="J864">
            <v>29.2</v>
          </cell>
          <cell r="R864">
            <v>16</v>
          </cell>
          <cell r="S864">
            <v>29.2</v>
          </cell>
          <cell r="AA864">
            <v>16</v>
          </cell>
          <cell r="AB864">
            <v>29.2</v>
          </cell>
          <cell r="AJ864">
            <v>16</v>
          </cell>
          <cell r="AK864">
            <v>29.2</v>
          </cell>
          <cell r="AS864">
            <v>16</v>
          </cell>
          <cell r="AT864">
            <v>29.2</v>
          </cell>
          <cell r="BB864">
            <v>16</v>
          </cell>
          <cell r="BC864">
            <v>29.2</v>
          </cell>
          <cell r="BK864">
            <v>16</v>
          </cell>
          <cell r="BL864">
            <v>29.2</v>
          </cell>
          <cell r="BT864">
            <v>16</v>
          </cell>
          <cell r="BU864">
            <v>29.2</v>
          </cell>
          <cell r="CC864">
            <v>16</v>
          </cell>
          <cell r="CD864">
            <v>29.2</v>
          </cell>
          <cell r="CL864">
            <v>16</v>
          </cell>
          <cell r="CM864">
            <v>29.2</v>
          </cell>
          <cell r="CU864">
            <v>16</v>
          </cell>
          <cell r="CV864">
            <v>29.2</v>
          </cell>
          <cell r="DD864">
            <v>16</v>
          </cell>
          <cell r="DM864">
            <v>16</v>
          </cell>
          <cell r="DN864">
            <v>29.2</v>
          </cell>
          <cell r="DV864">
            <v>16</v>
          </cell>
          <cell r="DW864">
            <v>29.2</v>
          </cell>
          <cell r="EE864">
            <v>16</v>
          </cell>
          <cell r="EF864">
            <v>29.2</v>
          </cell>
          <cell r="EN864">
            <v>210</v>
          </cell>
          <cell r="EO864">
            <v>29.2</v>
          </cell>
        </row>
        <row r="865">
          <cell r="A865">
            <v>217</v>
          </cell>
          <cell r="B865" t="str">
            <v>FG</v>
          </cell>
          <cell r="C865" t="str">
            <v>FM</v>
          </cell>
          <cell r="D865" t="str">
            <v>LE CHAT</v>
          </cell>
          <cell r="I865">
            <v>5</v>
          </cell>
          <cell r="R865">
            <v>5</v>
          </cell>
          <cell r="AA865">
            <v>5</v>
          </cell>
          <cell r="AJ865">
            <v>5</v>
          </cell>
          <cell r="AS865">
            <v>5</v>
          </cell>
          <cell r="BB865">
            <v>5</v>
          </cell>
          <cell r="BK865">
            <v>15</v>
          </cell>
          <cell r="BT865">
            <v>8</v>
          </cell>
          <cell r="CC865">
            <v>8</v>
          </cell>
          <cell r="CL865">
            <v>8</v>
          </cell>
          <cell r="CU865">
            <v>8</v>
          </cell>
          <cell r="DD865">
            <v>8</v>
          </cell>
          <cell r="DM865">
            <v>8</v>
          </cell>
          <cell r="DV865">
            <v>103</v>
          </cell>
          <cell r="EE865">
            <v>23</v>
          </cell>
          <cell r="EN865">
            <v>23</v>
          </cell>
        </row>
        <row r="866">
          <cell r="A866">
            <v>218</v>
          </cell>
          <cell r="B866" t="str">
            <v>FG</v>
          </cell>
          <cell r="C866" t="str">
            <v>FM</v>
          </cell>
          <cell r="D866" t="str">
            <v>SDM NOODLES</v>
          </cell>
          <cell r="I866">
            <v>10</v>
          </cell>
          <cell r="R866">
            <v>0</v>
          </cell>
          <cell r="AA866">
            <v>0</v>
          </cell>
          <cell r="AJ866">
            <v>0</v>
          </cell>
          <cell r="AS866">
            <v>0</v>
          </cell>
          <cell r="BB866">
            <v>0</v>
          </cell>
          <cell r="BK866">
            <v>26</v>
          </cell>
          <cell r="BT866">
            <v>26</v>
          </cell>
          <cell r="CC866">
            <v>26</v>
          </cell>
          <cell r="CL866">
            <v>26</v>
          </cell>
          <cell r="CU866">
            <v>26</v>
          </cell>
          <cell r="DD866">
            <v>26</v>
          </cell>
          <cell r="DM866">
            <v>26</v>
          </cell>
          <cell r="DV866">
            <v>26</v>
          </cell>
          <cell r="EE866">
            <v>26</v>
          </cell>
          <cell r="EN866">
            <v>26</v>
          </cell>
        </row>
        <row r="867">
          <cell r="A867">
            <v>219</v>
          </cell>
          <cell r="B867" t="str">
            <v>FG</v>
          </cell>
          <cell r="C867" t="str">
            <v>FM</v>
          </cell>
          <cell r="D867" t="str">
            <v>ITC</v>
          </cell>
          <cell r="I867">
            <v>5.6</v>
          </cell>
          <cell r="J867">
            <v>128.05000000000001</v>
          </cell>
          <cell r="R867">
            <v>5.6</v>
          </cell>
          <cell r="S867">
            <v>100.45</v>
          </cell>
          <cell r="AA867">
            <v>5.6</v>
          </cell>
          <cell r="AB867">
            <v>100.45</v>
          </cell>
          <cell r="AJ867">
            <v>5.6</v>
          </cell>
          <cell r="AK867">
            <v>151.25</v>
          </cell>
          <cell r="AS867">
            <v>0</v>
          </cell>
          <cell r="AT867">
            <v>134.05000000000001</v>
          </cell>
          <cell r="BB867">
            <v>0</v>
          </cell>
          <cell r="BC867">
            <v>169.25</v>
          </cell>
          <cell r="BK867">
            <v>0</v>
          </cell>
          <cell r="BL867">
            <v>82.05</v>
          </cell>
          <cell r="BT867">
            <v>78</v>
          </cell>
          <cell r="BU867">
            <v>214.4</v>
          </cell>
          <cell r="CC867">
            <v>0</v>
          </cell>
          <cell r="CD867">
            <v>391.6</v>
          </cell>
          <cell r="CL867">
            <v>0</v>
          </cell>
          <cell r="CM867">
            <v>340</v>
          </cell>
          <cell r="CU867">
            <v>0</v>
          </cell>
          <cell r="CV867">
            <v>296.8</v>
          </cell>
          <cell r="DD867">
            <v>0</v>
          </cell>
          <cell r="DM867">
            <v>0</v>
          </cell>
          <cell r="DN867">
            <v>388.6</v>
          </cell>
          <cell r="DV867">
            <v>0</v>
          </cell>
          <cell r="DW867">
            <v>370.2</v>
          </cell>
          <cell r="EE867">
            <v>0</v>
          </cell>
          <cell r="EF867">
            <v>284.89999999999998</v>
          </cell>
          <cell r="EN867">
            <v>0</v>
          </cell>
          <cell r="EO867">
            <v>169.3</v>
          </cell>
        </row>
        <row r="868">
          <cell r="A868">
            <v>220</v>
          </cell>
          <cell r="B868" t="str">
            <v>FG</v>
          </cell>
          <cell r="C868" t="str">
            <v>FM</v>
          </cell>
          <cell r="D868" t="str">
            <v>GENERAL NOODLES</v>
          </cell>
          <cell r="I868">
            <v>37.799999999999997</v>
          </cell>
          <cell r="R868">
            <v>45.8</v>
          </cell>
          <cell r="AA868">
            <v>28.8</v>
          </cell>
          <cell r="AJ868">
            <v>28.8</v>
          </cell>
          <cell r="AS868">
            <v>32.200000000000003</v>
          </cell>
          <cell r="BB868">
            <v>32.200000000000003</v>
          </cell>
          <cell r="BK868">
            <v>32.200000000000003</v>
          </cell>
          <cell r="BT868">
            <v>52</v>
          </cell>
          <cell r="CC868">
            <v>50</v>
          </cell>
          <cell r="CL868">
            <v>23.2</v>
          </cell>
          <cell r="CU868">
            <v>23.2</v>
          </cell>
          <cell r="DD868">
            <v>23.2</v>
          </cell>
          <cell r="DM868">
            <v>24.6</v>
          </cell>
          <cell r="DV868">
            <v>4.8</v>
          </cell>
          <cell r="EE868">
            <v>4.8</v>
          </cell>
          <cell r="EN868">
            <v>4.8</v>
          </cell>
        </row>
        <row r="869">
          <cell r="A869">
            <v>221</v>
          </cell>
          <cell r="B869" t="str">
            <v>FG</v>
          </cell>
          <cell r="C869" t="str">
            <v>FM</v>
          </cell>
          <cell r="D869" t="str">
            <v>NEAT SCRAP SOAP</v>
          </cell>
          <cell r="R869">
            <v>3</v>
          </cell>
          <cell r="AJ869">
            <v>16</v>
          </cell>
          <cell r="AS869">
            <v>16.5</v>
          </cell>
          <cell r="BB869">
            <v>17</v>
          </cell>
          <cell r="BK869">
            <v>18</v>
          </cell>
          <cell r="BT869">
            <v>20</v>
          </cell>
          <cell r="CC869">
            <v>24</v>
          </cell>
          <cell r="CL869">
            <v>30</v>
          </cell>
          <cell r="CU869">
            <v>30</v>
          </cell>
          <cell r="DD869">
            <v>30</v>
          </cell>
          <cell r="DM869">
            <v>32</v>
          </cell>
          <cell r="DV869">
            <v>32</v>
          </cell>
          <cell r="EE869">
            <v>33</v>
          </cell>
          <cell r="EN869">
            <v>33</v>
          </cell>
        </row>
        <row r="870">
          <cell r="A870">
            <v>222</v>
          </cell>
          <cell r="B870" t="str">
            <v>FG</v>
          </cell>
          <cell r="C870" t="str">
            <v>FM</v>
          </cell>
          <cell r="D870" t="str">
            <v>DAVID OPEC</v>
          </cell>
          <cell r="J870">
            <v>0.8</v>
          </cell>
          <cell r="S870">
            <v>0.8</v>
          </cell>
          <cell r="AB870">
            <v>0.8</v>
          </cell>
          <cell r="AK870">
            <v>0.8</v>
          </cell>
          <cell r="AT870">
            <v>0.8</v>
          </cell>
          <cell r="BC870">
            <v>0.8</v>
          </cell>
          <cell r="BL870">
            <v>0.8</v>
          </cell>
          <cell r="BU870">
            <v>0.8</v>
          </cell>
          <cell r="CD870">
            <v>0.8</v>
          </cell>
          <cell r="CM870">
            <v>0.8</v>
          </cell>
          <cell r="CV870">
            <v>0.8</v>
          </cell>
          <cell r="DN870">
            <v>0.8</v>
          </cell>
          <cell r="DW870">
            <v>0.8</v>
          </cell>
          <cell r="EF870">
            <v>0.8</v>
          </cell>
          <cell r="EO870">
            <v>0.8</v>
          </cell>
        </row>
        <row r="871">
          <cell r="A871">
            <v>223</v>
          </cell>
          <cell r="B871" t="str">
            <v>FG</v>
          </cell>
          <cell r="C871" t="str">
            <v>FM</v>
          </cell>
          <cell r="D871" t="str">
            <v>DABUR VATICA</v>
          </cell>
          <cell r="J871">
            <v>1.756</v>
          </cell>
          <cell r="S871">
            <v>1.756</v>
          </cell>
          <cell r="AB871">
            <v>1.756</v>
          </cell>
          <cell r="AK871">
            <v>1.756</v>
          </cell>
          <cell r="AT871">
            <v>1.756</v>
          </cell>
          <cell r="BC871">
            <v>1.756</v>
          </cell>
          <cell r="BL871">
            <v>1.756</v>
          </cell>
          <cell r="BU871">
            <v>1.756</v>
          </cell>
          <cell r="CD871">
            <v>1.756</v>
          </cell>
          <cell r="CM871">
            <v>1.756</v>
          </cell>
          <cell r="CV871">
            <v>1.756</v>
          </cell>
          <cell r="DN871">
            <v>1.756</v>
          </cell>
          <cell r="DW871">
            <v>1.756</v>
          </cell>
          <cell r="EF871">
            <v>1.756</v>
          </cell>
          <cell r="EO871">
            <v>1.756</v>
          </cell>
        </row>
        <row r="872">
          <cell r="A872">
            <v>224</v>
          </cell>
          <cell r="B872" t="str">
            <v>FG</v>
          </cell>
          <cell r="C872" t="str">
            <v>FM</v>
          </cell>
          <cell r="D872" t="str">
            <v>MARGO</v>
          </cell>
          <cell r="J872">
            <v>3.4009999999999998</v>
          </cell>
          <cell r="S872">
            <v>3.4009999999999998</v>
          </cell>
          <cell r="AB872">
            <v>3.4009999999999998</v>
          </cell>
          <cell r="AK872">
            <v>3.4009999999999998</v>
          </cell>
          <cell r="AT872">
            <v>3.4009999999999998</v>
          </cell>
          <cell r="BC872">
            <v>3.4009999999999998</v>
          </cell>
          <cell r="BL872">
            <v>3.4009999999999998</v>
          </cell>
          <cell r="BU872">
            <v>3.4009999999999998</v>
          </cell>
          <cell r="CD872">
            <v>3.4009999999999998</v>
          </cell>
          <cell r="CM872">
            <v>113.401</v>
          </cell>
          <cell r="CV872">
            <v>150.80099999999999</v>
          </cell>
          <cell r="DN872">
            <v>150.80099999999999</v>
          </cell>
          <cell r="DW872">
            <v>150.80100000000002</v>
          </cell>
          <cell r="EF872">
            <v>150.80100000000002</v>
          </cell>
          <cell r="EO872">
            <v>198.80099999999999</v>
          </cell>
        </row>
        <row r="873">
          <cell r="A873">
            <v>225</v>
          </cell>
          <cell r="B873" t="str">
            <v>FG</v>
          </cell>
          <cell r="C873" t="str">
            <v>FM</v>
          </cell>
          <cell r="D873" t="str">
            <v>OIL BASED NOODLES</v>
          </cell>
        </row>
        <row r="874">
          <cell r="A874">
            <v>226</v>
          </cell>
          <cell r="B874" t="str">
            <v>FG</v>
          </cell>
          <cell r="C874" t="str">
            <v>SM</v>
          </cell>
          <cell r="D874" t="str">
            <v>TRANSLUCENT</v>
          </cell>
          <cell r="J874">
            <v>140.06</v>
          </cell>
          <cell r="M874">
            <v>47.813000000000002</v>
          </cell>
          <cell r="N874">
            <v>224.73</v>
          </cell>
          <cell r="S874">
            <v>140.06</v>
          </cell>
          <cell r="V874">
            <v>15.938000000000002</v>
          </cell>
          <cell r="W874">
            <v>227</v>
          </cell>
          <cell r="AB874">
            <v>55.872999999999998</v>
          </cell>
          <cell r="AE874">
            <v>64.5</v>
          </cell>
          <cell r="AF874">
            <v>152.66999999999999</v>
          </cell>
          <cell r="AK874">
            <v>182.96100000000001</v>
          </cell>
          <cell r="AN874">
            <v>32.174999999999997</v>
          </cell>
          <cell r="AO874">
            <v>155.66</v>
          </cell>
          <cell r="AT874">
            <v>310.31099999999998</v>
          </cell>
          <cell r="AW874">
            <v>113.625</v>
          </cell>
          <cell r="AX874">
            <v>188.37</v>
          </cell>
          <cell r="BC874">
            <v>166.286</v>
          </cell>
          <cell r="BF874">
            <v>80.775000000000006</v>
          </cell>
          <cell r="BG874">
            <v>300.23</v>
          </cell>
          <cell r="BL874">
            <v>117.886</v>
          </cell>
          <cell r="BO874">
            <v>64.575000000000003</v>
          </cell>
          <cell r="BP874">
            <v>222.29</v>
          </cell>
          <cell r="BU874">
            <v>299.93599999999998</v>
          </cell>
          <cell r="BY874">
            <v>198.7</v>
          </cell>
          <cell r="CD874">
            <v>203.37299999999999</v>
          </cell>
          <cell r="CG874">
            <v>48.187999999999988</v>
          </cell>
          <cell r="CH874">
            <v>263.68</v>
          </cell>
          <cell r="CM874">
            <v>183.12299999999999</v>
          </cell>
          <cell r="CP874">
            <v>6.3</v>
          </cell>
          <cell r="CQ874">
            <v>258.98</v>
          </cell>
          <cell r="CV874">
            <v>183.12299999999999</v>
          </cell>
          <cell r="CY874">
            <v>6.3</v>
          </cell>
          <cell r="CZ874">
            <v>228.98</v>
          </cell>
          <cell r="DH874">
            <v>16.2</v>
          </cell>
          <cell r="DI874">
            <v>191.37</v>
          </cell>
          <cell r="DN874">
            <v>156.773</v>
          </cell>
          <cell r="DR874">
            <v>138.82</v>
          </cell>
          <cell r="DW874">
            <v>50.573</v>
          </cell>
          <cell r="DZ874">
            <v>162</v>
          </cell>
          <cell r="EA874">
            <v>169.6</v>
          </cell>
          <cell r="EF874">
            <v>35.423000000000002</v>
          </cell>
          <cell r="EI874">
            <v>13.8</v>
          </cell>
          <cell r="EJ874">
            <v>265.10000000000002</v>
          </cell>
          <cell r="EO874">
            <v>33.173000000000002</v>
          </cell>
          <cell r="ES874">
            <v>221.6</v>
          </cell>
        </row>
        <row r="875">
          <cell r="A875">
            <v>227</v>
          </cell>
          <cell r="B875" t="str">
            <v>FG</v>
          </cell>
          <cell r="C875" t="str">
            <v>SM</v>
          </cell>
          <cell r="D875" t="str">
            <v>TETMOSOL</v>
          </cell>
        </row>
        <row r="876">
          <cell r="A876">
            <v>228</v>
          </cell>
          <cell r="B876" t="str">
            <v>FG</v>
          </cell>
          <cell r="C876" t="str">
            <v>FM</v>
          </cell>
          <cell r="D876" t="str">
            <v xml:space="preserve">J &amp; J </v>
          </cell>
          <cell r="J876">
            <v>0.8</v>
          </cell>
          <cell r="S876">
            <v>0.8</v>
          </cell>
          <cell r="AB876">
            <v>0.8</v>
          </cell>
          <cell r="AK876">
            <v>0.8</v>
          </cell>
          <cell r="AT876">
            <v>0.8</v>
          </cell>
          <cell r="BC876">
            <v>0.8</v>
          </cell>
          <cell r="BL876">
            <v>0.8</v>
          </cell>
          <cell r="BU876">
            <v>0.8</v>
          </cell>
          <cell r="CD876">
            <v>0.8</v>
          </cell>
          <cell r="CM876">
            <v>0.8</v>
          </cell>
          <cell r="CV876">
            <v>0.8</v>
          </cell>
          <cell r="DN876">
            <v>0.8</v>
          </cell>
          <cell r="DW876">
            <v>0.8</v>
          </cell>
          <cell r="EF876">
            <v>0.8</v>
          </cell>
          <cell r="EO876">
            <v>0.8</v>
          </cell>
        </row>
        <row r="877">
          <cell r="A877">
            <v>229</v>
          </cell>
          <cell r="B877" t="str">
            <v>FG</v>
          </cell>
          <cell r="C877" t="str">
            <v>FM</v>
          </cell>
          <cell r="D877" t="str">
            <v>JBS 80:20</v>
          </cell>
          <cell r="EF877">
            <v>380</v>
          </cell>
        </row>
        <row r="878">
          <cell r="A878">
            <v>230</v>
          </cell>
          <cell r="B878" t="str">
            <v>FG</v>
          </cell>
          <cell r="C878" t="str">
            <v>FM</v>
          </cell>
          <cell r="D878" t="str">
            <v>IMPORTED NOODLES</v>
          </cell>
          <cell r="N878">
            <v>80</v>
          </cell>
          <cell r="W878">
            <v>80</v>
          </cell>
          <cell r="AF878">
            <v>80</v>
          </cell>
          <cell r="AO878">
            <v>80</v>
          </cell>
          <cell r="AW878">
            <v>800</v>
          </cell>
          <cell r="AX878">
            <v>80</v>
          </cell>
          <cell r="BF878">
            <v>300</v>
          </cell>
          <cell r="BG878">
            <v>80</v>
          </cell>
          <cell r="BO878">
            <v>800</v>
          </cell>
          <cell r="BP878">
            <v>52</v>
          </cell>
          <cell r="BX878">
            <v>800</v>
          </cell>
          <cell r="BY878">
            <v>52</v>
          </cell>
          <cell r="CG878">
            <v>800</v>
          </cell>
          <cell r="CH878">
            <v>52</v>
          </cell>
          <cell r="CP878">
            <v>500</v>
          </cell>
          <cell r="CQ878">
            <v>52</v>
          </cell>
          <cell r="CY878">
            <v>500</v>
          </cell>
          <cell r="CZ878">
            <v>52</v>
          </cell>
          <cell r="DH878">
            <v>500</v>
          </cell>
          <cell r="DI878">
            <v>52</v>
          </cell>
          <cell r="DN878">
            <v>120.52500000000001</v>
          </cell>
          <cell r="DR878">
            <v>52</v>
          </cell>
          <cell r="DW878">
            <v>254.125</v>
          </cell>
          <cell r="EA878">
            <v>52</v>
          </cell>
          <cell r="EJ878">
            <v>52</v>
          </cell>
          <cell r="EO878">
            <v>332.8</v>
          </cell>
          <cell r="ES878">
            <v>52</v>
          </cell>
        </row>
        <row r="879">
          <cell r="A879">
            <v>231</v>
          </cell>
          <cell r="B879" t="str">
            <v>FG</v>
          </cell>
          <cell r="C879" t="str">
            <v>FM</v>
          </cell>
          <cell r="D879" t="str">
            <v>HAWAI SYNDAATE BASE REGULER</v>
          </cell>
        </row>
        <row r="880">
          <cell r="F880">
            <v>0</v>
          </cell>
          <cell r="G880">
            <v>0</v>
          </cell>
          <cell r="H880">
            <v>0</v>
          </cell>
          <cell r="I880">
            <v>679.3</v>
          </cell>
          <cell r="J880">
            <v>785.29299999999989</v>
          </cell>
          <cell r="K880">
            <v>0</v>
          </cell>
          <cell r="L880">
            <v>0</v>
          </cell>
          <cell r="M880">
            <v>650.31299999999999</v>
          </cell>
          <cell r="N880">
            <v>1229.6300000000001</v>
          </cell>
          <cell r="O880">
            <v>0</v>
          </cell>
          <cell r="P880">
            <v>0</v>
          </cell>
          <cell r="Q880">
            <v>0</v>
          </cell>
          <cell r="R880">
            <v>509.50000000000006</v>
          </cell>
          <cell r="S880">
            <v>725.29299999999989</v>
          </cell>
          <cell r="T880">
            <v>0</v>
          </cell>
          <cell r="U880">
            <v>0</v>
          </cell>
          <cell r="V880">
            <v>891.73799999999994</v>
          </cell>
          <cell r="W880">
            <v>1120.5</v>
          </cell>
          <cell r="X880">
            <v>0</v>
          </cell>
          <cell r="Y880">
            <v>0</v>
          </cell>
          <cell r="Z880">
            <v>0</v>
          </cell>
          <cell r="AA880">
            <v>440.1</v>
          </cell>
          <cell r="AB880">
            <v>701.70600000000002</v>
          </cell>
          <cell r="AC880">
            <v>0</v>
          </cell>
          <cell r="AD880">
            <v>0</v>
          </cell>
          <cell r="AE880">
            <v>795.2</v>
          </cell>
          <cell r="AF880">
            <v>1337.4700000000003</v>
          </cell>
          <cell r="AG880">
            <v>0</v>
          </cell>
          <cell r="AH880">
            <v>0</v>
          </cell>
          <cell r="AI880">
            <v>0</v>
          </cell>
          <cell r="AJ880">
            <v>444.50000000000006</v>
          </cell>
          <cell r="AK880">
            <v>887.77399999999989</v>
          </cell>
          <cell r="AL880">
            <v>0</v>
          </cell>
          <cell r="AM880">
            <v>0</v>
          </cell>
          <cell r="AN880">
            <v>685.07500000000005</v>
          </cell>
          <cell r="AO880">
            <v>1348.88</v>
          </cell>
          <cell r="AP880">
            <v>0</v>
          </cell>
          <cell r="AQ880">
            <v>0</v>
          </cell>
          <cell r="AR880">
            <v>0</v>
          </cell>
          <cell r="AS880">
            <v>665.80000000000007</v>
          </cell>
          <cell r="AT880">
            <v>854.22399999999971</v>
          </cell>
          <cell r="AU880">
            <v>0</v>
          </cell>
          <cell r="AV880">
            <v>0</v>
          </cell>
          <cell r="AW880">
            <v>1208.7249999999999</v>
          </cell>
          <cell r="AX880">
            <v>1257.5500000000002</v>
          </cell>
          <cell r="AY880">
            <v>0</v>
          </cell>
          <cell r="AZ880">
            <v>0</v>
          </cell>
          <cell r="BA880">
            <v>0</v>
          </cell>
          <cell r="BB880">
            <v>528.29999999999995</v>
          </cell>
          <cell r="BC880">
            <v>764.4989999999998</v>
          </cell>
          <cell r="BD880">
            <v>0</v>
          </cell>
          <cell r="BE880">
            <v>0</v>
          </cell>
          <cell r="BF880">
            <v>966.47500000000002</v>
          </cell>
          <cell r="BG880">
            <v>1324.5600000000002</v>
          </cell>
          <cell r="BH880">
            <v>0</v>
          </cell>
          <cell r="BI880">
            <v>0</v>
          </cell>
          <cell r="BJ880">
            <v>0</v>
          </cell>
          <cell r="BK880">
            <v>473.70000000000005</v>
          </cell>
          <cell r="BL880">
            <v>827.67399999999975</v>
          </cell>
          <cell r="BM880">
            <v>0</v>
          </cell>
          <cell r="BN880">
            <v>0</v>
          </cell>
          <cell r="BO880">
            <v>1384.875</v>
          </cell>
          <cell r="BP880">
            <v>1499.3</v>
          </cell>
          <cell r="BQ880">
            <v>0</v>
          </cell>
          <cell r="BR880">
            <v>0</v>
          </cell>
          <cell r="BS880">
            <v>0</v>
          </cell>
          <cell r="BT880">
            <v>726.5</v>
          </cell>
          <cell r="BU880">
            <v>938.52399999999966</v>
          </cell>
          <cell r="BV880">
            <v>0</v>
          </cell>
          <cell r="BW880">
            <v>0</v>
          </cell>
          <cell r="BX880">
            <v>1241.5999999999999</v>
          </cell>
          <cell r="BY880">
            <v>1778.6100000000001</v>
          </cell>
          <cell r="BZ880">
            <v>0</v>
          </cell>
          <cell r="CA880">
            <v>0</v>
          </cell>
          <cell r="CB880">
            <v>0</v>
          </cell>
          <cell r="CC880">
            <v>630.29999999999995</v>
          </cell>
          <cell r="CD880">
            <v>1005.1609999999998</v>
          </cell>
          <cell r="CE880">
            <v>0</v>
          </cell>
          <cell r="CF880">
            <v>0</v>
          </cell>
          <cell r="CG880">
            <v>1186.1880000000001</v>
          </cell>
          <cell r="CH880">
            <v>1802.79</v>
          </cell>
          <cell r="CI880">
            <v>0</v>
          </cell>
          <cell r="CJ880">
            <v>0</v>
          </cell>
          <cell r="CK880">
            <v>0</v>
          </cell>
          <cell r="CL880">
            <v>375.79999999999995</v>
          </cell>
          <cell r="CM880">
            <v>975.26099999999974</v>
          </cell>
          <cell r="CN880">
            <v>0</v>
          </cell>
          <cell r="CO880">
            <v>0</v>
          </cell>
          <cell r="CP880">
            <v>756.3</v>
          </cell>
          <cell r="CQ880">
            <v>1844.89</v>
          </cell>
          <cell r="CR880">
            <v>0</v>
          </cell>
          <cell r="CS880">
            <v>0</v>
          </cell>
          <cell r="CT880">
            <v>0</v>
          </cell>
          <cell r="CU880">
            <v>542.6</v>
          </cell>
          <cell r="CV880">
            <v>834.66099999999983</v>
          </cell>
          <cell r="CW880">
            <v>0</v>
          </cell>
          <cell r="CX880">
            <v>0</v>
          </cell>
          <cell r="CY880">
            <v>873.90000000000009</v>
          </cell>
          <cell r="CZ880">
            <v>1764.66</v>
          </cell>
          <cell r="DA880">
            <v>0</v>
          </cell>
          <cell r="DB880">
            <v>0</v>
          </cell>
          <cell r="DC880">
            <v>0</v>
          </cell>
          <cell r="DD880">
            <v>604.40000000000009</v>
          </cell>
          <cell r="DE880">
            <v>0</v>
          </cell>
          <cell r="DF880">
            <v>0</v>
          </cell>
          <cell r="DG880">
            <v>0</v>
          </cell>
          <cell r="DH880">
            <v>872.59999999999991</v>
          </cell>
          <cell r="DI880">
            <v>1654.9</v>
          </cell>
          <cell r="DJ880">
            <v>0</v>
          </cell>
          <cell r="DK880">
            <v>0</v>
          </cell>
          <cell r="DL880">
            <v>0</v>
          </cell>
          <cell r="DM880">
            <v>504.2</v>
          </cell>
          <cell r="DN880">
            <v>1107.3809999999999</v>
          </cell>
          <cell r="DO880">
            <v>0</v>
          </cell>
          <cell r="DP880">
            <v>0</v>
          </cell>
          <cell r="DQ880">
            <v>423.6</v>
          </cell>
          <cell r="DR880">
            <v>1479.9499999999998</v>
          </cell>
          <cell r="DS880">
            <v>0</v>
          </cell>
          <cell r="DT880">
            <v>0</v>
          </cell>
          <cell r="DU880">
            <v>0</v>
          </cell>
          <cell r="DV880">
            <v>497.55</v>
          </cell>
          <cell r="DW880">
            <v>1259.9059999999999</v>
          </cell>
          <cell r="DX880">
            <v>0</v>
          </cell>
          <cell r="DY880">
            <v>0</v>
          </cell>
          <cell r="DZ880">
            <v>438.4</v>
          </cell>
          <cell r="EA880">
            <v>1473.9299999999998</v>
          </cell>
          <cell r="EB880">
            <v>0</v>
          </cell>
          <cell r="EC880">
            <v>0</v>
          </cell>
          <cell r="ED880">
            <v>0</v>
          </cell>
          <cell r="EE880">
            <v>688.55</v>
          </cell>
          <cell r="EF880">
            <v>1340.0809999999999</v>
          </cell>
          <cell r="EG880">
            <v>0</v>
          </cell>
          <cell r="EH880">
            <v>0</v>
          </cell>
          <cell r="EI880">
            <v>708.59999999999991</v>
          </cell>
          <cell r="EJ880">
            <v>1398.19</v>
          </cell>
          <cell r="EK880">
            <v>0</v>
          </cell>
          <cell r="EL880">
            <v>0</v>
          </cell>
          <cell r="EM880">
            <v>0</v>
          </cell>
          <cell r="EN880">
            <v>491.85</v>
          </cell>
          <cell r="EO880">
            <v>1214.9559999999999</v>
          </cell>
          <cell r="EP880">
            <v>0</v>
          </cell>
          <cell r="EQ880">
            <v>0</v>
          </cell>
          <cell r="ER880">
            <v>741.40000000000009</v>
          </cell>
          <cell r="ES880">
            <v>1800.08</v>
          </cell>
        </row>
        <row r="881">
          <cell r="F881">
            <v>2865.1527799999999</v>
          </cell>
          <cell r="G881">
            <v>8413.9691623999988</v>
          </cell>
          <cell r="H881">
            <v>16965.286</v>
          </cell>
          <cell r="I881">
            <v>15510.192000000001</v>
          </cell>
          <cell r="J881">
            <v>1153.002</v>
          </cell>
          <cell r="K881">
            <v>6528.7969999999996</v>
          </cell>
          <cell r="L881">
            <v>3838.7529999999997</v>
          </cell>
          <cell r="M881">
            <v>1526.0830000000001</v>
          </cell>
          <cell r="N881">
            <v>1229.6300000000001</v>
          </cell>
          <cell r="O881">
            <v>2944.284498</v>
          </cell>
          <cell r="P881">
            <v>8012.9816624000014</v>
          </cell>
          <cell r="Q881">
            <v>16482.114000000001</v>
          </cell>
          <cell r="R881">
            <v>15526.682000000001</v>
          </cell>
          <cell r="S881">
            <v>1169.4589999999998</v>
          </cell>
          <cell r="T881">
            <v>6651.1309999999994</v>
          </cell>
          <cell r="U881">
            <v>2736.35</v>
          </cell>
          <cell r="V881">
            <v>2631.9180000000001</v>
          </cell>
          <cell r="W881">
            <v>1120.5</v>
          </cell>
          <cell r="X881">
            <v>2962.9412300000004</v>
          </cell>
          <cell r="Y881">
            <v>8782.2211224000002</v>
          </cell>
          <cell r="Z881">
            <v>14196.563999999998</v>
          </cell>
          <cell r="AA881">
            <v>16284.174999999999</v>
          </cell>
          <cell r="AB881">
            <v>1376.327</v>
          </cell>
          <cell r="AC881">
            <v>5341.9459999999999</v>
          </cell>
          <cell r="AD881">
            <v>1449.3109999999999</v>
          </cell>
          <cell r="AE881">
            <v>8728.65</v>
          </cell>
          <cell r="AF881">
            <v>1337.4700000000003</v>
          </cell>
          <cell r="AG881">
            <v>3414.3259800000001</v>
          </cell>
          <cell r="AH881">
            <v>9139.2640623999996</v>
          </cell>
          <cell r="AI881">
            <v>16835.898999999998</v>
          </cell>
          <cell r="AJ881">
            <v>16999.044867142857</v>
          </cell>
          <cell r="AK881">
            <v>887.77399999999989</v>
          </cell>
          <cell r="AL881">
            <v>2407.7460000000001</v>
          </cell>
          <cell r="AM881">
            <v>2253.451</v>
          </cell>
          <cell r="AN881">
            <v>1985.6950000000002</v>
          </cell>
          <cell r="AO881">
            <v>1348.88</v>
          </cell>
          <cell r="AP881">
            <v>3144.21288</v>
          </cell>
          <cell r="AQ881">
            <v>9591.7667623999987</v>
          </cell>
          <cell r="AR881">
            <v>15615.231</v>
          </cell>
          <cell r="AS881">
            <v>16422.327000000001</v>
          </cell>
          <cell r="AT881">
            <v>1707.9829999999995</v>
          </cell>
          <cell r="AU881">
            <v>1789.367</v>
          </cell>
          <cell r="AV881">
            <v>785.22900000000004</v>
          </cell>
          <cell r="AW881">
            <v>3422.5099999999998</v>
          </cell>
          <cell r="AX881">
            <v>1257.5500000000002</v>
          </cell>
          <cell r="AY881">
            <v>2990.2951800000001</v>
          </cell>
          <cell r="AZ881">
            <v>9432.4053624000007</v>
          </cell>
          <cell r="BA881">
            <v>13105.361000000001</v>
          </cell>
          <cell r="BB881">
            <v>16948.537</v>
          </cell>
          <cell r="BC881">
            <v>1754.1369999999997</v>
          </cell>
          <cell r="BD881">
            <v>1227.3969999999999</v>
          </cell>
          <cell r="BE881">
            <v>6.9610000000000003</v>
          </cell>
          <cell r="BF881">
            <v>4039.2200000000003</v>
          </cell>
          <cell r="BG881">
            <v>1324.5600000000002</v>
          </cell>
          <cell r="BH881">
            <v>2793.5568300000004</v>
          </cell>
          <cell r="BI881">
            <v>9700.7561623999991</v>
          </cell>
          <cell r="BJ881">
            <v>10883.724000000002</v>
          </cell>
          <cell r="BK881">
            <v>15784.582071999999</v>
          </cell>
          <cell r="BL881">
            <v>1692.7739999999999</v>
          </cell>
          <cell r="BM881">
            <v>852.57799999999997</v>
          </cell>
          <cell r="BN881">
            <v>986.03800000000001</v>
          </cell>
          <cell r="BO881">
            <v>7308.7999999999993</v>
          </cell>
          <cell r="BP881">
            <v>1499.3</v>
          </cell>
          <cell r="BQ881">
            <v>2813.7402299999994</v>
          </cell>
          <cell r="BR881">
            <v>9067.8593624000005</v>
          </cell>
          <cell r="BS881">
            <v>10118.798999999999</v>
          </cell>
          <cell r="BT881">
            <v>15142.361000000003</v>
          </cell>
          <cell r="BU881">
            <v>1928.1489999999999</v>
          </cell>
          <cell r="BV881">
            <v>407.12200000000007</v>
          </cell>
          <cell r="BW881">
            <v>4240.5039999999999</v>
          </cell>
          <cell r="BX881">
            <v>1771.1599999999999</v>
          </cell>
          <cell r="BY881">
            <v>1778.6100000000001</v>
          </cell>
          <cell r="BZ881">
            <v>2958.5105680000001</v>
          </cell>
          <cell r="CA881">
            <v>8596.3881624000005</v>
          </cell>
          <cell r="CB881">
            <v>8933.1190000000006</v>
          </cell>
          <cell r="CC881">
            <v>15907.971000000001</v>
          </cell>
          <cell r="CD881">
            <v>1932.6099999999997</v>
          </cell>
          <cell r="CE881">
            <v>1766.6290000000001</v>
          </cell>
          <cell r="CF881">
            <v>1790.4979999999998</v>
          </cell>
          <cell r="CG881">
            <v>5216.8180000000002</v>
          </cell>
          <cell r="CH881">
            <v>1802.79</v>
          </cell>
          <cell r="CI881">
            <v>2935.7179799999999</v>
          </cell>
          <cell r="CJ881">
            <v>9016.6190024000007</v>
          </cell>
          <cell r="CK881">
            <v>10945.084999999999</v>
          </cell>
          <cell r="CL881">
            <v>16742.349000000002</v>
          </cell>
          <cell r="CM881">
            <v>1932.1579999999994</v>
          </cell>
          <cell r="CN881">
            <v>3970.9960000000001</v>
          </cell>
          <cell r="CO881">
            <v>1237.95</v>
          </cell>
          <cell r="CP881">
            <v>7535.99</v>
          </cell>
          <cell r="CQ881">
            <v>1844.89</v>
          </cell>
          <cell r="CR881">
            <v>3089.7663499999999</v>
          </cell>
          <cell r="CS881">
            <v>9303.3034824000006</v>
          </cell>
          <cell r="CT881">
            <v>12895.425999999999</v>
          </cell>
          <cell r="CU881">
            <v>16790.739000000001</v>
          </cell>
          <cell r="CV881">
            <v>1713.5139999999997</v>
          </cell>
          <cell r="CW881">
            <v>3324.8580000000002</v>
          </cell>
          <cell r="CX881">
            <v>1435.6</v>
          </cell>
          <cell r="CY881">
            <v>7929.82</v>
          </cell>
          <cell r="CZ881">
            <v>1764.66</v>
          </cell>
          <cell r="DA881">
            <v>2939.5553500000005</v>
          </cell>
          <cell r="DB881">
            <v>9711.2424424000001</v>
          </cell>
          <cell r="DC881">
            <v>11779.782999999999</v>
          </cell>
          <cell r="DD881">
            <v>17445.57</v>
          </cell>
          <cell r="DE881">
            <v>1055.171</v>
          </cell>
          <cell r="DF881">
            <v>2868.9119999999998</v>
          </cell>
          <cell r="DG881">
            <v>5682.6809999999996</v>
          </cell>
          <cell r="DH881">
            <v>8219.94</v>
          </cell>
          <cell r="DI881">
            <v>1654.9</v>
          </cell>
          <cell r="DJ881">
            <v>2563.2531800000002</v>
          </cell>
          <cell r="DK881">
            <v>10663.4417424</v>
          </cell>
          <cell r="DL881">
            <v>11517.512999999999</v>
          </cell>
          <cell r="DM881">
            <v>15660.19</v>
          </cell>
          <cell r="DN881">
            <v>2063.3679999999999</v>
          </cell>
          <cell r="DO881">
            <v>2844.585</v>
          </cell>
          <cell r="DP881">
            <v>6091.049</v>
          </cell>
          <cell r="DQ881">
            <v>4808.6880000000001</v>
          </cell>
          <cell r="DR881">
            <v>1479.9499999999998</v>
          </cell>
          <cell r="DS881">
            <v>2776.92245</v>
          </cell>
          <cell r="DT881">
            <v>9847.4656424000004</v>
          </cell>
          <cell r="DU881">
            <v>12392.48</v>
          </cell>
          <cell r="DV881">
            <v>15720.852000000001</v>
          </cell>
          <cell r="DW881">
            <v>2290.1130000000003</v>
          </cell>
          <cell r="DX881">
            <v>5892.8159999999998</v>
          </cell>
          <cell r="DY881">
            <v>2035.7449999999999</v>
          </cell>
          <cell r="DZ881">
            <v>747.2</v>
          </cell>
          <cell r="EA881">
            <v>1473.9299999999998</v>
          </cell>
          <cell r="EB881">
            <v>2670.4754000000003</v>
          </cell>
          <cell r="EC881">
            <v>9840.325642400001</v>
          </cell>
          <cell r="ED881">
            <v>11735.330000000002</v>
          </cell>
          <cell r="EE881">
            <v>14752.831999999999</v>
          </cell>
          <cell r="EF881">
            <v>2402.6569999999997</v>
          </cell>
          <cell r="EG881">
            <v>7216.6120000000001</v>
          </cell>
          <cell r="EH881">
            <v>602.90200000000004</v>
          </cell>
          <cell r="EI881">
            <v>6255.0259999999998</v>
          </cell>
          <cell r="EJ881">
            <v>1398.19</v>
          </cell>
          <cell r="EK881">
            <v>2501.5605</v>
          </cell>
          <cell r="EL881">
            <v>9768.6310424000003</v>
          </cell>
          <cell r="EM881">
            <v>11089.055</v>
          </cell>
          <cell r="EN881">
            <v>14056.962000000003</v>
          </cell>
          <cell r="EO881">
            <v>2047.8239999999996</v>
          </cell>
          <cell r="EP881">
            <v>7565.1100000000006</v>
          </cell>
          <cell r="EQ881">
            <v>1994.7180000000001</v>
          </cell>
          <cell r="ER881">
            <v>6538.7459999999992</v>
          </cell>
          <cell r="ES881">
            <v>1800.08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list"/>
      <sheetName val="kiranlist"/>
      <sheetName val="EMPMAST"/>
      <sheetName val="EMPSTA"/>
      <sheetName val="2529"/>
      <sheetName val="5321"/>
      <sheetName val="5322"/>
      <sheetName val="5323"/>
      <sheetName val="5325"/>
      <sheetName val="5327"/>
      <sheetName val="5329"/>
    </sheetNames>
    <sheetDataSet>
      <sheetData sheetId="0">
        <row r="1">
          <cell r="A1">
            <v>100029</v>
          </cell>
          <cell r="B1" t="str">
            <v>100029</v>
          </cell>
          <cell r="C1">
            <v>1</v>
          </cell>
          <cell r="D1" t="str">
            <v>ZENOBIA SHETTIGAR</v>
          </cell>
        </row>
        <row r="2">
          <cell r="A2">
            <v>100032</v>
          </cell>
          <cell r="B2" t="str">
            <v>100032</v>
          </cell>
          <cell r="C2">
            <v>2</v>
          </cell>
          <cell r="D2" t="str">
            <v>A.M.ASHTAPUTRE</v>
          </cell>
        </row>
        <row r="3">
          <cell r="A3">
            <v>100067</v>
          </cell>
          <cell r="B3" t="str">
            <v>100067</v>
          </cell>
          <cell r="C3">
            <v>3</v>
          </cell>
          <cell r="D3" t="str">
            <v>A. CHOUDHURY</v>
          </cell>
        </row>
        <row r="4">
          <cell r="A4">
            <v>100081</v>
          </cell>
          <cell r="B4" t="str">
            <v>100081</v>
          </cell>
          <cell r="C4">
            <v>4</v>
          </cell>
          <cell r="D4" t="str">
            <v>S.S.RANDHAWA</v>
          </cell>
        </row>
        <row r="5">
          <cell r="A5">
            <v>100083</v>
          </cell>
          <cell r="B5" t="str">
            <v>100083</v>
          </cell>
          <cell r="C5">
            <v>5</v>
          </cell>
          <cell r="D5" t="str">
            <v>M.D.PATEL</v>
          </cell>
        </row>
        <row r="6">
          <cell r="A6">
            <v>100089</v>
          </cell>
          <cell r="B6" t="str">
            <v>100089</v>
          </cell>
          <cell r="C6">
            <v>6</v>
          </cell>
          <cell r="D6" t="str">
            <v>S.SRINIVAS RAO</v>
          </cell>
        </row>
        <row r="7">
          <cell r="A7">
            <v>100093</v>
          </cell>
          <cell r="B7" t="str">
            <v>100093</v>
          </cell>
          <cell r="C7">
            <v>7</v>
          </cell>
          <cell r="D7" t="str">
            <v>ASHOK VYAS</v>
          </cell>
        </row>
        <row r="8">
          <cell r="A8">
            <v>100094</v>
          </cell>
          <cell r="B8" t="str">
            <v>100094</v>
          </cell>
          <cell r="C8">
            <v>8</v>
          </cell>
          <cell r="D8" t="str">
            <v>EKNATH BOLAR</v>
          </cell>
        </row>
        <row r="9">
          <cell r="A9">
            <v>100095</v>
          </cell>
          <cell r="B9" t="str">
            <v>100095</v>
          </cell>
          <cell r="C9">
            <v>9</v>
          </cell>
          <cell r="D9" t="str">
            <v>T.SRIKRISHNA SIVRAM</v>
          </cell>
        </row>
        <row r="10">
          <cell r="A10">
            <v>100135</v>
          </cell>
          <cell r="B10" t="str">
            <v>100135</v>
          </cell>
          <cell r="C10">
            <v>10</v>
          </cell>
          <cell r="D10" t="str">
            <v>T.S.C.MURTHY</v>
          </cell>
        </row>
        <row r="11">
          <cell r="A11">
            <v>100149</v>
          </cell>
          <cell r="B11" t="str">
            <v>100149</v>
          </cell>
          <cell r="C11">
            <v>11</v>
          </cell>
          <cell r="D11" t="str">
            <v>MANOJ K.DUA</v>
          </cell>
        </row>
        <row r="12">
          <cell r="A12">
            <v>100150</v>
          </cell>
          <cell r="B12" t="str">
            <v>100150</v>
          </cell>
          <cell r="C12">
            <v>12</v>
          </cell>
          <cell r="D12" t="str">
            <v>MOTURI BHOOMEIAH</v>
          </cell>
        </row>
        <row r="13">
          <cell r="A13">
            <v>100169</v>
          </cell>
          <cell r="B13" t="str">
            <v>100169</v>
          </cell>
          <cell r="C13">
            <v>13</v>
          </cell>
          <cell r="D13" t="str">
            <v>B.K.CHOPRA</v>
          </cell>
        </row>
        <row r="14">
          <cell r="A14">
            <v>100189</v>
          </cell>
          <cell r="B14" t="str">
            <v>100189</v>
          </cell>
          <cell r="C14">
            <v>14</v>
          </cell>
          <cell r="D14" t="str">
            <v>RAJ KUMAR SINGH</v>
          </cell>
        </row>
        <row r="15">
          <cell r="A15">
            <v>100193</v>
          </cell>
          <cell r="B15" t="str">
            <v>100193</v>
          </cell>
          <cell r="C15">
            <v>15</v>
          </cell>
          <cell r="D15" t="str">
            <v>GULAB.K.BHAGAT</v>
          </cell>
        </row>
        <row r="16">
          <cell r="A16">
            <v>100197</v>
          </cell>
          <cell r="B16" t="str">
            <v>100197</v>
          </cell>
          <cell r="C16">
            <v>16</v>
          </cell>
          <cell r="D16" t="str">
            <v>C. ELANGOVAN</v>
          </cell>
        </row>
        <row r="17">
          <cell r="A17">
            <v>100208</v>
          </cell>
          <cell r="B17" t="str">
            <v>100208</v>
          </cell>
          <cell r="C17">
            <v>17</v>
          </cell>
          <cell r="D17" t="str">
            <v>PUSHPA.RAJESHWARI</v>
          </cell>
        </row>
        <row r="18">
          <cell r="A18">
            <v>100230</v>
          </cell>
          <cell r="B18" t="str">
            <v>100230</v>
          </cell>
          <cell r="C18">
            <v>18</v>
          </cell>
          <cell r="D18" t="str">
            <v>UMESH.VERMA</v>
          </cell>
        </row>
        <row r="19">
          <cell r="A19">
            <v>100240</v>
          </cell>
          <cell r="B19" t="str">
            <v>100240</v>
          </cell>
          <cell r="C19">
            <v>19</v>
          </cell>
          <cell r="D19" t="str">
            <v>SARITA TIRODKAR</v>
          </cell>
        </row>
        <row r="20">
          <cell r="A20">
            <v>100241</v>
          </cell>
          <cell r="B20" t="str">
            <v>100241</v>
          </cell>
          <cell r="C20">
            <v>20</v>
          </cell>
          <cell r="D20" t="str">
            <v>G.K.PATIL</v>
          </cell>
        </row>
        <row r="21">
          <cell r="A21">
            <v>100247</v>
          </cell>
          <cell r="B21" t="str">
            <v>100247</v>
          </cell>
          <cell r="C21">
            <v>21</v>
          </cell>
          <cell r="D21" t="str">
            <v>KRISHAN KUMAR JHA</v>
          </cell>
        </row>
        <row r="22">
          <cell r="A22">
            <v>100248</v>
          </cell>
          <cell r="B22" t="str">
            <v>100248</v>
          </cell>
          <cell r="C22">
            <v>22</v>
          </cell>
          <cell r="D22" t="str">
            <v>VIJAY KUMAR SINGH</v>
          </cell>
        </row>
        <row r="23">
          <cell r="A23">
            <v>100250</v>
          </cell>
          <cell r="B23" t="str">
            <v>100250</v>
          </cell>
          <cell r="C23">
            <v>23</v>
          </cell>
          <cell r="D23" t="str">
            <v>K.RAMUDU</v>
          </cell>
        </row>
        <row r="24">
          <cell r="A24">
            <v>100251</v>
          </cell>
          <cell r="B24" t="str">
            <v>100251</v>
          </cell>
          <cell r="C24">
            <v>24</v>
          </cell>
          <cell r="D24" t="str">
            <v>BHAGSINGH.S.CHOPRA</v>
          </cell>
        </row>
        <row r="25">
          <cell r="A25">
            <v>100253</v>
          </cell>
          <cell r="B25" t="str">
            <v>100253</v>
          </cell>
          <cell r="C25">
            <v>25</v>
          </cell>
          <cell r="D25" t="str">
            <v>G.R.MOHAN</v>
          </cell>
        </row>
        <row r="26">
          <cell r="A26">
            <v>100261</v>
          </cell>
          <cell r="B26" t="str">
            <v>100261</v>
          </cell>
          <cell r="C26">
            <v>26</v>
          </cell>
          <cell r="D26" t="str">
            <v>S.A.PARELKAR</v>
          </cell>
        </row>
        <row r="27">
          <cell r="A27">
            <v>100263</v>
          </cell>
          <cell r="B27" t="str">
            <v>100263</v>
          </cell>
          <cell r="C27">
            <v>27</v>
          </cell>
          <cell r="D27" t="str">
            <v>RAMESH KUMAR</v>
          </cell>
        </row>
        <row r="28">
          <cell r="A28">
            <v>100264</v>
          </cell>
          <cell r="B28" t="str">
            <v>100264</v>
          </cell>
          <cell r="C28">
            <v>28</v>
          </cell>
          <cell r="D28" t="str">
            <v>MAHIPAL.SINGH</v>
          </cell>
        </row>
        <row r="29">
          <cell r="A29">
            <v>100265</v>
          </cell>
          <cell r="B29" t="str">
            <v>100265</v>
          </cell>
          <cell r="C29">
            <v>29</v>
          </cell>
          <cell r="D29" t="str">
            <v>S.S.TOMAR</v>
          </cell>
        </row>
        <row r="30">
          <cell r="A30">
            <v>100266</v>
          </cell>
          <cell r="B30" t="str">
            <v>100266</v>
          </cell>
          <cell r="C30">
            <v>30</v>
          </cell>
          <cell r="D30" t="str">
            <v>J.V.N.S.GIRI</v>
          </cell>
        </row>
        <row r="31">
          <cell r="A31">
            <v>100268</v>
          </cell>
          <cell r="B31" t="str">
            <v>100268</v>
          </cell>
          <cell r="C31">
            <v>31</v>
          </cell>
          <cell r="D31" t="str">
            <v>V.V.SESHA REDDY</v>
          </cell>
        </row>
        <row r="32">
          <cell r="A32">
            <v>100289</v>
          </cell>
          <cell r="B32" t="str">
            <v>100289</v>
          </cell>
          <cell r="C32">
            <v>32</v>
          </cell>
          <cell r="D32" t="str">
            <v>LAKHJIT SINGH JASSAR</v>
          </cell>
        </row>
        <row r="33">
          <cell r="A33">
            <v>100301</v>
          </cell>
          <cell r="B33" t="str">
            <v>100301</v>
          </cell>
          <cell r="C33">
            <v>33</v>
          </cell>
          <cell r="D33" t="str">
            <v>R SIVANAND</v>
          </cell>
        </row>
        <row r="34">
          <cell r="A34">
            <v>100322</v>
          </cell>
          <cell r="B34" t="str">
            <v>100322</v>
          </cell>
          <cell r="C34">
            <v>34</v>
          </cell>
          <cell r="D34" t="str">
            <v>SANTOSH D PARANDE</v>
          </cell>
        </row>
        <row r="35">
          <cell r="A35">
            <v>100324</v>
          </cell>
          <cell r="B35" t="str">
            <v>100324</v>
          </cell>
          <cell r="C35">
            <v>35</v>
          </cell>
          <cell r="D35" t="str">
            <v>SARABJIT SINGH</v>
          </cell>
        </row>
        <row r="36">
          <cell r="A36">
            <v>100327</v>
          </cell>
          <cell r="B36" t="str">
            <v>100327</v>
          </cell>
          <cell r="C36">
            <v>36</v>
          </cell>
          <cell r="D36" t="str">
            <v>SUBHA R NAIR</v>
          </cell>
        </row>
        <row r="37">
          <cell r="A37">
            <v>100363</v>
          </cell>
          <cell r="B37">
            <v>100363</v>
          </cell>
          <cell r="C37">
            <v>37</v>
          </cell>
          <cell r="D37" t="str">
            <v>M P S CHOUHAN</v>
          </cell>
        </row>
        <row r="38">
          <cell r="A38">
            <v>100423</v>
          </cell>
          <cell r="B38" t="str">
            <v>100423</v>
          </cell>
          <cell r="C38">
            <v>38</v>
          </cell>
          <cell r="D38" t="str">
            <v>CHANDRA VEER SINGH</v>
          </cell>
        </row>
        <row r="39">
          <cell r="A39">
            <v>100456</v>
          </cell>
          <cell r="B39" t="str">
            <v>100456</v>
          </cell>
          <cell r="C39">
            <v>39</v>
          </cell>
          <cell r="D39" t="str">
            <v>S S DHALIWAL</v>
          </cell>
        </row>
        <row r="40">
          <cell r="A40">
            <v>100465</v>
          </cell>
          <cell r="B40" t="str">
            <v>100465</v>
          </cell>
          <cell r="C40">
            <v>40</v>
          </cell>
          <cell r="D40" t="str">
            <v>P K SURESH KUMAR</v>
          </cell>
        </row>
        <row r="41">
          <cell r="A41">
            <v>100484</v>
          </cell>
          <cell r="B41" t="str">
            <v>100484</v>
          </cell>
          <cell r="C41">
            <v>41</v>
          </cell>
          <cell r="D41" t="str">
            <v>CLAUDETTE BARNES</v>
          </cell>
        </row>
        <row r="42">
          <cell r="A42">
            <v>100565</v>
          </cell>
          <cell r="B42" t="str">
            <v>100565</v>
          </cell>
          <cell r="C42">
            <v>42</v>
          </cell>
          <cell r="D42" t="str">
            <v>V G JOSHI</v>
          </cell>
        </row>
        <row r="43">
          <cell r="A43">
            <v>100598</v>
          </cell>
          <cell r="B43">
            <v>100598</v>
          </cell>
          <cell r="C43">
            <v>43</v>
          </cell>
          <cell r="D43" t="str">
            <v>K ANIRUTHAN</v>
          </cell>
        </row>
        <row r="44">
          <cell r="A44">
            <v>100611</v>
          </cell>
          <cell r="B44" t="str">
            <v>100611</v>
          </cell>
          <cell r="C44">
            <v>44</v>
          </cell>
          <cell r="D44" t="str">
            <v>V SATYANANDAM</v>
          </cell>
        </row>
        <row r="45">
          <cell r="A45">
            <v>100640</v>
          </cell>
          <cell r="B45" t="str">
            <v>100640</v>
          </cell>
          <cell r="C45">
            <v>45</v>
          </cell>
          <cell r="D45" t="str">
            <v>U SRINIVASULU  REDDY</v>
          </cell>
        </row>
        <row r="46">
          <cell r="A46">
            <v>100776</v>
          </cell>
          <cell r="B46" t="str">
            <v>100776</v>
          </cell>
          <cell r="C46">
            <v>46</v>
          </cell>
          <cell r="D46" t="str">
            <v>SANJAY  AMBARDAR</v>
          </cell>
        </row>
        <row r="47">
          <cell r="A47">
            <v>100860</v>
          </cell>
          <cell r="B47" t="str">
            <v>100860</v>
          </cell>
          <cell r="C47">
            <v>47</v>
          </cell>
          <cell r="D47" t="str">
            <v>RAJESH KUMAR SINGH</v>
          </cell>
        </row>
        <row r="48">
          <cell r="A48">
            <v>100872</v>
          </cell>
          <cell r="B48" t="str">
            <v>100872</v>
          </cell>
          <cell r="C48">
            <v>48</v>
          </cell>
          <cell r="D48" t="str">
            <v>R V MUTHIAHPILLAI</v>
          </cell>
        </row>
        <row r="49">
          <cell r="A49">
            <v>100873</v>
          </cell>
          <cell r="B49" t="str">
            <v>100873</v>
          </cell>
          <cell r="C49">
            <v>49</v>
          </cell>
          <cell r="D49" t="str">
            <v>RAJINDER SINGH BAINS</v>
          </cell>
        </row>
        <row r="50">
          <cell r="A50">
            <v>100874</v>
          </cell>
          <cell r="B50" t="str">
            <v>100874</v>
          </cell>
          <cell r="C50">
            <v>50</v>
          </cell>
          <cell r="D50" t="str">
            <v>ANIL KUMAR</v>
          </cell>
        </row>
        <row r="51">
          <cell r="A51">
            <v>100880</v>
          </cell>
          <cell r="B51" t="str">
            <v>100880</v>
          </cell>
          <cell r="C51">
            <v>51</v>
          </cell>
          <cell r="D51" t="str">
            <v>SURESH KUMAR</v>
          </cell>
        </row>
        <row r="52">
          <cell r="A52">
            <v>100896</v>
          </cell>
          <cell r="B52" t="str">
            <v>100896</v>
          </cell>
          <cell r="C52">
            <v>52</v>
          </cell>
          <cell r="D52" t="str">
            <v>SANTOSH DANSINGH SAMANT</v>
          </cell>
        </row>
        <row r="53">
          <cell r="A53">
            <v>100931</v>
          </cell>
          <cell r="B53" t="str">
            <v>100931</v>
          </cell>
          <cell r="C53">
            <v>53</v>
          </cell>
          <cell r="D53" t="str">
            <v>VISHVESHWAR KAUSHIK</v>
          </cell>
        </row>
        <row r="54">
          <cell r="A54">
            <v>100949</v>
          </cell>
          <cell r="B54" t="str">
            <v>100949</v>
          </cell>
          <cell r="C54">
            <v>54</v>
          </cell>
          <cell r="D54" t="str">
            <v>PARTHA BISWAS</v>
          </cell>
        </row>
        <row r="55">
          <cell r="A55">
            <v>100950</v>
          </cell>
          <cell r="B55" t="str">
            <v>100950</v>
          </cell>
          <cell r="C55">
            <v>55</v>
          </cell>
          <cell r="D55" t="str">
            <v>SAMSON SANTHANKUMAR</v>
          </cell>
        </row>
        <row r="56">
          <cell r="A56">
            <v>100993</v>
          </cell>
          <cell r="B56" t="str">
            <v>100993</v>
          </cell>
          <cell r="C56">
            <v>56</v>
          </cell>
          <cell r="D56" t="str">
            <v>MILIND D JOSHI</v>
          </cell>
        </row>
        <row r="57">
          <cell r="A57">
            <v>101001</v>
          </cell>
          <cell r="B57" t="str">
            <v>101001</v>
          </cell>
          <cell r="C57">
            <v>57</v>
          </cell>
          <cell r="D57" t="str">
            <v>MUKHTIYAR SINGH</v>
          </cell>
        </row>
        <row r="58">
          <cell r="A58">
            <v>101002</v>
          </cell>
          <cell r="B58" t="str">
            <v>101002</v>
          </cell>
          <cell r="C58">
            <v>58</v>
          </cell>
          <cell r="D58" t="str">
            <v>SHIV KUMAR SHARMA</v>
          </cell>
        </row>
        <row r="59">
          <cell r="A59">
            <v>101024</v>
          </cell>
          <cell r="B59" t="str">
            <v>101024</v>
          </cell>
          <cell r="C59">
            <v>59</v>
          </cell>
          <cell r="D59" t="str">
            <v>SHREEKANT R SULE</v>
          </cell>
        </row>
        <row r="60">
          <cell r="A60">
            <v>101044</v>
          </cell>
          <cell r="B60" t="str">
            <v>101044</v>
          </cell>
          <cell r="C60">
            <v>60</v>
          </cell>
          <cell r="D60" t="str">
            <v>J DHARMA RAO</v>
          </cell>
        </row>
        <row r="61">
          <cell r="A61">
            <v>101058</v>
          </cell>
          <cell r="B61" t="str">
            <v>101058</v>
          </cell>
          <cell r="C61">
            <v>61</v>
          </cell>
          <cell r="D61" t="str">
            <v>P K KALRA</v>
          </cell>
        </row>
        <row r="62">
          <cell r="A62">
            <v>101074</v>
          </cell>
          <cell r="B62" t="str">
            <v>101074</v>
          </cell>
          <cell r="C62">
            <v>62</v>
          </cell>
          <cell r="D62" t="str">
            <v>NITIN S KADAM</v>
          </cell>
        </row>
        <row r="63">
          <cell r="A63">
            <v>101076</v>
          </cell>
          <cell r="B63" t="str">
            <v>101076</v>
          </cell>
          <cell r="C63">
            <v>63</v>
          </cell>
          <cell r="D63" t="str">
            <v>PRADIP MAJUMDAR</v>
          </cell>
        </row>
        <row r="64">
          <cell r="A64">
            <v>101080</v>
          </cell>
          <cell r="B64" t="str">
            <v>101080</v>
          </cell>
          <cell r="C64">
            <v>64</v>
          </cell>
          <cell r="D64" t="str">
            <v>V R PRABHU</v>
          </cell>
        </row>
        <row r="65">
          <cell r="A65">
            <v>101084</v>
          </cell>
          <cell r="B65" t="str">
            <v>101084</v>
          </cell>
          <cell r="C65">
            <v>65</v>
          </cell>
          <cell r="D65" t="str">
            <v>SUBHASH C DEOL</v>
          </cell>
        </row>
        <row r="66">
          <cell r="A66">
            <v>101085</v>
          </cell>
          <cell r="B66" t="str">
            <v>101085</v>
          </cell>
          <cell r="C66">
            <v>66</v>
          </cell>
          <cell r="D66" t="str">
            <v>Y VENKATA RAO</v>
          </cell>
        </row>
        <row r="67">
          <cell r="A67">
            <v>101088</v>
          </cell>
          <cell r="B67" t="str">
            <v>101088</v>
          </cell>
          <cell r="C67">
            <v>67</v>
          </cell>
          <cell r="D67" t="str">
            <v>UNMESH A RAHATADE</v>
          </cell>
        </row>
        <row r="68">
          <cell r="A68">
            <v>101129</v>
          </cell>
          <cell r="B68" t="str">
            <v>101129</v>
          </cell>
          <cell r="C68">
            <v>68</v>
          </cell>
          <cell r="D68" t="str">
            <v>PRAMOD T JADHAV</v>
          </cell>
        </row>
        <row r="69">
          <cell r="A69">
            <v>101130</v>
          </cell>
          <cell r="B69" t="str">
            <v>101130</v>
          </cell>
          <cell r="C69">
            <v>69</v>
          </cell>
          <cell r="D69" t="str">
            <v>VINITA RAO</v>
          </cell>
        </row>
        <row r="70">
          <cell r="A70">
            <v>101151</v>
          </cell>
          <cell r="B70" t="str">
            <v>101151</v>
          </cell>
          <cell r="C70">
            <v>70</v>
          </cell>
          <cell r="D70" t="str">
            <v>PARMINDER SINGH</v>
          </cell>
        </row>
        <row r="71">
          <cell r="A71">
            <v>101198</v>
          </cell>
          <cell r="B71" t="str">
            <v>101198</v>
          </cell>
          <cell r="C71">
            <v>71</v>
          </cell>
          <cell r="D71" t="str">
            <v>M R JAGDEESWARAN</v>
          </cell>
        </row>
        <row r="72">
          <cell r="A72">
            <v>101201</v>
          </cell>
          <cell r="B72" t="str">
            <v>101201</v>
          </cell>
          <cell r="C72">
            <v>72</v>
          </cell>
          <cell r="D72" t="str">
            <v>SHIVRAJ R NIGADGE</v>
          </cell>
        </row>
        <row r="73">
          <cell r="A73">
            <v>101202</v>
          </cell>
          <cell r="B73" t="str">
            <v>101202</v>
          </cell>
          <cell r="C73">
            <v>73</v>
          </cell>
          <cell r="D73" t="str">
            <v>ANNAPA S KURNE</v>
          </cell>
        </row>
        <row r="74">
          <cell r="A74">
            <v>101204</v>
          </cell>
          <cell r="B74">
            <v>101204</v>
          </cell>
          <cell r="C74">
            <v>74</v>
          </cell>
          <cell r="D74" t="str">
            <v>NARESH.K.SHARMA</v>
          </cell>
        </row>
        <row r="75">
          <cell r="A75">
            <v>101236</v>
          </cell>
          <cell r="C75">
            <v>117</v>
          </cell>
          <cell r="D75" t="str">
            <v>ramesh jogi</v>
          </cell>
        </row>
        <row r="76">
          <cell r="A76">
            <v>101237</v>
          </cell>
          <cell r="C76">
            <v>116</v>
          </cell>
          <cell r="D76" t="str">
            <v>irfan ahmed khan</v>
          </cell>
        </row>
        <row r="77">
          <cell r="A77">
            <v>101315</v>
          </cell>
          <cell r="B77" t="str">
            <v>101315</v>
          </cell>
          <cell r="C77">
            <v>75</v>
          </cell>
          <cell r="D77" t="str">
            <v>GOVIND R SAWANT</v>
          </cell>
        </row>
        <row r="78">
          <cell r="A78">
            <v>101326</v>
          </cell>
          <cell r="B78" t="str">
            <v>101326</v>
          </cell>
          <cell r="C78">
            <v>76</v>
          </cell>
          <cell r="D78" t="str">
            <v>M GIREESH</v>
          </cell>
        </row>
        <row r="79">
          <cell r="A79">
            <v>101327</v>
          </cell>
          <cell r="B79" t="str">
            <v>101327</v>
          </cell>
          <cell r="C79">
            <v>77</v>
          </cell>
          <cell r="D79" t="str">
            <v>B S VENKATESH</v>
          </cell>
        </row>
        <row r="80">
          <cell r="A80">
            <v>101340</v>
          </cell>
          <cell r="B80" t="str">
            <v>101340</v>
          </cell>
          <cell r="C80">
            <v>78</v>
          </cell>
          <cell r="D80" t="str">
            <v>P V SAMBASIVA RAO</v>
          </cell>
        </row>
        <row r="81">
          <cell r="A81">
            <v>101342</v>
          </cell>
          <cell r="B81" t="str">
            <v>101342</v>
          </cell>
          <cell r="C81">
            <v>79</v>
          </cell>
          <cell r="D81" t="str">
            <v>PRABIR K GUHA</v>
          </cell>
        </row>
        <row r="82">
          <cell r="A82">
            <v>101343</v>
          </cell>
          <cell r="B82" t="str">
            <v>101343</v>
          </cell>
          <cell r="C82">
            <v>80</v>
          </cell>
          <cell r="D82" t="str">
            <v>CH V NAGESHWARA RAO</v>
          </cell>
        </row>
        <row r="83">
          <cell r="A83">
            <v>101360</v>
          </cell>
          <cell r="B83" t="str">
            <v>101360</v>
          </cell>
          <cell r="C83">
            <v>81</v>
          </cell>
          <cell r="D83" t="str">
            <v>P S VINOD PRASAD</v>
          </cell>
        </row>
        <row r="84">
          <cell r="A84">
            <v>101387</v>
          </cell>
          <cell r="B84" t="str">
            <v>101387</v>
          </cell>
          <cell r="C84">
            <v>82</v>
          </cell>
          <cell r="D84" t="str">
            <v>SUNIL YADAV</v>
          </cell>
        </row>
        <row r="85">
          <cell r="A85">
            <v>101416</v>
          </cell>
          <cell r="B85" t="str">
            <v>101416</v>
          </cell>
          <cell r="C85">
            <v>83</v>
          </cell>
          <cell r="D85" t="str">
            <v>A C VENUGOPALAN</v>
          </cell>
        </row>
        <row r="86">
          <cell r="A86">
            <v>101417</v>
          </cell>
          <cell r="B86" t="str">
            <v>101417</v>
          </cell>
          <cell r="C86">
            <v>84</v>
          </cell>
          <cell r="D86" t="str">
            <v>JYOTI KANCHAN</v>
          </cell>
        </row>
        <row r="87">
          <cell r="A87">
            <v>101436</v>
          </cell>
          <cell r="B87" t="str">
            <v>101436</v>
          </cell>
          <cell r="C87">
            <v>85</v>
          </cell>
          <cell r="D87" t="str">
            <v>AMIT KUMAR</v>
          </cell>
        </row>
        <row r="88">
          <cell r="A88">
            <v>101437</v>
          </cell>
          <cell r="B88" t="str">
            <v>101437</v>
          </cell>
          <cell r="C88">
            <v>86</v>
          </cell>
          <cell r="D88" t="str">
            <v>ANAND SHARMA</v>
          </cell>
        </row>
        <row r="89">
          <cell r="A89">
            <v>101449</v>
          </cell>
          <cell r="B89" t="str">
            <v>101449</v>
          </cell>
          <cell r="C89">
            <v>87</v>
          </cell>
          <cell r="D89" t="str">
            <v>PRASHANT BOKEY</v>
          </cell>
        </row>
        <row r="90">
          <cell r="A90">
            <v>101454</v>
          </cell>
          <cell r="B90" t="str">
            <v>101454</v>
          </cell>
          <cell r="C90">
            <v>88</v>
          </cell>
          <cell r="D90" t="str">
            <v>JASPAL C SHARMA</v>
          </cell>
        </row>
        <row r="91">
          <cell r="A91">
            <v>101455</v>
          </cell>
          <cell r="B91" t="str">
            <v>101455</v>
          </cell>
          <cell r="C91">
            <v>89</v>
          </cell>
          <cell r="D91" t="str">
            <v>HANS RAJ GODARA</v>
          </cell>
        </row>
        <row r="92">
          <cell r="A92">
            <v>101466</v>
          </cell>
          <cell r="B92" t="str">
            <v>101466</v>
          </cell>
          <cell r="C92">
            <v>90</v>
          </cell>
          <cell r="D92" t="str">
            <v>SOUMITRA SEN</v>
          </cell>
        </row>
        <row r="93">
          <cell r="A93">
            <v>101467</v>
          </cell>
          <cell r="B93" t="str">
            <v>101467</v>
          </cell>
          <cell r="C93">
            <v>91</v>
          </cell>
          <cell r="D93" t="str">
            <v>DINESH S RANA</v>
          </cell>
        </row>
        <row r="94">
          <cell r="A94">
            <v>101468</v>
          </cell>
          <cell r="B94" t="str">
            <v>101468</v>
          </cell>
          <cell r="C94">
            <v>92</v>
          </cell>
          <cell r="D94" t="str">
            <v>JAGJEET SINGH AULAKH</v>
          </cell>
        </row>
        <row r="95">
          <cell r="A95">
            <v>101469</v>
          </cell>
          <cell r="B95" t="str">
            <v>101469</v>
          </cell>
          <cell r="C95">
            <v>93</v>
          </cell>
          <cell r="D95" t="str">
            <v>RAM CHANDRA CHOUDHARY</v>
          </cell>
        </row>
        <row r="96">
          <cell r="A96">
            <v>101470</v>
          </cell>
          <cell r="B96" t="str">
            <v>101470</v>
          </cell>
          <cell r="C96">
            <v>94</v>
          </cell>
          <cell r="D96" t="str">
            <v>ABHIJIT MUKHERJEE</v>
          </cell>
        </row>
        <row r="97">
          <cell r="A97">
            <v>101473</v>
          </cell>
          <cell r="B97" t="str">
            <v>101473</v>
          </cell>
          <cell r="C97">
            <v>95</v>
          </cell>
          <cell r="D97" t="str">
            <v>SUPARAS JAIN</v>
          </cell>
        </row>
        <row r="98">
          <cell r="A98">
            <v>101531</v>
          </cell>
          <cell r="B98" t="str">
            <v>101531</v>
          </cell>
          <cell r="C98">
            <v>96</v>
          </cell>
          <cell r="D98" t="str">
            <v>PRASHANT PADAWE</v>
          </cell>
        </row>
        <row r="99">
          <cell r="A99">
            <v>101532</v>
          </cell>
          <cell r="B99" t="str">
            <v>101532</v>
          </cell>
          <cell r="C99">
            <v>97</v>
          </cell>
          <cell r="D99" t="str">
            <v>RAJ GANGULY</v>
          </cell>
        </row>
        <row r="100">
          <cell r="A100">
            <v>101534</v>
          </cell>
          <cell r="B100" t="str">
            <v>101534</v>
          </cell>
          <cell r="C100">
            <v>98</v>
          </cell>
          <cell r="D100" t="str">
            <v>ANIL GIDWANI</v>
          </cell>
        </row>
        <row r="101">
          <cell r="A101">
            <v>101535</v>
          </cell>
          <cell r="B101" t="str">
            <v>101535</v>
          </cell>
          <cell r="C101">
            <v>99</v>
          </cell>
          <cell r="D101" t="str">
            <v>ANAND KUMAR SHRIMALI</v>
          </cell>
        </row>
        <row r="102">
          <cell r="A102">
            <v>101536</v>
          </cell>
          <cell r="B102" t="str">
            <v>101536</v>
          </cell>
          <cell r="C102">
            <v>100</v>
          </cell>
          <cell r="D102" t="str">
            <v>K NARAYANA SWAMY</v>
          </cell>
        </row>
        <row r="103">
          <cell r="A103">
            <v>101537</v>
          </cell>
          <cell r="B103" t="str">
            <v>101537</v>
          </cell>
          <cell r="C103">
            <v>101</v>
          </cell>
          <cell r="D103" t="str">
            <v>S MALLIKARJUNA REDDY</v>
          </cell>
        </row>
        <row r="104">
          <cell r="A104">
            <v>101538</v>
          </cell>
          <cell r="B104" t="str">
            <v>101538</v>
          </cell>
          <cell r="C104">
            <v>102</v>
          </cell>
          <cell r="D104" t="str">
            <v>SUBRATA BHATTACHARYA</v>
          </cell>
        </row>
        <row r="105">
          <cell r="A105">
            <v>101556</v>
          </cell>
          <cell r="B105" t="str">
            <v>101556</v>
          </cell>
          <cell r="C105">
            <v>103</v>
          </cell>
          <cell r="D105" t="str">
            <v>ASHWANI KUMAR DAHIYA</v>
          </cell>
        </row>
        <row r="106">
          <cell r="A106">
            <v>101557</v>
          </cell>
          <cell r="B106" t="str">
            <v>101557</v>
          </cell>
          <cell r="C106">
            <v>104</v>
          </cell>
          <cell r="D106" t="str">
            <v>AMBILI MENON</v>
          </cell>
        </row>
        <row r="107">
          <cell r="A107">
            <v>101637</v>
          </cell>
          <cell r="B107" t="str">
            <v>NEW</v>
          </cell>
          <cell r="C107">
            <v>105</v>
          </cell>
          <cell r="D107" t="str">
            <v>ZAKIR HUSSAIN</v>
          </cell>
        </row>
        <row r="108">
          <cell r="A108">
            <v>101649</v>
          </cell>
          <cell r="B108" t="str">
            <v>NEW</v>
          </cell>
          <cell r="C108">
            <v>106</v>
          </cell>
          <cell r="D108" t="str">
            <v>BALASUBRAMANI</v>
          </cell>
        </row>
        <row r="109">
          <cell r="A109">
            <v>101651</v>
          </cell>
          <cell r="B109" t="str">
            <v>NEW</v>
          </cell>
          <cell r="C109">
            <v>107</v>
          </cell>
          <cell r="D109" t="str">
            <v>BOYATE</v>
          </cell>
        </row>
        <row r="110">
          <cell r="A110">
            <v>200002</v>
          </cell>
          <cell r="B110" t="str">
            <v>200002</v>
          </cell>
          <cell r="C110">
            <v>108</v>
          </cell>
          <cell r="D110" t="str">
            <v>K.R.RAMACHANDRAN</v>
          </cell>
        </row>
        <row r="111">
          <cell r="A111">
            <v>200008</v>
          </cell>
          <cell r="B111" t="str">
            <v>200008</v>
          </cell>
          <cell r="C111">
            <v>109</v>
          </cell>
          <cell r="D111" t="str">
            <v>S.M.JAYARAM</v>
          </cell>
        </row>
        <row r="112">
          <cell r="A112">
            <v>200013</v>
          </cell>
          <cell r="B112" t="str">
            <v>200013</v>
          </cell>
          <cell r="C112">
            <v>110</v>
          </cell>
          <cell r="D112" t="str">
            <v>P.S.LAHIRI</v>
          </cell>
        </row>
        <row r="113">
          <cell r="A113">
            <v>200021</v>
          </cell>
          <cell r="B113" t="str">
            <v>200021</v>
          </cell>
          <cell r="C113">
            <v>111</v>
          </cell>
          <cell r="D113" t="str">
            <v>A.R.KARNIK</v>
          </cell>
        </row>
        <row r="114">
          <cell r="A114">
            <v>200039</v>
          </cell>
          <cell r="B114" t="str">
            <v>200039</v>
          </cell>
          <cell r="C114">
            <v>112</v>
          </cell>
          <cell r="D114" t="str">
            <v>CHINMOY  BHATTACHARYA</v>
          </cell>
        </row>
        <row r="115">
          <cell r="A115">
            <v>200054</v>
          </cell>
          <cell r="B115" t="str">
            <v>200054</v>
          </cell>
          <cell r="C115">
            <v>113</v>
          </cell>
          <cell r="D115" t="str">
            <v>S.E.BHOGE</v>
          </cell>
        </row>
        <row r="116">
          <cell r="A116">
            <v>200069</v>
          </cell>
          <cell r="B116" t="str">
            <v>200069</v>
          </cell>
          <cell r="C116">
            <v>114</v>
          </cell>
          <cell r="D116" t="str">
            <v>SANJEEV JAIN</v>
          </cell>
        </row>
        <row r="117">
          <cell r="A117">
            <v>300188</v>
          </cell>
          <cell r="B117" t="str">
            <v>300188</v>
          </cell>
          <cell r="C117">
            <v>115</v>
          </cell>
          <cell r="D117" t="str">
            <v>JAYAPRAKASH G RAO</v>
          </cell>
        </row>
      </sheetData>
      <sheetData sheetId="1" refreshError="1"/>
      <sheetData sheetId="2">
        <row r="2">
          <cell r="A2" t="str">
            <v>1A1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st quarter"/>
      <sheetName val="2nd quarter"/>
      <sheetName val="3rd quarter"/>
      <sheetName val="4th quarter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902">
          <cell r="A902" t="str">
            <v>NO:</v>
          </cell>
          <cell r="D902" t="str">
            <v>MATERIAL</v>
          </cell>
          <cell r="F902">
            <v>109</v>
          </cell>
          <cell r="G902" t="str">
            <v>109 B</v>
          </cell>
          <cell r="H902" t="str">
            <v>SEWREE</v>
          </cell>
          <cell r="I902" t="str">
            <v>TALOJA</v>
          </cell>
          <cell r="J902" t="str">
            <v>KUTCH-1</v>
          </cell>
          <cell r="K902" t="str">
            <v>KUTCH-2</v>
          </cell>
          <cell r="L902" t="str">
            <v>KUTCH-O</v>
          </cell>
          <cell r="M902" t="str">
            <v>GIT</v>
          </cell>
          <cell r="N902" t="str">
            <v>BADDI</v>
          </cell>
          <cell r="O902">
            <v>109</v>
          </cell>
          <cell r="P902" t="str">
            <v>109 B</v>
          </cell>
          <cell r="Q902" t="str">
            <v>SEWREE</v>
          </cell>
          <cell r="R902" t="str">
            <v>TALOJA</v>
          </cell>
          <cell r="S902" t="str">
            <v>KUTCH-1</v>
          </cell>
          <cell r="T902" t="str">
            <v>KUTCH-2</v>
          </cell>
          <cell r="U902" t="str">
            <v>KUTCH-O</v>
          </cell>
          <cell r="V902" t="str">
            <v>GIT</v>
          </cell>
          <cell r="W902" t="str">
            <v>BADDI</v>
          </cell>
          <cell r="X902">
            <v>109</v>
          </cell>
          <cell r="Y902" t="str">
            <v>109 B</v>
          </cell>
          <cell r="Z902" t="str">
            <v>SEWREE</v>
          </cell>
          <cell r="AA902" t="str">
            <v>TALOJA</v>
          </cell>
          <cell r="AB902" t="str">
            <v>KUTCH-1</v>
          </cell>
          <cell r="AC902" t="str">
            <v>KUTCH-2</v>
          </cell>
          <cell r="AD902" t="str">
            <v>KUTCH-O</v>
          </cell>
          <cell r="AE902" t="str">
            <v>GIT</v>
          </cell>
          <cell r="AF902" t="str">
            <v>BADDI</v>
          </cell>
          <cell r="AG902">
            <v>109</v>
          </cell>
          <cell r="AH902" t="str">
            <v>109 B</v>
          </cell>
          <cell r="AI902" t="str">
            <v>SEWREE</v>
          </cell>
          <cell r="AJ902" t="str">
            <v>TALOJA</v>
          </cell>
          <cell r="AK902" t="str">
            <v>KUTCH-1</v>
          </cell>
          <cell r="AL902" t="str">
            <v>KUTCH-2</v>
          </cell>
          <cell r="AM902" t="str">
            <v>KUTCH-O</v>
          </cell>
          <cell r="AN902" t="str">
            <v>GIT</v>
          </cell>
          <cell r="AO902" t="str">
            <v>BADDI</v>
          </cell>
          <cell r="AP902">
            <v>109</v>
          </cell>
          <cell r="AQ902" t="str">
            <v>109 B</v>
          </cell>
          <cell r="AR902" t="str">
            <v>SEWREE</v>
          </cell>
          <cell r="AS902" t="str">
            <v>TALOJA</v>
          </cell>
          <cell r="AT902" t="str">
            <v>KUTCH-1</v>
          </cell>
          <cell r="AU902" t="str">
            <v>KUTCH-2</v>
          </cell>
          <cell r="AV902" t="str">
            <v>KUTCH-O</v>
          </cell>
          <cell r="AW902" t="str">
            <v>GIT</v>
          </cell>
          <cell r="AX902" t="str">
            <v>BADDI</v>
          </cell>
          <cell r="AY902">
            <v>109</v>
          </cell>
          <cell r="AZ902" t="str">
            <v>109 B</v>
          </cell>
          <cell r="BA902" t="str">
            <v>SEWREE</v>
          </cell>
          <cell r="BB902" t="str">
            <v>TALOJA</v>
          </cell>
          <cell r="BC902" t="str">
            <v>KUTCH-1</v>
          </cell>
          <cell r="BD902" t="str">
            <v>KUTCH-2</v>
          </cell>
          <cell r="BE902" t="str">
            <v>KUTCH-O</v>
          </cell>
          <cell r="BF902" t="str">
            <v>GIT</v>
          </cell>
          <cell r="BG902" t="str">
            <v>BADDI</v>
          </cell>
        </row>
        <row r="903">
          <cell r="A903" t="str">
            <v>RAW MATERIALS</v>
          </cell>
        </row>
        <row r="904">
          <cell r="A904">
            <v>1</v>
          </cell>
          <cell r="B904" t="str">
            <v>RM</v>
          </cell>
          <cell r="C904" t="str">
            <v>FM</v>
          </cell>
          <cell r="D904" t="str">
            <v>CPKO-5%</v>
          </cell>
          <cell r="E904" t="str">
            <v>CPKO-5%</v>
          </cell>
          <cell r="K904">
            <v>1805.3820000000001</v>
          </cell>
          <cell r="L904">
            <v>1564.769</v>
          </cell>
          <cell r="T904">
            <v>1097.1579999999999</v>
          </cell>
          <cell r="U904">
            <v>23.028999999999996</v>
          </cell>
          <cell r="V904">
            <v>69</v>
          </cell>
          <cell r="AC904">
            <v>435.06400000000002</v>
          </cell>
          <cell r="AD904">
            <v>2034.7439999999999</v>
          </cell>
          <cell r="AL904">
            <v>53.365000000000002</v>
          </cell>
          <cell r="AM904">
            <v>7665.7569999999996</v>
          </cell>
          <cell r="AU904">
            <v>2361.65</v>
          </cell>
          <cell r="AV904">
            <v>3836.8470000000002</v>
          </cell>
          <cell r="AW904">
            <v>31.81</v>
          </cell>
          <cell r="BD904">
            <v>2410.4899999999998</v>
          </cell>
          <cell r="BE904">
            <v>2768.5259999999998</v>
          </cell>
        </row>
        <row r="905">
          <cell r="A905">
            <v>2</v>
          </cell>
          <cell r="B905" t="str">
            <v>RM</v>
          </cell>
          <cell r="C905" t="str">
            <v>FM</v>
          </cell>
          <cell r="D905" t="str">
            <v>CPKO-23%</v>
          </cell>
          <cell r="E905" t="str">
            <v>CPKO-23%</v>
          </cell>
        </row>
        <row r="906">
          <cell r="A906">
            <v>3</v>
          </cell>
          <cell r="B906" t="str">
            <v>RM</v>
          </cell>
          <cell r="C906" t="str">
            <v>FM</v>
          </cell>
          <cell r="D906" t="str">
            <v>CNO-C</v>
          </cell>
          <cell r="E906" t="str">
            <v>CNO-C</v>
          </cell>
          <cell r="AS906">
            <v>19.183500000000002</v>
          </cell>
          <cell r="AW906">
            <v>15.58</v>
          </cell>
          <cell r="BB906">
            <v>76.734000000000009</v>
          </cell>
        </row>
        <row r="907">
          <cell r="A907">
            <v>4</v>
          </cell>
          <cell r="B907" t="str">
            <v>RM</v>
          </cell>
          <cell r="C907" t="str">
            <v>FM</v>
          </cell>
          <cell r="D907" t="str">
            <v>CNO-R</v>
          </cell>
          <cell r="E907" t="str">
            <v>CNO-R</v>
          </cell>
        </row>
        <row r="908">
          <cell r="A908">
            <v>5</v>
          </cell>
          <cell r="B908" t="str">
            <v>RM</v>
          </cell>
          <cell r="C908" t="str">
            <v>FM</v>
          </cell>
          <cell r="D908" t="str">
            <v>PKFAD</v>
          </cell>
          <cell r="E908" t="str">
            <v>PKFAD</v>
          </cell>
        </row>
        <row r="909">
          <cell r="A909">
            <v>6</v>
          </cell>
          <cell r="B909" t="str">
            <v>RM</v>
          </cell>
          <cell r="C909" t="str">
            <v>FM</v>
          </cell>
          <cell r="D909" t="str">
            <v>RBDPS</v>
          </cell>
          <cell r="E909" t="str">
            <v>RBDPS</v>
          </cell>
          <cell r="I909">
            <v>248.68</v>
          </cell>
          <cell r="K909">
            <v>258.79000000000002</v>
          </cell>
          <cell r="M909">
            <v>43.79</v>
          </cell>
          <cell r="R909">
            <v>340.29428571428571</v>
          </cell>
          <cell r="T909">
            <v>11.445</v>
          </cell>
          <cell r="AA909">
            <v>314.5422857142857</v>
          </cell>
          <cell r="AC909">
            <v>49.954999999999998</v>
          </cell>
          <cell r="AJ909">
            <v>75.34</v>
          </cell>
          <cell r="AL909">
            <v>92.775000000000006</v>
          </cell>
          <cell r="AU909">
            <v>92.775000000000006</v>
          </cell>
          <cell r="BB909">
            <v>64.38</v>
          </cell>
          <cell r="BD909">
            <v>92.775000000000006</v>
          </cell>
          <cell r="BF909">
            <v>87.62</v>
          </cell>
        </row>
        <row r="910">
          <cell r="A910">
            <v>7</v>
          </cell>
          <cell r="B910" t="str">
            <v>RM</v>
          </cell>
          <cell r="C910" t="str">
            <v>FM</v>
          </cell>
          <cell r="D910" t="str">
            <v>CPS-5%</v>
          </cell>
          <cell r="E910" t="str">
            <v>CPS-5%</v>
          </cell>
        </row>
        <row r="911">
          <cell r="A911">
            <v>8</v>
          </cell>
          <cell r="B911" t="str">
            <v>RM</v>
          </cell>
          <cell r="C911" t="str">
            <v>FM</v>
          </cell>
          <cell r="D911" t="str">
            <v>CPS-20%</v>
          </cell>
          <cell r="E911" t="str">
            <v>CPS-20%</v>
          </cell>
        </row>
        <row r="912">
          <cell r="A912">
            <v>9</v>
          </cell>
          <cell r="B912" t="str">
            <v>RM</v>
          </cell>
          <cell r="C912" t="str">
            <v>FM</v>
          </cell>
          <cell r="D912" t="str">
            <v>CPS-23%-HLL</v>
          </cell>
          <cell r="E912" t="str">
            <v>CPS-23%-HLL</v>
          </cell>
        </row>
        <row r="913">
          <cell r="A913">
            <v>10</v>
          </cell>
          <cell r="B913" t="str">
            <v>RM</v>
          </cell>
          <cell r="C913" t="str">
            <v>FM</v>
          </cell>
          <cell r="D913" t="str">
            <v>CPO</v>
          </cell>
          <cell r="E913" t="str">
            <v>CPO</v>
          </cell>
        </row>
        <row r="914">
          <cell r="A914">
            <v>11</v>
          </cell>
          <cell r="B914" t="str">
            <v>RM</v>
          </cell>
          <cell r="C914" t="str">
            <v>FM</v>
          </cell>
          <cell r="D914" t="str">
            <v>RBDPN</v>
          </cell>
          <cell r="E914" t="str">
            <v>RBDPN</v>
          </cell>
        </row>
        <row r="915">
          <cell r="A915">
            <v>12</v>
          </cell>
          <cell r="B915" t="str">
            <v>RM</v>
          </cell>
          <cell r="C915" t="str">
            <v>FM</v>
          </cell>
          <cell r="D915" t="str">
            <v>PFAD</v>
          </cell>
          <cell r="E915" t="str">
            <v>PFAD</v>
          </cell>
          <cell r="J915">
            <v>162.99600000000001</v>
          </cell>
          <cell r="K915">
            <v>674.99799999999993</v>
          </cell>
          <cell r="L915">
            <v>83.997</v>
          </cell>
          <cell r="T915">
            <v>21.858000000000001</v>
          </cell>
          <cell r="U915">
            <v>26.51</v>
          </cell>
          <cell r="V915">
            <v>182</v>
          </cell>
          <cell r="AA915">
            <v>360.52800000000002</v>
          </cell>
          <cell r="AC915">
            <v>332.59800000000001</v>
          </cell>
          <cell r="AD915">
            <v>26.51</v>
          </cell>
          <cell r="AE915">
            <v>46.17</v>
          </cell>
          <cell r="AJ915">
            <v>328.36</v>
          </cell>
          <cell r="AL915">
            <v>277.31900000000002</v>
          </cell>
          <cell r="AM915">
            <v>1182.0889999999999</v>
          </cell>
          <cell r="AR915">
            <v>1398.75</v>
          </cell>
          <cell r="AU915">
            <v>20.984000000000002</v>
          </cell>
          <cell r="AV915">
            <v>26.498000000000001</v>
          </cell>
          <cell r="AW915">
            <v>23.51</v>
          </cell>
          <cell r="BA915">
            <v>2777.92</v>
          </cell>
          <cell r="BB915">
            <v>294.14699999999999</v>
          </cell>
          <cell r="BD915">
            <v>20.984000000000002</v>
          </cell>
          <cell r="BE915">
            <v>26.498000000000001</v>
          </cell>
          <cell r="BF915">
            <v>142.69999999999999</v>
          </cell>
        </row>
        <row r="916">
          <cell r="A916">
            <v>13</v>
          </cell>
          <cell r="B916" t="str">
            <v>RM</v>
          </cell>
          <cell r="C916" t="str">
            <v>FM</v>
          </cell>
          <cell r="D916" t="str">
            <v>MUSTARD OIL-EXPELLER</v>
          </cell>
          <cell r="E916" t="str">
            <v>MUSTARD OIL-EXPELLER</v>
          </cell>
          <cell r="K916">
            <v>790.89499999999998</v>
          </cell>
          <cell r="T916">
            <v>807.61500000000001</v>
          </cell>
          <cell r="AL916">
            <v>157.19900000000001</v>
          </cell>
          <cell r="AN916">
            <v>16</v>
          </cell>
          <cell r="AU916">
            <v>263.10500000000002</v>
          </cell>
          <cell r="BD916">
            <v>5.2010000000000218</v>
          </cell>
        </row>
        <row r="917">
          <cell r="A917">
            <v>14</v>
          </cell>
          <cell r="B917" t="str">
            <v>RM</v>
          </cell>
          <cell r="C917" t="str">
            <v>FM</v>
          </cell>
          <cell r="D917" t="str">
            <v>MUSTARD OIL-REFINED</v>
          </cell>
          <cell r="E917" t="str">
            <v>MUSTARD OIL-REFINED</v>
          </cell>
          <cell r="AL917">
            <v>181.78</v>
          </cell>
        </row>
        <row r="918">
          <cell r="A918">
            <v>15</v>
          </cell>
          <cell r="B918" t="str">
            <v>RM</v>
          </cell>
          <cell r="C918" t="str">
            <v>FM</v>
          </cell>
          <cell r="D918" t="str">
            <v>CRUDE GLYCERINE</v>
          </cell>
          <cell r="E918" t="str">
            <v>CRUDE GLYCERINE</v>
          </cell>
          <cell r="F918">
            <v>264.62</v>
          </cell>
          <cell r="G918">
            <v>357.9</v>
          </cell>
          <cell r="J918">
            <v>1223.1969999999999</v>
          </cell>
          <cell r="K918">
            <v>1949.511</v>
          </cell>
          <cell r="O918">
            <v>301.3</v>
          </cell>
          <cell r="P918">
            <v>194.71</v>
          </cell>
          <cell r="R918">
            <v>794.6</v>
          </cell>
          <cell r="S918">
            <v>1140.9110000000001</v>
          </cell>
          <cell r="T918">
            <v>2177.3760000000002</v>
          </cell>
          <cell r="X918">
            <v>269.20999999999998</v>
          </cell>
          <cell r="Y918">
            <v>91.71</v>
          </cell>
          <cell r="AB918">
            <v>1037.703</v>
          </cell>
          <cell r="AC918">
            <v>2407.8220000000001</v>
          </cell>
          <cell r="AG918">
            <v>327.5</v>
          </cell>
          <cell r="AK918">
            <v>978.48199999999997</v>
          </cell>
          <cell r="AL918">
            <v>2474.8020000000001</v>
          </cell>
          <cell r="AP918">
            <v>345.84</v>
          </cell>
          <cell r="AQ918">
            <v>91.71</v>
          </cell>
          <cell r="AT918">
            <v>948.21799999999996</v>
          </cell>
          <cell r="AU918">
            <v>2317.2399999999998</v>
          </cell>
          <cell r="AY918">
            <v>281.64999999999998</v>
          </cell>
          <cell r="AZ918">
            <v>91.71</v>
          </cell>
          <cell r="BC918">
            <v>879.428</v>
          </cell>
          <cell r="BD918">
            <v>2449.2719999999999</v>
          </cell>
        </row>
        <row r="919">
          <cell r="A919">
            <v>16</v>
          </cell>
          <cell r="B919" t="str">
            <v>RM</v>
          </cell>
          <cell r="C919" t="str">
            <v>FM</v>
          </cell>
          <cell r="D919" t="str">
            <v>CAUSTIC SODA</v>
          </cell>
          <cell r="E919" t="str">
            <v>CAUSTIC SODA</v>
          </cell>
          <cell r="I919">
            <v>609.70000000000005</v>
          </cell>
          <cell r="J919">
            <v>153.61099999999999</v>
          </cell>
          <cell r="V919">
            <v>128</v>
          </cell>
          <cell r="AA919">
            <v>1157.8</v>
          </cell>
          <cell r="AB919">
            <v>181.316</v>
          </cell>
          <cell r="AE919">
            <v>17.14</v>
          </cell>
          <cell r="AH919">
            <v>91.71</v>
          </cell>
          <cell r="AJ919">
            <v>1262</v>
          </cell>
          <cell r="AK919">
            <v>200.26900000000001</v>
          </cell>
          <cell r="AN919">
            <v>42.81</v>
          </cell>
          <cell r="AS919">
            <v>1684.2</v>
          </cell>
          <cell r="AT919">
            <v>151.47300000000001</v>
          </cell>
          <cell r="BB919">
            <v>1739.4</v>
          </cell>
          <cell r="BC919">
            <v>131.303</v>
          </cell>
        </row>
        <row r="920">
          <cell r="A920">
            <v>17</v>
          </cell>
          <cell r="B920" t="str">
            <v>RM</v>
          </cell>
          <cell r="C920" t="str">
            <v>FM</v>
          </cell>
          <cell r="D920" t="str">
            <v>MINERAL OIL(SAVANOL-82)</v>
          </cell>
          <cell r="E920" t="str">
            <v>MINERAL OIL(SAVANOL-82)</v>
          </cell>
        </row>
        <row r="921">
          <cell r="A921">
            <v>237</v>
          </cell>
          <cell r="B921" t="str">
            <v>RM</v>
          </cell>
          <cell r="C921" t="str">
            <v>FM</v>
          </cell>
          <cell r="D921" t="str">
            <v>NEEM OIL</v>
          </cell>
          <cell r="E921" t="str">
            <v>NEEM OIL</v>
          </cell>
          <cell r="J921">
            <v>38.118000000000002</v>
          </cell>
          <cell r="S921">
            <v>38.118000000000002</v>
          </cell>
          <cell r="AB921">
            <v>38.118000000000002</v>
          </cell>
          <cell r="AK921">
            <v>38.118000000000002</v>
          </cell>
        </row>
        <row r="922">
          <cell r="D922" t="str">
            <v>RM TOTAL</v>
          </cell>
          <cell r="E922" t="str">
            <v>RM TOTAL</v>
          </cell>
          <cell r="F922">
            <v>264.62</v>
          </cell>
          <cell r="G922">
            <v>357.9</v>
          </cell>
          <cell r="H922">
            <v>0</v>
          </cell>
          <cell r="I922">
            <v>858.38000000000011</v>
          </cell>
          <cell r="J922">
            <v>1577.922</v>
          </cell>
          <cell r="K922">
            <v>5479.576</v>
          </cell>
          <cell r="L922">
            <v>1648.7660000000001</v>
          </cell>
          <cell r="M922">
            <v>43.79</v>
          </cell>
          <cell r="N922">
            <v>0</v>
          </cell>
          <cell r="O922">
            <v>301.3</v>
          </cell>
          <cell r="P922">
            <v>194.71</v>
          </cell>
          <cell r="Q922">
            <v>0</v>
          </cell>
          <cell r="R922">
            <v>1134.8942857142856</v>
          </cell>
          <cell r="S922">
            <v>1179.029</v>
          </cell>
          <cell r="T922">
            <v>4115.4520000000002</v>
          </cell>
          <cell r="U922">
            <v>49.539000000000001</v>
          </cell>
          <cell r="V922">
            <v>379</v>
          </cell>
          <cell r="W922">
            <v>0</v>
          </cell>
          <cell r="X922">
            <v>269.20999999999998</v>
          </cell>
          <cell r="Y922">
            <v>91.71</v>
          </cell>
          <cell r="Z922">
            <v>0</v>
          </cell>
          <cell r="AA922">
            <v>1832.8702857142857</v>
          </cell>
          <cell r="AB922">
            <v>1257.1369999999999</v>
          </cell>
          <cell r="AC922">
            <v>3225.4390000000003</v>
          </cell>
          <cell r="AD922">
            <v>2061.2539999999999</v>
          </cell>
          <cell r="AE922">
            <v>63.31</v>
          </cell>
          <cell r="AF922">
            <v>0</v>
          </cell>
          <cell r="AG922">
            <v>327.5</v>
          </cell>
          <cell r="AH922">
            <v>91.71</v>
          </cell>
          <cell r="AI922">
            <v>0</v>
          </cell>
          <cell r="AJ922">
            <v>1665.7</v>
          </cell>
          <cell r="AK922">
            <v>1216.8689999999999</v>
          </cell>
          <cell r="AL922">
            <v>3237.2400000000002</v>
          </cell>
          <cell r="AM922">
            <v>8847.8459999999995</v>
          </cell>
          <cell r="AN922">
            <v>58.81</v>
          </cell>
          <cell r="AO922">
            <v>0</v>
          </cell>
          <cell r="AP922">
            <v>345.84</v>
          </cell>
          <cell r="AQ922">
            <v>91.71</v>
          </cell>
          <cell r="AR922">
            <v>1398.75</v>
          </cell>
          <cell r="AS922">
            <v>1703.3835000000001</v>
          </cell>
          <cell r="AT922">
            <v>1099.691</v>
          </cell>
          <cell r="AU922">
            <v>5055.7539999999999</v>
          </cell>
          <cell r="AV922">
            <v>3863.3450000000003</v>
          </cell>
          <cell r="AW922">
            <v>70.900000000000006</v>
          </cell>
          <cell r="AX922">
            <v>0</v>
          </cell>
          <cell r="AY922">
            <v>281.64999999999998</v>
          </cell>
          <cell r="AZ922">
            <v>91.71</v>
          </cell>
          <cell r="BA922">
            <v>2777.92</v>
          </cell>
          <cell r="BB922">
            <v>2174.6610000000001</v>
          </cell>
          <cell r="BC922">
            <v>1010.731</v>
          </cell>
          <cell r="BD922">
            <v>4978.7219999999998</v>
          </cell>
          <cell r="BE922">
            <v>2795.0239999999999</v>
          </cell>
          <cell r="BF922">
            <v>230.32</v>
          </cell>
          <cell r="BG922">
            <v>0</v>
          </cell>
        </row>
        <row r="923">
          <cell r="A923" t="str">
            <v>SPLIT FATTY ACIDS</v>
          </cell>
        </row>
        <row r="924">
          <cell r="A924">
            <v>18</v>
          </cell>
          <cell r="B924" t="str">
            <v>SRM</v>
          </cell>
          <cell r="C924" t="str">
            <v>FM</v>
          </cell>
          <cell r="D924" t="str">
            <v>SCPKO</v>
          </cell>
          <cell r="E924" t="str">
            <v>SCPKO</v>
          </cell>
          <cell r="G924">
            <v>792.15</v>
          </cell>
          <cell r="I924">
            <v>345.303</v>
          </cell>
          <cell r="K924">
            <v>341.04200000000003</v>
          </cell>
          <cell r="M924">
            <v>661.44</v>
          </cell>
          <cell r="P924">
            <v>400.86</v>
          </cell>
          <cell r="R924">
            <v>179.04600000000002</v>
          </cell>
          <cell r="T924">
            <v>393.22899999999993</v>
          </cell>
          <cell r="V924">
            <v>959.59</v>
          </cell>
          <cell r="Y924">
            <v>517.14</v>
          </cell>
          <cell r="AA924">
            <v>458.577</v>
          </cell>
          <cell r="AC924">
            <v>1237.2049999999999</v>
          </cell>
          <cell r="AE924">
            <v>1460.46</v>
          </cell>
          <cell r="AH924">
            <v>1330.48</v>
          </cell>
          <cell r="AJ924">
            <v>476.84700000000004</v>
          </cell>
          <cell r="AL924">
            <v>1651.412</v>
          </cell>
          <cell r="AN924">
            <v>633.09</v>
          </cell>
          <cell r="AQ924">
            <v>1238.76</v>
          </cell>
          <cell r="AS924">
            <v>365.4</v>
          </cell>
          <cell r="AU924">
            <v>666.34699999999987</v>
          </cell>
          <cell r="AW924">
            <v>863.63</v>
          </cell>
          <cell r="AZ924">
            <v>1435.66</v>
          </cell>
          <cell r="BB924">
            <v>498.77100000000007</v>
          </cell>
          <cell r="BD924">
            <v>1113.921</v>
          </cell>
          <cell r="BF924">
            <v>461.5</v>
          </cell>
        </row>
        <row r="925">
          <cell r="A925">
            <v>19</v>
          </cell>
          <cell r="B925" t="str">
            <v>SRM</v>
          </cell>
          <cell r="C925" t="str">
            <v>FM</v>
          </cell>
          <cell r="D925" t="str">
            <v>SCNO</v>
          </cell>
          <cell r="E925" t="str">
            <v>SCNO</v>
          </cell>
        </row>
        <row r="926">
          <cell r="A926">
            <v>20</v>
          </cell>
          <cell r="B926" t="str">
            <v>SRM</v>
          </cell>
          <cell r="C926" t="str">
            <v>FM</v>
          </cell>
          <cell r="D926" t="str">
            <v>SCPKO-HLL</v>
          </cell>
          <cell r="E926" t="str">
            <v>SCPKO-HLL</v>
          </cell>
        </row>
        <row r="927">
          <cell r="A927">
            <v>21</v>
          </cell>
          <cell r="B927" t="str">
            <v>SRM</v>
          </cell>
          <cell r="C927" t="str">
            <v>FM</v>
          </cell>
          <cell r="D927" t="str">
            <v>SPKFAD</v>
          </cell>
          <cell r="E927" t="str">
            <v>SPKFAD</v>
          </cell>
          <cell r="K927">
            <v>209.65</v>
          </cell>
          <cell r="T927">
            <v>209.65</v>
          </cell>
          <cell r="AC927">
            <v>209.65</v>
          </cell>
          <cell r="AL927">
            <v>209.65</v>
          </cell>
          <cell r="AU927">
            <v>209.65</v>
          </cell>
          <cell r="BD927">
            <v>209.65</v>
          </cell>
        </row>
        <row r="928">
          <cell r="A928">
            <v>22</v>
          </cell>
          <cell r="B928" t="str">
            <v>SRM</v>
          </cell>
          <cell r="C928" t="str">
            <v>FM</v>
          </cell>
          <cell r="D928" t="str">
            <v>SCPS</v>
          </cell>
          <cell r="E928" t="str">
            <v>SCPS</v>
          </cell>
        </row>
        <row r="929">
          <cell r="A929">
            <v>23</v>
          </cell>
          <cell r="B929" t="str">
            <v>SRM</v>
          </cell>
          <cell r="C929" t="str">
            <v>FM</v>
          </cell>
          <cell r="D929" t="str">
            <v>SRBDPS</v>
          </cell>
          <cell r="E929" t="str">
            <v>SRBDPS</v>
          </cell>
          <cell r="G929">
            <v>201.39660000000001</v>
          </cell>
          <cell r="K929">
            <v>28.806999999999999</v>
          </cell>
          <cell r="P929">
            <v>201.39660000000001</v>
          </cell>
          <cell r="T929">
            <v>37.424999999999997</v>
          </cell>
          <cell r="V929">
            <v>233</v>
          </cell>
          <cell r="X929">
            <v>410.4</v>
          </cell>
          <cell r="AC929">
            <v>37.424999999999997</v>
          </cell>
          <cell r="AG929">
            <v>505.30500000000001</v>
          </cell>
          <cell r="AL929">
            <v>37.424999999999997</v>
          </cell>
          <cell r="AP929">
            <v>505.30500000000001</v>
          </cell>
          <cell r="AU929">
            <v>37.424999999999997</v>
          </cell>
          <cell r="AY929">
            <v>505.30500000000001</v>
          </cell>
          <cell r="BD929">
            <v>37.424999999999997</v>
          </cell>
        </row>
        <row r="930">
          <cell r="A930">
            <v>24</v>
          </cell>
          <cell r="B930" t="str">
            <v>SRM</v>
          </cell>
          <cell r="C930" t="str">
            <v>FM</v>
          </cell>
          <cell r="D930" t="str">
            <v>SCPO</v>
          </cell>
          <cell r="E930" t="str">
            <v>SCPO</v>
          </cell>
        </row>
        <row r="931">
          <cell r="A931">
            <v>25</v>
          </cell>
          <cell r="B931" t="str">
            <v>SRM</v>
          </cell>
          <cell r="C931" t="str">
            <v>FM</v>
          </cell>
          <cell r="D931" t="str">
            <v>SPFAD</v>
          </cell>
          <cell r="E931" t="str">
            <v>SPFAD</v>
          </cell>
          <cell r="F931">
            <v>163.30500000000001</v>
          </cell>
          <cell r="G931">
            <v>18.75</v>
          </cell>
          <cell r="H931">
            <v>4.42</v>
          </cell>
          <cell r="K931">
            <v>524.18499999999995</v>
          </cell>
          <cell r="M931">
            <v>832.73</v>
          </cell>
          <cell r="P931">
            <v>175</v>
          </cell>
          <cell r="Q931">
            <v>4.42</v>
          </cell>
          <cell r="R931">
            <v>239.12571428571425</v>
          </cell>
          <cell r="S931">
            <v>101.568</v>
          </cell>
          <cell r="T931">
            <v>410.20400000000001</v>
          </cell>
          <cell r="Z931">
            <v>4.42</v>
          </cell>
          <cell r="AA931">
            <v>67.139142857142829</v>
          </cell>
          <cell r="AB931">
            <v>96.86</v>
          </cell>
          <cell r="AC931">
            <v>126.414</v>
          </cell>
          <cell r="AI931">
            <v>4.42</v>
          </cell>
          <cell r="AJ931">
            <v>82.77428571428571</v>
          </cell>
          <cell r="AK931">
            <v>41.616</v>
          </cell>
          <cell r="AL931">
            <v>152.59299999999999</v>
          </cell>
          <cell r="AN931">
            <v>111.22</v>
          </cell>
          <cell r="AP931">
            <v>25.866</v>
          </cell>
          <cell r="AR931">
            <v>4.42</v>
          </cell>
          <cell r="AS931">
            <v>36.78857142857143</v>
          </cell>
          <cell r="AU931">
            <v>180.357</v>
          </cell>
          <cell r="AW931">
            <v>794.41</v>
          </cell>
          <cell r="BA931">
            <v>4.42</v>
          </cell>
          <cell r="BB931">
            <v>202.33714285714285</v>
          </cell>
          <cell r="BC931">
            <v>120.56399999999999</v>
          </cell>
          <cell r="BD931">
            <v>67.057000000000002</v>
          </cell>
          <cell r="BF931">
            <v>104.56</v>
          </cell>
        </row>
        <row r="932">
          <cell r="A932">
            <v>26</v>
          </cell>
          <cell r="B932" t="str">
            <v>SRM</v>
          </cell>
          <cell r="C932" t="str">
            <v>FM</v>
          </cell>
          <cell r="D932" t="str">
            <v>SCPS-HLL</v>
          </cell>
          <cell r="E932" t="str">
            <v>SCPS-HLL</v>
          </cell>
        </row>
        <row r="933">
          <cell r="A933">
            <v>27</v>
          </cell>
          <cell r="B933" t="str">
            <v>SRM</v>
          </cell>
          <cell r="C933" t="str">
            <v>FM</v>
          </cell>
          <cell r="D933" t="str">
            <v>SMUSTARD OIL</v>
          </cell>
          <cell r="E933" t="str">
            <v>SMUSTARD OIL</v>
          </cell>
          <cell r="AC933">
            <v>11.241</v>
          </cell>
          <cell r="AU933">
            <v>407.7</v>
          </cell>
          <cell r="BD933">
            <v>339.74599999999998</v>
          </cell>
        </row>
        <row r="934">
          <cell r="A934">
            <v>28</v>
          </cell>
          <cell r="B934" t="str">
            <v>SRM</v>
          </cell>
          <cell r="C934" t="str">
            <v>FM</v>
          </cell>
          <cell r="D934" t="str">
            <v>SMUSTARD OIL-EXPELLER</v>
          </cell>
          <cell r="E934" t="str">
            <v>SMUSTARD OIL-EXPELLER</v>
          </cell>
          <cell r="I934">
            <v>590.12099999999998</v>
          </cell>
          <cell r="K934">
            <v>626.49099999999999</v>
          </cell>
          <cell r="Q934">
            <v>40.11</v>
          </cell>
          <cell r="R934">
            <v>634.42399999999998</v>
          </cell>
          <cell r="T934">
            <v>214.50100000000003</v>
          </cell>
          <cell r="V934">
            <v>345.18</v>
          </cell>
          <cell r="Z934">
            <v>40.11</v>
          </cell>
          <cell r="AA934">
            <v>886.20600000000002</v>
          </cell>
          <cell r="AC934">
            <v>433.92500000000001</v>
          </cell>
          <cell r="AI934">
            <v>40.11</v>
          </cell>
          <cell r="AJ934">
            <v>263.08799999999997</v>
          </cell>
          <cell r="AR934">
            <v>40.11</v>
          </cell>
          <cell r="BA934">
            <v>40.11</v>
          </cell>
          <cell r="BB934">
            <v>91.35</v>
          </cell>
          <cell r="BF934">
            <v>291.35000000000002</v>
          </cell>
        </row>
        <row r="935">
          <cell r="D935" t="str">
            <v>SRM TOTAL</v>
          </cell>
          <cell r="E935" t="str">
            <v>SRM TOTAL</v>
          </cell>
          <cell r="F935">
            <v>163.30500000000001</v>
          </cell>
          <cell r="G935">
            <v>1012.2966</v>
          </cell>
          <cell r="H935">
            <v>4.42</v>
          </cell>
          <cell r="I935">
            <v>935.42399999999998</v>
          </cell>
          <cell r="J935">
            <v>0</v>
          </cell>
          <cell r="K935">
            <v>1730.175</v>
          </cell>
          <cell r="L935">
            <v>0</v>
          </cell>
          <cell r="M935">
            <v>1494.17</v>
          </cell>
          <cell r="N935">
            <v>0</v>
          </cell>
          <cell r="O935">
            <v>0</v>
          </cell>
          <cell r="P935">
            <v>777.25660000000005</v>
          </cell>
          <cell r="Q935">
            <v>44.53</v>
          </cell>
          <cell r="R935">
            <v>1052.5957142857142</v>
          </cell>
          <cell r="S935">
            <v>101.568</v>
          </cell>
          <cell r="T935">
            <v>1265.0089999999998</v>
          </cell>
          <cell r="U935">
            <v>0</v>
          </cell>
          <cell r="V935">
            <v>1537.7700000000002</v>
          </cell>
          <cell r="W935">
            <v>0</v>
          </cell>
          <cell r="X935">
            <v>410.4</v>
          </cell>
          <cell r="Y935">
            <v>517.14</v>
          </cell>
          <cell r="Z935">
            <v>44.53</v>
          </cell>
          <cell r="AA935">
            <v>1411.9221428571427</v>
          </cell>
          <cell r="AB935">
            <v>96.86</v>
          </cell>
          <cell r="AC935">
            <v>2055.86</v>
          </cell>
          <cell r="AD935">
            <v>0</v>
          </cell>
          <cell r="AE935">
            <v>1460.46</v>
          </cell>
          <cell r="AF935">
            <v>0</v>
          </cell>
          <cell r="AG935">
            <v>505.30500000000001</v>
          </cell>
          <cell r="AH935">
            <v>1330.48</v>
          </cell>
          <cell r="AI935">
            <v>44.53</v>
          </cell>
          <cell r="AJ935">
            <v>822.70928571428567</v>
          </cell>
          <cell r="AK935">
            <v>41.616</v>
          </cell>
          <cell r="AL935">
            <v>2051.08</v>
          </cell>
          <cell r="AM935">
            <v>0</v>
          </cell>
          <cell r="AN935">
            <v>744.31000000000006</v>
          </cell>
          <cell r="AO935">
            <v>0</v>
          </cell>
          <cell r="AP935">
            <v>531.17100000000005</v>
          </cell>
          <cell r="AQ935">
            <v>1238.76</v>
          </cell>
          <cell r="AR935">
            <v>44.53</v>
          </cell>
          <cell r="AS935">
            <v>402.18857142857144</v>
          </cell>
          <cell r="AT935">
            <v>0</v>
          </cell>
          <cell r="AU935">
            <v>1501.4789999999998</v>
          </cell>
          <cell r="AV935">
            <v>0</v>
          </cell>
          <cell r="AW935">
            <v>1658.04</v>
          </cell>
          <cell r="AX935">
            <v>0</v>
          </cell>
          <cell r="AY935">
            <v>505.30500000000001</v>
          </cell>
          <cell r="AZ935">
            <v>1435.66</v>
          </cell>
          <cell r="BA935">
            <v>44.53</v>
          </cell>
          <cell r="BB935">
            <v>792.45814285714289</v>
          </cell>
          <cell r="BC935">
            <v>120.56399999999999</v>
          </cell>
          <cell r="BD935">
            <v>1767.799</v>
          </cell>
          <cell r="BE935">
            <v>0</v>
          </cell>
          <cell r="BF935">
            <v>857.41</v>
          </cell>
          <cell r="BG935">
            <v>0</v>
          </cell>
        </row>
        <row r="936">
          <cell r="A936" t="str">
            <v>IN-PROCESS FATTY ACIDS</v>
          </cell>
        </row>
        <row r="937">
          <cell r="A937">
            <v>29</v>
          </cell>
          <cell r="B937" t="str">
            <v>IPRM</v>
          </cell>
          <cell r="C937" t="str">
            <v>FM</v>
          </cell>
          <cell r="D937" t="str">
            <v>B/PSCPKO&gt;C14</v>
          </cell>
          <cell r="E937" t="str">
            <v xml:space="preserve">B/P PKO </v>
          </cell>
          <cell r="F937">
            <v>200.4</v>
          </cell>
          <cell r="G937">
            <v>340.12440000000004</v>
          </cell>
          <cell r="I937">
            <v>134.06700000000001</v>
          </cell>
          <cell r="O937">
            <v>166.8</v>
          </cell>
          <cell r="P937">
            <v>421.84260000000006</v>
          </cell>
          <cell r="R937">
            <v>87.435000000000002</v>
          </cell>
          <cell r="V937">
            <v>97.85</v>
          </cell>
          <cell r="X937">
            <v>99.215999999999994</v>
          </cell>
          <cell r="Y937">
            <v>948.57</v>
          </cell>
          <cell r="AA937">
            <v>113.24914285714286</v>
          </cell>
          <cell r="AG937">
            <v>267.55</v>
          </cell>
          <cell r="AH937">
            <v>464.91030000000006</v>
          </cell>
          <cell r="AJ937">
            <v>614</v>
          </cell>
          <cell r="AP937">
            <v>207.6</v>
          </cell>
          <cell r="AQ937">
            <v>66.257999999999996</v>
          </cell>
          <cell r="AS937">
            <v>398.9</v>
          </cell>
          <cell r="AY937">
            <v>207.6</v>
          </cell>
          <cell r="AZ937">
            <v>66.257999999999996</v>
          </cell>
          <cell r="BB937">
            <v>110.36571428571429</v>
          </cell>
        </row>
        <row r="938">
          <cell r="A938">
            <v>30</v>
          </cell>
          <cell r="B938" t="str">
            <v>IPRM</v>
          </cell>
          <cell r="C938" t="str">
            <v>FM</v>
          </cell>
          <cell r="D938" t="str">
            <v>B/P CNO&gt;C14</v>
          </cell>
          <cell r="E938" t="str">
            <v>B/P CNO&gt;C14</v>
          </cell>
        </row>
        <row r="939">
          <cell r="A939">
            <v>31</v>
          </cell>
          <cell r="B939" t="str">
            <v>IPRM</v>
          </cell>
          <cell r="C939" t="str">
            <v>FM</v>
          </cell>
          <cell r="D939" t="str">
            <v>SB/PSCPKO&gt;C14</v>
          </cell>
          <cell r="E939" t="str">
            <v>S B/P PKO</v>
          </cell>
        </row>
        <row r="940">
          <cell r="A940">
            <v>32</v>
          </cell>
          <cell r="B940" t="str">
            <v>IPRM</v>
          </cell>
          <cell r="C940" t="str">
            <v>FM</v>
          </cell>
          <cell r="D940" t="str">
            <v>B/PSCNO&gt;C14</v>
          </cell>
          <cell r="E940" t="str">
            <v>S B/P CNO</v>
          </cell>
        </row>
        <row r="941">
          <cell r="A941">
            <v>33</v>
          </cell>
          <cell r="B941" t="str">
            <v>IPRM</v>
          </cell>
          <cell r="C941" t="str">
            <v>SM</v>
          </cell>
          <cell r="D941" t="str">
            <v>B/PSCPKO&gt;C16</v>
          </cell>
          <cell r="E941" t="str">
            <v>B/P&gt;C16 - OLEIC K</v>
          </cell>
        </row>
        <row r="942">
          <cell r="A942">
            <v>34</v>
          </cell>
          <cell r="B942" t="str">
            <v>IPRM</v>
          </cell>
          <cell r="C942" t="str">
            <v>SM</v>
          </cell>
          <cell r="D942" t="str">
            <v>HYD C16/C18 FOR DTP-7</v>
          </cell>
          <cell r="E942" t="str">
            <v>HYD C16/C18 FOR DTP-7</v>
          </cell>
        </row>
        <row r="943">
          <cell r="A943">
            <v>35</v>
          </cell>
          <cell r="B943" t="str">
            <v>IPRM</v>
          </cell>
          <cell r="C943" t="str">
            <v>NM</v>
          </cell>
          <cell r="D943" t="str">
            <v>L/E PKO(C6-C8)-C6@65%</v>
          </cell>
          <cell r="E943" t="str">
            <v>C6&gt;50%</v>
          </cell>
          <cell r="X943">
            <v>268.94000000000005</v>
          </cell>
        </row>
        <row r="944">
          <cell r="A944">
            <v>36</v>
          </cell>
          <cell r="B944" t="str">
            <v>IPRM</v>
          </cell>
          <cell r="C944" t="str">
            <v>FM</v>
          </cell>
          <cell r="D944" t="str">
            <v>L/E PKO(C6-C12)</v>
          </cell>
          <cell r="E944" t="str">
            <v>TALOJA</v>
          </cell>
          <cell r="F944">
            <v>148.43</v>
          </cell>
          <cell r="G944">
            <v>1382.16</v>
          </cell>
          <cell r="I944">
            <v>30.133071428571434</v>
          </cell>
          <cell r="O944">
            <v>160.64249999999998</v>
          </cell>
          <cell r="P944">
            <v>1382.16</v>
          </cell>
          <cell r="R944">
            <v>148.64571428571429</v>
          </cell>
          <cell r="Y944">
            <v>1258.1199999999999</v>
          </cell>
          <cell r="AA944">
            <v>72.70714285714287</v>
          </cell>
          <cell r="AG944">
            <v>266.23</v>
          </cell>
          <cell r="AH944">
            <v>1404.31</v>
          </cell>
          <cell r="AJ944">
            <v>104.825</v>
          </cell>
          <cell r="AP944">
            <v>268.20999999999998</v>
          </cell>
          <cell r="AQ944">
            <v>1630.24</v>
          </cell>
          <cell r="AS944">
            <v>151.06928571428571</v>
          </cell>
          <cell r="AY944">
            <v>269.94</v>
          </cell>
          <cell r="AZ944">
            <v>1652.39</v>
          </cell>
          <cell r="BB944">
            <v>210.8507142857143</v>
          </cell>
        </row>
        <row r="945">
          <cell r="A945">
            <v>37</v>
          </cell>
          <cell r="B945" t="str">
            <v>IPRM</v>
          </cell>
          <cell r="C945" t="str">
            <v>FM</v>
          </cell>
          <cell r="D945" t="str">
            <v>HYD.L/EPKO(C6-C12)</v>
          </cell>
          <cell r="E945" t="str">
            <v>H L/E PKO</v>
          </cell>
          <cell r="G945">
            <v>138.16836000000001</v>
          </cell>
          <cell r="I945">
            <v>163.995</v>
          </cell>
          <cell r="O945">
            <v>86.111999999999995</v>
          </cell>
          <cell r="P945">
            <v>240.01236</v>
          </cell>
          <cell r="Y945">
            <v>248.49936000000002</v>
          </cell>
          <cell r="AH945">
            <v>250.19676000000001</v>
          </cell>
          <cell r="AQ945">
            <v>250.19676000000001</v>
          </cell>
          <cell r="AY945">
            <v>27.143999999999998</v>
          </cell>
          <cell r="AZ945">
            <v>4.07376</v>
          </cell>
        </row>
        <row r="946">
          <cell r="A946">
            <v>38</v>
          </cell>
          <cell r="B946" t="str">
            <v>IPRM</v>
          </cell>
          <cell r="C946" t="str">
            <v>FM</v>
          </cell>
          <cell r="D946" t="str">
            <v>L/E PKO(C8-C12)</v>
          </cell>
          <cell r="E946" t="str">
            <v>L/E PKO</v>
          </cell>
          <cell r="G946">
            <v>408.26600000000002</v>
          </cell>
          <cell r="P946">
            <v>408.26600000000002</v>
          </cell>
          <cell r="Y946">
            <v>377.39600000000002</v>
          </cell>
          <cell r="AH946">
            <v>377.39600000000002</v>
          </cell>
          <cell r="AP946">
            <v>27.768000000000001</v>
          </cell>
          <cell r="AY946">
            <v>135.13499999999999</v>
          </cell>
        </row>
        <row r="947">
          <cell r="A947">
            <v>39</v>
          </cell>
          <cell r="B947" t="str">
            <v>IPRM</v>
          </cell>
          <cell r="C947" t="str">
            <v>FM</v>
          </cell>
          <cell r="D947" t="str">
            <v>L/E PKO(C10-C12)</v>
          </cell>
          <cell r="E947" t="str">
            <v>B/P OF C8 H</v>
          </cell>
          <cell r="P947">
            <v>118.935</v>
          </cell>
          <cell r="X947">
            <v>75.239999999999995</v>
          </cell>
          <cell r="Y947">
            <v>117.34920000000001</v>
          </cell>
          <cell r="AP947">
            <v>273.60000000000002</v>
          </cell>
          <cell r="AY947">
            <v>300.60000000000002</v>
          </cell>
        </row>
        <row r="948">
          <cell r="A948">
            <v>40</v>
          </cell>
          <cell r="B948" t="str">
            <v>IPRM</v>
          </cell>
          <cell r="C948" t="str">
            <v>FM</v>
          </cell>
          <cell r="D948" t="str">
            <v>C12+C14+C16-PKO/CNO</v>
          </cell>
          <cell r="E948" t="str">
            <v>C12+C14+C16-PKO/CNO</v>
          </cell>
        </row>
        <row r="949">
          <cell r="A949">
            <v>41</v>
          </cell>
          <cell r="B949" t="str">
            <v>IPRM</v>
          </cell>
          <cell r="C949" t="str">
            <v>FM</v>
          </cell>
          <cell r="D949" t="str">
            <v>C14+C16(C14~60)</v>
          </cell>
          <cell r="E949" t="str">
            <v>C14+C16(C14~60)</v>
          </cell>
        </row>
        <row r="950">
          <cell r="A950">
            <v>42</v>
          </cell>
          <cell r="B950" t="str">
            <v>IPRM</v>
          </cell>
          <cell r="C950" t="str">
            <v>FM</v>
          </cell>
          <cell r="D950" t="str">
            <v>C14+C16+C18(C16@65%)</v>
          </cell>
          <cell r="E950" t="str">
            <v>C14+C16+C18(C16@65%)</v>
          </cell>
        </row>
        <row r="951">
          <cell r="A951">
            <v>43</v>
          </cell>
          <cell r="B951" t="str">
            <v>IPRM</v>
          </cell>
          <cell r="C951" t="str">
            <v>FM</v>
          </cell>
          <cell r="D951" t="str">
            <v>C16+C18-PFAD/PKO(C16@80%)</v>
          </cell>
          <cell r="E951" t="str">
            <v>C16+C18-PFAD/PKO(C16@80%)</v>
          </cell>
        </row>
        <row r="952">
          <cell r="A952">
            <v>44</v>
          </cell>
          <cell r="B952" t="str">
            <v>IPRM</v>
          </cell>
          <cell r="C952" t="str">
            <v>NM</v>
          </cell>
          <cell r="D952" t="str">
            <v>L/E'S OF  S.B</v>
          </cell>
          <cell r="E952" t="str">
            <v>L/E'S OF  S.B</v>
          </cell>
          <cell r="F952">
            <v>8.3975000000000009</v>
          </cell>
          <cell r="G952">
            <v>14.272200000000002</v>
          </cell>
          <cell r="H952">
            <v>14.59</v>
          </cell>
          <cell r="I952">
            <v>137</v>
          </cell>
          <cell r="O952">
            <v>8.3975000000000009</v>
          </cell>
          <cell r="Q952">
            <v>14.59</v>
          </cell>
          <cell r="X952">
            <v>8.3975000000000009</v>
          </cell>
          <cell r="Z952">
            <v>14.59</v>
          </cell>
          <cell r="AI952">
            <v>14.59</v>
          </cell>
          <cell r="AJ952">
            <v>17</v>
          </cell>
          <cell r="AR952">
            <v>14.59</v>
          </cell>
          <cell r="BA952">
            <v>14.59</v>
          </cell>
        </row>
        <row r="953">
          <cell r="A953">
            <v>45</v>
          </cell>
          <cell r="B953" t="str">
            <v>IPRM</v>
          </cell>
          <cell r="C953" t="str">
            <v>NM</v>
          </cell>
          <cell r="D953" t="str">
            <v>BAD C8/C10</v>
          </cell>
          <cell r="E953" t="str">
            <v>BAD C8/C10</v>
          </cell>
          <cell r="F953">
            <v>0.312</v>
          </cell>
          <cell r="G953">
            <v>42.044402499999997</v>
          </cell>
          <cell r="O953">
            <v>29.952000000000002</v>
          </cell>
          <cell r="X953">
            <v>56.472000000000001</v>
          </cell>
          <cell r="AA953">
            <v>60</v>
          </cell>
          <cell r="AG953">
            <v>26.207999999999998</v>
          </cell>
          <cell r="AJ953">
            <v>23</v>
          </cell>
          <cell r="AP953">
            <v>25.271999999999998</v>
          </cell>
          <cell r="AY953">
            <v>99.84</v>
          </cell>
        </row>
        <row r="954">
          <cell r="A954">
            <v>46</v>
          </cell>
          <cell r="B954" t="str">
            <v>IPRM</v>
          </cell>
          <cell r="C954" t="str">
            <v>FM</v>
          </cell>
          <cell r="D954" t="str">
            <v>L/E PKO(C12@80%)</v>
          </cell>
          <cell r="E954" t="str">
            <v>B/P OF C10</v>
          </cell>
          <cell r="F954">
            <v>112.36499999999999</v>
          </cell>
          <cell r="AH954">
            <v>196.63920000000002</v>
          </cell>
        </row>
        <row r="955">
          <cell r="A955">
            <v>47</v>
          </cell>
          <cell r="B955" t="str">
            <v>IPRM</v>
          </cell>
          <cell r="C955" t="str">
            <v>NM</v>
          </cell>
          <cell r="D955" t="str">
            <v>DAG-MCT</v>
          </cell>
          <cell r="E955" t="str">
            <v>HYD DEAC MCT</v>
          </cell>
          <cell r="G955">
            <v>466.22520000000003</v>
          </cell>
          <cell r="H955">
            <v>26.38</v>
          </cell>
          <cell r="P955">
            <v>466.22520000000003</v>
          </cell>
          <cell r="Q955">
            <v>26.38</v>
          </cell>
          <cell r="Y955">
            <v>464.63940000000002</v>
          </cell>
          <cell r="Z955">
            <v>26.38</v>
          </cell>
          <cell r="AH955">
            <v>464.63940000000002</v>
          </cell>
          <cell r="AI955">
            <v>26.38</v>
          </cell>
          <cell r="AQ955">
            <v>464.63940000000002</v>
          </cell>
          <cell r="AR955">
            <v>26.38</v>
          </cell>
          <cell r="AZ955">
            <v>464.63940000000002</v>
          </cell>
          <cell r="BA955">
            <v>26.38</v>
          </cell>
        </row>
        <row r="956">
          <cell r="A956">
            <v>247</v>
          </cell>
          <cell r="B956" t="str">
            <v>IPRM</v>
          </cell>
          <cell r="C956" t="str">
            <v>NM</v>
          </cell>
          <cell r="D956" t="str">
            <v>D ACIDIFIED MCT</v>
          </cell>
          <cell r="E956" t="str">
            <v>D ACIDIFIED MCT</v>
          </cell>
        </row>
        <row r="957">
          <cell r="A957">
            <v>48</v>
          </cell>
          <cell r="B957" t="str">
            <v>IPRM</v>
          </cell>
          <cell r="C957" t="str">
            <v>SM</v>
          </cell>
          <cell r="D957" t="str">
            <v>PKORESIDUE</v>
          </cell>
          <cell r="E957" t="str">
            <v>PKORESIDUE</v>
          </cell>
          <cell r="F957">
            <v>14.498999999999999</v>
          </cell>
          <cell r="G957">
            <v>803.93040000000008</v>
          </cell>
          <cell r="O957">
            <v>14.228067999999999</v>
          </cell>
          <cell r="P957">
            <v>1025.56</v>
          </cell>
          <cell r="Y957">
            <v>1048.82</v>
          </cell>
          <cell r="AG957">
            <v>89.658000000000001</v>
          </cell>
          <cell r="AH957">
            <v>1112.7</v>
          </cell>
          <cell r="AQ957">
            <v>1366.1</v>
          </cell>
          <cell r="AZ957">
            <v>1701.48</v>
          </cell>
          <cell r="BB957">
            <v>97.427571428571426</v>
          </cell>
        </row>
        <row r="958">
          <cell r="A958">
            <v>49</v>
          </cell>
          <cell r="B958" t="str">
            <v>IPRM</v>
          </cell>
          <cell r="C958" t="str">
            <v>SM</v>
          </cell>
          <cell r="D958" t="str">
            <v>SPKORESIDUE</v>
          </cell>
          <cell r="E958" t="str">
            <v>SPKORESIDUE</v>
          </cell>
          <cell r="G958">
            <v>845.37180000000001</v>
          </cell>
          <cell r="I958">
            <v>13.702500000000001</v>
          </cell>
          <cell r="P958">
            <v>689.92560000000003</v>
          </cell>
          <cell r="Y958">
            <v>741.0311999999999</v>
          </cell>
          <cell r="AH958">
            <v>790.00740000000008</v>
          </cell>
          <cell r="AQ958">
            <v>391.80959999999999</v>
          </cell>
          <cell r="AS958">
            <v>137.95714285714286</v>
          </cell>
          <cell r="AW958">
            <v>46.55</v>
          </cell>
          <cell r="AZ958">
            <v>306.6336</v>
          </cell>
          <cell r="BB958">
            <v>128.76</v>
          </cell>
        </row>
        <row r="959">
          <cell r="A959">
            <v>50</v>
          </cell>
          <cell r="B959" t="str">
            <v>IPRM</v>
          </cell>
          <cell r="C959" t="str">
            <v>SM</v>
          </cell>
          <cell r="D959" t="str">
            <v>DPKORESIDUE</v>
          </cell>
          <cell r="E959" t="str">
            <v>DPKORESIDUE</v>
          </cell>
          <cell r="BB959">
            <v>422.5</v>
          </cell>
        </row>
        <row r="960">
          <cell r="A960">
            <v>51</v>
          </cell>
          <cell r="B960" t="str">
            <v>IPRM</v>
          </cell>
          <cell r="C960" t="str">
            <v>FM</v>
          </cell>
          <cell r="D960" t="str">
            <v>SPFAD+DPKORESIDUE-DSB FEED</v>
          </cell>
          <cell r="E960" t="str">
            <v>SPFAD+DPKORESIDUE-DSB FEED</v>
          </cell>
          <cell r="R960">
            <v>89.522999999999982</v>
          </cell>
          <cell r="V960">
            <v>79</v>
          </cell>
        </row>
        <row r="961">
          <cell r="A961">
            <v>52</v>
          </cell>
          <cell r="B961" t="str">
            <v>IPRM</v>
          </cell>
          <cell r="C961" t="str">
            <v>FM</v>
          </cell>
          <cell r="D961" t="str">
            <v>SRBDPS/CPS+SCPO-JBS FEED</v>
          </cell>
          <cell r="E961" t="str">
            <v>SRBDPS/CPS+SCPO-JBS FEED</v>
          </cell>
        </row>
        <row r="962">
          <cell r="A962">
            <v>53</v>
          </cell>
          <cell r="B962" t="str">
            <v>IPRM</v>
          </cell>
          <cell r="C962" t="str">
            <v>FM</v>
          </cell>
          <cell r="D962" t="str">
            <v>SRBDPS/CPS+B/PPKO-JBS FEED</v>
          </cell>
          <cell r="E962" t="str">
            <v>SRBDPS/CPS+B/PPKO-JBS FEED</v>
          </cell>
          <cell r="I962">
            <v>197.14</v>
          </cell>
          <cell r="M962">
            <v>15</v>
          </cell>
        </row>
        <row r="963">
          <cell r="A963">
            <v>54</v>
          </cell>
          <cell r="B963" t="str">
            <v>IPRM</v>
          </cell>
          <cell r="C963" t="str">
            <v>FM</v>
          </cell>
          <cell r="D963" t="str">
            <v>SPFAD&gt;C16(C16@15-25%)</v>
          </cell>
          <cell r="E963" t="str">
            <v>D B/P&gt;C16 FOR ALC</v>
          </cell>
        </row>
        <row r="964">
          <cell r="A964">
            <v>55</v>
          </cell>
          <cell r="B964" t="str">
            <v>IPRM</v>
          </cell>
          <cell r="C964" t="str">
            <v>FM</v>
          </cell>
          <cell r="D964" t="str">
            <v>SPFAD&gt;C16(C16@15-25%)</v>
          </cell>
          <cell r="E964" t="str">
            <v>B/P&gt;C16 FOR ALC</v>
          </cell>
        </row>
        <row r="965">
          <cell r="A965">
            <v>56</v>
          </cell>
          <cell r="B965" t="str">
            <v>IPRM</v>
          </cell>
          <cell r="C965" t="str">
            <v>SM</v>
          </cell>
          <cell r="D965" t="str">
            <v>MIX RESIDUE</v>
          </cell>
          <cell r="E965" t="str">
            <v>MIX RESIDUE</v>
          </cell>
          <cell r="G965">
            <v>963.92</v>
          </cell>
          <cell r="H965">
            <v>463.23</v>
          </cell>
          <cell r="I965">
            <v>9.992571428571452</v>
          </cell>
          <cell r="J965">
            <v>28.010999999999999</v>
          </cell>
          <cell r="M965">
            <v>20.75</v>
          </cell>
          <cell r="P965">
            <v>1047.18</v>
          </cell>
          <cell r="Q965">
            <v>463.23</v>
          </cell>
          <cell r="R965">
            <v>47.46471428571428</v>
          </cell>
          <cell r="S965">
            <v>38.780999999999999</v>
          </cell>
          <cell r="Y965">
            <v>1122.05</v>
          </cell>
          <cell r="Z965">
            <v>463.23</v>
          </cell>
          <cell r="AA965">
            <v>109.9182857142857</v>
          </cell>
          <cell r="AB965">
            <v>24.138999999999999</v>
          </cell>
          <cell r="AH965">
            <v>1288.73</v>
          </cell>
          <cell r="AI965">
            <v>463.23</v>
          </cell>
          <cell r="AJ965">
            <v>99.092999999999975</v>
          </cell>
          <cell r="AK965">
            <v>28.978999999999999</v>
          </cell>
          <cell r="AN965">
            <v>24.61</v>
          </cell>
          <cell r="AP965">
            <v>4.8099999999999996</v>
          </cell>
          <cell r="AQ965">
            <v>1961.9</v>
          </cell>
          <cell r="AS965">
            <v>51.62828571428571</v>
          </cell>
          <cell r="AW965">
            <v>24.48</v>
          </cell>
          <cell r="AZ965">
            <v>1985.69</v>
          </cell>
          <cell r="BB965">
            <v>85.769571428571425</v>
          </cell>
          <cell r="BC965">
            <v>27.044</v>
          </cell>
        </row>
        <row r="966">
          <cell r="A966">
            <v>57</v>
          </cell>
          <cell r="B966" t="str">
            <v>IPRM</v>
          </cell>
          <cell r="C966" t="str">
            <v>SM</v>
          </cell>
          <cell r="D966" t="str">
            <v>SMIX RESIDUE</v>
          </cell>
          <cell r="E966" t="str">
            <v>SMIX RESIDUE</v>
          </cell>
        </row>
        <row r="967">
          <cell r="A967">
            <v>58</v>
          </cell>
          <cell r="B967" t="str">
            <v>IPRM</v>
          </cell>
          <cell r="C967" t="str">
            <v>FM</v>
          </cell>
          <cell r="D967" t="str">
            <v>DMIX RESIDUE</v>
          </cell>
          <cell r="E967" t="str">
            <v>DMIX RESIDUE</v>
          </cell>
          <cell r="F967">
            <v>9.6199999999999992</v>
          </cell>
          <cell r="O967">
            <v>4.8099999999999996</v>
          </cell>
          <cell r="X967">
            <v>4.8099999999999996</v>
          </cell>
          <cell r="AA967">
            <v>30</v>
          </cell>
          <cell r="AG967">
            <v>4.8099999999999996</v>
          </cell>
          <cell r="AY967">
            <v>4.8099999999999996</v>
          </cell>
        </row>
        <row r="968">
          <cell r="A968">
            <v>59</v>
          </cell>
          <cell r="B968" t="str">
            <v>IPRM</v>
          </cell>
          <cell r="C968" t="str">
            <v>FM</v>
          </cell>
          <cell r="D968" t="str">
            <v>HYD D RFA</v>
          </cell>
          <cell r="E968" t="str">
            <v>HYD D RFA</v>
          </cell>
          <cell r="F968">
            <v>21</v>
          </cell>
          <cell r="I968">
            <v>133.97999999999999</v>
          </cell>
        </row>
        <row r="969">
          <cell r="A969">
            <v>60</v>
          </cell>
          <cell r="B969" t="str">
            <v>IPRM</v>
          </cell>
          <cell r="C969" t="str">
            <v>FM</v>
          </cell>
          <cell r="D969" t="str">
            <v>B/P SMUSTARD&gt;C18</v>
          </cell>
          <cell r="E969" t="str">
            <v>B/P SMUSTARD&gt;C18</v>
          </cell>
        </row>
        <row r="970">
          <cell r="A970">
            <v>61</v>
          </cell>
          <cell r="B970" t="str">
            <v>IPRM</v>
          </cell>
          <cell r="C970" t="str">
            <v>FM</v>
          </cell>
          <cell r="D970" t="str">
            <v>B/P SMUSTARD&gt;C20</v>
          </cell>
          <cell r="E970" t="str">
            <v>B/P SMUSTARD&gt;C20</v>
          </cell>
        </row>
        <row r="971">
          <cell r="A971">
            <v>62</v>
          </cell>
          <cell r="B971" t="str">
            <v>IPRM</v>
          </cell>
          <cell r="C971" t="str">
            <v>SM</v>
          </cell>
          <cell r="D971" t="str">
            <v>DFA C18+22(20@50%)</v>
          </cell>
          <cell r="E971" t="str">
            <v>DFA C18+22(20@50%)</v>
          </cell>
        </row>
        <row r="972">
          <cell r="A972">
            <v>63</v>
          </cell>
          <cell r="B972" t="str">
            <v>IPRM</v>
          </cell>
          <cell r="C972" t="str">
            <v>NM</v>
          </cell>
          <cell r="D972" t="str">
            <v>MUSTARD RESIDUE</v>
          </cell>
          <cell r="E972" t="str">
            <v>MUSTARD RESIDUE</v>
          </cell>
          <cell r="F972">
            <v>40.9</v>
          </cell>
          <cell r="G972">
            <v>299.71620000000001</v>
          </cell>
          <cell r="H972">
            <v>1976.26</v>
          </cell>
          <cell r="O972">
            <v>40.9</v>
          </cell>
          <cell r="P972">
            <v>299.71600000000001</v>
          </cell>
          <cell r="Q972">
            <v>1976.26</v>
          </cell>
          <cell r="X972">
            <v>40.9</v>
          </cell>
          <cell r="Y972">
            <v>295.59312</v>
          </cell>
          <cell r="Z972">
            <v>1976.26</v>
          </cell>
          <cell r="AA972">
            <v>42.468428571428582</v>
          </cell>
          <cell r="AG972">
            <v>40.9</v>
          </cell>
          <cell r="AH972">
            <v>299.71620000000001</v>
          </cell>
          <cell r="AI972">
            <v>1976.26</v>
          </cell>
          <cell r="AJ972">
            <v>148.55000000000001</v>
          </cell>
          <cell r="AP972">
            <v>40.9</v>
          </cell>
          <cell r="AQ972">
            <v>775.45999999999992</v>
          </cell>
          <cell r="AR972">
            <v>1696.78</v>
          </cell>
          <cell r="AS972">
            <v>166.54285714285714</v>
          </cell>
          <cell r="AY972">
            <v>40.9</v>
          </cell>
          <cell r="AZ972">
            <v>775.46</v>
          </cell>
          <cell r="BA972">
            <v>1696.78</v>
          </cell>
        </row>
        <row r="973">
          <cell r="A973">
            <v>64</v>
          </cell>
          <cell r="B973" t="str">
            <v>IPRM</v>
          </cell>
          <cell r="C973" t="str">
            <v>NM</v>
          </cell>
          <cell r="D973" t="str">
            <v>SMUSTARD RESIDUE</v>
          </cell>
          <cell r="E973" t="str">
            <v>SMUSTARD RESIDUE</v>
          </cell>
          <cell r="G973">
            <v>14.905799999999999</v>
          </cell>
          <cell r="H973">
            <v>498.73</v>
          </cell>
          <cell r="Q973">
            <v>498.73</v>
          </cell>
          <cell r="Z973">
            <v>498.73</v>
          </cell>
          <cell r="AI973">
            <v>498.73</v>
          </cell>
          <cell r="AR973">
            <v>498.73</v>
          </cell>
          <cell r="BA973">
            <v>498.73</v>
          </cell>
        </row>
        <row r="974">
          <cell r="A974">
            <v>65</v>
          </cell>
          <cell r="B974" t="str">
            <v>IPRM</v>
          </cell>
          <cell r="C974" t="str">
            <v>NM</v>
          </cell>
          <cell r="D974" t="str">
            <v>DMUSTARD RESIDUE</v>
          </cell>
          <cell r="E974" t="str">
            <v>DMUSTARD RESIDUE</v>
          </cell>
          <cell r="G974">
            <v>51.043542400000007</v>
          </cell>
          <cell r="AA974">
            <v>12</v>
          </cell>
        </row>
        <row r="975">
          <cell r="A975">
            <v>66</v>
          </cell>
          <cell r="B975" t="str">
            <v>IPRM</v>
          </cell>
          <cell r="C975" t="str">
            <v>NM</v>
          </cell>
          <cell r="D975" t="str">
            <v>CONTAMINATED MUST</v>
          </cell>
          <cell r="E975" t="str">
            <v>CONTAMINATED MUST</v>
          </cell>
          <cell r="G975">
            <v>120</v>
          </cell>
          <cell r="H975">
            <v>40.11</v>
          </cell>
          <cell r="P975">
            <v>120</v>
          </cell>
          <cell r="Y975">
            <v>120</v>
          </cell>
          <cell r="AH975">
            <v>120</v>
          </cell>
          <cell r="AQ975">
            <v>120</v>
          </cell>
          <cell r="AZ975">
            <v>120</v>
          </cell>
        </row>
        <row r="976">
          <cell r="A976">
            <v>67</v>
          </cell>
          <cell r="B976" t="str">
            <v>IPRM</v>
          </cell>
          <cell r="C976" t="str">
            <v>NM</v>
          </cell>
          <cell r="D976" t="str">
            <v>HYD SPFAD</v>
          </cell>
          <cell r="E976" t="str">
            <v>HYD SPFAD</v>
          </cell>
          <cell r="R976">
            <v>304.82400000000001</v>
          </cell>
          <cell r="AA976">
            <v>93.176999999999992</v>
          </cell>
          <cell r="AJ976">
            <v>17.835000000000001</v>
          </cell>
          <cell r="AP976">
            <v>21</v>
          </cell>
          <cell r="AS976">
            <v>165.56100000000001</v>
          </cell>
          <cell r="BB976">
            <v>289.44900000000001</v>
          </cell>
        </row>
        <row r="977">
          <cell r="A977">
            <v>68</v>
          </cell>
          <cell r="B977" t="str">
            <v>IPRM</v>
          </cell>
          <cell r="C977" t="str">
            <v>NM</v>
          </cell>
          <cell r="D977" t="str">
            <v>C16 RICH (FOR SB)</v>
          </cell>
          <cell r="E977" t="str">
            <v>C16 RICH (FOR SB)</v>
          </cell>
          <cell r="AP977">
            <v>318.50918000000001</v>
          </cell>
          <cell r="AY977">
            <v>318.50918000000001</v>
          </cell>
        </row>
        <row r="978">
          <cell r="A978">
            <v>69</v>
          </cell>
          <cell r="B978" t="str">
            <v>IPRM</v>
          </cell>
          <cell r="C978" t="str">
            <v>NM</v>
          </cell>
          <cell r="D978" t="str">
            <v>B/P PFAD (FOR C16/C18)</v>
          </cell>
          <cell r="E978" t="str">
            <v>B/P PFAD (FOR C16/C18)</v>
          </cell>
        </row>
        <row r="979">
          <cell r="A979">
            <v>70</v>
          </cell>
          <cell r="B979" t="str">
            <v>IPRM</v>
          </cell>
          <cell r="C979" t="str">
            <v>NM</v>
          </cell>
          <cell r="D979" t="str">
            <v>DFA C8&gt;90%</v>
          </cell>
          <cell r="E979" t="str">
            <v>DFA C8&gt;90%</v>
          </cell>
        </row>
        <row r="980">
          <cell r="A980">
            <v>71</v>
          </cell>
          <cell r="B980" t="str">
            <v>IPRM</v>
          </cell>
          <cell r="C980" t="str">
            <v>NM</v>
          </cell>
          <cell r="D980" t="str">
            <v>FEED FOR DTP-CT</v>
          </cell>
          <cell r="E980" t="str">
            <v>FEED FOR DTP-CT</v>
          </cell>
          <cell r="O980">
            <v>204.44</v>
          </cell>
          <cell r="AA980">
            <v>148.90049999999997</v>
          </cell>
          <cell r="AE980">
            <v>71.739999999999995</v>
          </cell>
        </row>
        <row r="981">
          <cell r="A981">
            <v>72</v>
          </cell>
          <cell r="B981" t="str">
            <v>IPRM</v>
          </cell>
          <cell r="C981" t="str">
            <v>NM</v>
          </cell>
          <cell r="D981" t="str">
            <v>C16 RICH FROM PFAD</v>
          </cell>
          <cell r="E981" t="str">
            <v>C16 RICH FROM PFAD</v>
          </cell>
          <cell r="F981">
            <v>156.41999999999999</v>
          </cell>
          <cell r="O981">
            <v>254.79</v>
          </cell>
          <cell r="AG981">
            <v>130.12477999999999</v>
          </cell>
        </row>
        <row r="982">
          <cell r="A982">
            <v>73</v>
          </cell>
          <cell r="B982" t="str">
            <v>IPRM</v>
          </cell>
          <cell r="C982" t="str">
            <v>NM</v>
          </cell>
          <cell r="D982" t="str">
            <v>FEED FOR P-12</v>
          </cell>
          <cell r="E982" t="str">
            <v>FEED FOR P-12</v>
          </cell>
          <cell r="G982">
            <v>272.68</v>
          </cell>
          <cell r="O982">
            <v>255.6</v>
          </cell>
          <cell r="P982">
            <v>3.23</v>
          </cell>
          <cell r="X982">
            <v>255.6</v>
          </cell>
          <cell r="AG982">
            <v>136.4</v>
          </cell>
          <cell r="AJ982">
            <v>80.387999999999977</v>
          </cell>
          <cell r="AN982">
            <v>18.739999999999998</v>
          </cell>
        </row>
        <row r="983">
          <cell r="A983">
            <v>74</v>
          </cell>
          <cell r="B983" t="str">
            <v>IPRM</v>
          </cell>
          <cell r="C983" t="str">
            <v>NM</v>
          </cell>
          <cell r="D983" t="str">
            <v>HYD P-12</v>
          </cell>
          <cell r="E983" t="str">
            <v>HYD P-12</v>
          </cell>
          <cell r="AG983">
            <v>7</v>
          </cell>
        </row>
        <row r="984">
          <cell r="A984">
            <v>75</v>
          </cell>
          <cell r="B984" t="str">
            <v>IPRM</v>
          </cell>
          <cell r="C984" t="str">
            <v>NM</v>
          </cell>
          <cell r="D984" t="str">
            <v>D HYD P-12</v>
          </cell>
          <cell r="E984" t="str">
            <v>D HYD P-12</v>
          </cell>
        </row>
        <row r="985">
          <cell r="A985">
            <v>76</v>
          </cell>
          <cell r="B985" t="str">
            <v>IPRM</v>
          </cell>
          <cell r="C985" t="str">
            <v>NM</v>
          </cell>
          <cell r="D985" t="str">
            <v>DFA C16/18  FOR TRANSLUCENT</v>
          </cell>
          <cell r="E985" t="str">
            <v>DFA C16/18  FOR TRANSLUCENT</v>
          </cell>
        </row>
        <row r="986">
          <cell r="A986">
            <v>77</v>
          </cell>
          <cell r="B986" t="str">
            <v>IPRM</v>
          </cell>
          <cell r="C986" t="str">
            <v>NM</v>
          </cell>
          <cell r="D986" t="str">
            <v>GLY RES</v>
          </cell>
          <cell r="E986" t="str">
            <v>GLY RES</v>
          </cell>
          <cell r="F986">
            <v>21</v>
          </cell>
          <cell r="O986">
            <v>2.35</v>
          </cell>
          <cell r="X986">
            <v>35</v>
          </cell>
          <cell r="AG986">
            <v>12.6</v>
          </cell>
          <cell r="AP986">
            <v>4.375</v>
          </cell>
          <cell r="AY986">
            <v>22.75</v>
          </cell>
        </row>
        <row r="987">
          <cell r="A987">
            <v>78</v>
          </cell>
          <cell r="B987" t="str">
            <v>IPRM</v>
          </cell>
          <cell r="C987" t="str">
            <v>NM</v>
          </cell>
          <cell r="D987" t="str">
            <v>D B/P PKO</v>
          </cell>
          <cell r="E987" t="str">
            <v>D B/P PKO</v>
          </cell>
          <cell r="F987">
            <v>188.1</v>
          </cell>
          <cell r="O987">
            <v>14</v>
          </cell>
          <cell r="AS987">
            <v>286.23</v>
          </cell>
        </row>
        <row r="988">
          <cell r="A988">
            <v>79</v>
          </cell>
          <cell r="B988" t="str">
            <v>IPRM</v>
          </cell>
          <cell r="C988" t="str">
            <v>NM</v>
          </cell>
          <cell r="D988" t="str">
            <v>FOR NEEM SOAP</v>
          </cell>
          <cell r="E988" t="str">
            <v>FOR NEEM SOAP</v>
          </cell>
          <cell r="BC988">
            <v>24.492000000000001</v>
          </cell>
        </row>
        <row r="989">
          <cell r="A989">
            <v>239</v>
          </cell>
          <cell r="B989" t="str">
            <v>IPRM</v>
          </cell>
          <cell r="C989" t="str">
            <v>NM</v>
          </cell>
          <cell r="D989" t="str">
            <v>FEED FOR ITC</v>
          </cell>
          <cell r="E989" t="str">
            <v>FEED FOR ITC</v>
          </cell>
        </row>
        <row r="990">
          <cell r="A990">
            <v>240</v>
          </cell>
          <cell r="B990" t="str">
            <v>IPRM</v>
          </cell>
          <cell r="C990" t="str">
            <v>NM</v>
          </cell>
          <cell r="D990" t="str">
            <v>MUSTARD-MCT</v>
          </cell>
          <cell r="E990" t="str">
            <v>MUSTARD-MCT</v>
          </cell>
          <cell r="F990">
            <v>29.8935</v>
          </cell>
          <cell r="G990">
            <v>118.578</v>
          </cell>
          <cell r="O990">
            <v>29.8935</v>
          </cell>
          <cell r="P990">
            <v>118.578</v>
          </cell>
          <cell r="X990">
            <v>29.8935</v>
          </cell>
          <cell r="Y990">
            <v>118.578</v>
          </cell>
          <cell r="AG990">
            <v>29.3825</v>
          </cell>
          <cell r="AH990">
            <v>118.578</v>
          </cell>
          <cell r="AP990">
            <v>29.3825</v>
          </cell>
          <cell r="AQ990">
            <v>97.578000000000003</v>
          </cell>
          <cell r="AY990">
            <v>29.3825</v>
          </cell>
          <cell r="AZ990">
            <v>97.578000000000003</v>
          </cell>
        </row>
        <row r="991">
          <cell r="A991">
            <v>242</v>
          </cell>
          <cell r="B991" t="str">
            <v>IPRM</v>
          </cell>
          <cell r="C991" t="str">
            <v>NM</v>
          </cell>
          <cell r="D991" t="str">
            <v>HYD STEARIC-90</v>
          </cell>
          <cell r="E991" t="str">
            <v>HYD STEARIC-90</v>
          </cell>
        </row>
        <row r="992">
          <cell r="D992" t="str">
            <v>IPRM TOTAL</v>
          </cell>
          <cell r="F992">
            <v>951.33699999999999</v>
          </cell>
          <cell r="G992">
            <v>6281.4063049000015</v>
          </cell>
          <cell r="H992">
            <v>3019.3</v>
          </cell>
          <cell r="I992">
            <v>820.01014285714291</v>
          </cell>
          <cell r="J992">
            <v>28.010999999999999</v>
          </cell>
          <cell r="K992">
            <v>0</v>
          </cell>
          <cell r="L992">
            <v>0</v>
          </cell>
          <cell r="M992">
            <v>35.75</v>
          </cell>
          <cell r="N992">
            <v>0</v>
          </cell>
          <cell r="O992">
            <v>1272.9155679999997</v>
          </cell>
          <cell r="P992">
            <v>6341.6307600000009</v>
          </cell>
          <cell r="Q992">
            <v>2979.19</v>
          </cell>
          <cell r="R992">
            <v>677.89242857142858</v>
          </cell>
          <cell r="S992">
            <v>38.780999999999999</v>
          </cell>
          <cell r="T992">
            <v>0</v>
          </cell>
          <cell r="U992">
            <v>0</v>
          </cell>
          <cell r="V992">
            <v>176.85</v>
          </cell>
          <cell r="W992">
            <v>0</v>
          </cell>
          <cell r="X992">
            <v>874.46900000000005</v>
          </cell>
          <cell r="Y992">
            <v>6860.6462800000018</v>
          </cell>
          <cell r="Z992">
            <v>2979.19</v>
          </cell>
          <cell r="AA992">
            <v>682.42050000000006</v>
          </cell>
          <cell r="AB992">
            <v>24.138999999999999</v>
          </cell>
          <cell r="AC992">
            <v>0</v>
          </cell>
          <cell r="AD992">
            <v>0</v>
          </cell>
          <cell r="AE992">
            <v>71.739999999999995</v>
          </cell>
          <cell r="AF992">
            <v>0</v>
          </cell>
          <cell r="AG992">
            <v>1010.8632799999999</v>
          </cell>
          <cell r="AH992">
            <v>6887.823260000001</v>
          </cell>
          <cell r="AI992">
            <v>2979.19</v>
          </cell>
          <cell r="AJ992">
            <v>1104.691</v>
          </cell>
          <cell r="AK992">
            <v>28.978999999999999</v>
          </cell>
          <cell r="AL992">
            <v>0</v>
          </cell>
          <cell r="AM992">
            <v>0</v>
          </cell>
          <cell r="AN992">
            <v>43.349999999999994</v>
          </cell>
          <cell r="AO992">
            <v>0</v>
          </cell>
          <cell r="AP992">
            <v>1221.4266799999998</v>
          </cell>
          <cell r="AQ992">
            <v>7124.1817600000013</v>
          </cell>
          <cell r="AR992">
            <v>2236.48</v>
          </cell>
          <cell r="AS992">
            <v>1357.8885714285714</v>
          </cell>
          <cell r="AT992">
            <v>0</v>
          </cell>
          <cell r="AU992">
            <v>0</v>
          </cell>
          <cell r="AV992">
            <v>0</v>
          </cell>
          <cell r="AW992">
            <v>71.03</v>
          </cell>
          <cell r="AX992">
            <v>0</v>
          </cell>
          <cell r="AY992">
            <v>1456.61068</v>
          </cell>
          <cell r="AZ992">
            <v>7174.2027600000001</v>
          </cell>
          <cell r="BA992">
            <v>2236.48</v>
          </cell>
          <cell r="BB992">
            <v>1345.1225714285715</v>
          </cell>
          <cell r="BC992">
            <v>51.536000000000001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</row>
        <row r="993">
          <cell r="A993" t="str">
            <v>FATTY ACID FINISHED PRODUCTS</v>
          </cell>
        </row>
        <row r="994">
          <cell r="A994">
            <v>80</v>
          </cell>
          <cell r="B994" t="str">
            <v>FG</v>
          </cell>
          <cell r="C994" t="str">
            <v>FM</v>
          </cell>
          <cell r="D994" t="str">
            <v>CPKO/MUSTO/MIX II RESIDUE</v>
          </cell>
          <cell r="E994" t="str">
            <v>PITCH</v>
          </cell>
          <cell r="F994">
            <v>175.3605</v>
          </cell>
          <cell r="I994">
            <v>89.516785714285717</v>
          </cell>
          <cell r="O994">
            <v>59.332500000000003</v>
          </cell>
          <cell r="R994">
            <v>2.4981428571428337</v>
          </cell>
        </row>
        <row r="995">
          <cell r="A995">
            <v>81</v>
          </cell>
          <cell r="B995" t="str">
            <v>FG</v>
          </cell>
          <cell r="C995" t="str">
            <v>FM</v>
          </cell>
          <cell r="D995" t="str">
            <v>JBS(80:20)</v>
          </cell>
          <cell r="E995" t="str">
            <v>JBS(80:20)</v>
          </cell>
          <cell r="R995">
            <v>108.70650000000001</v>
          </cell>
          <cell r="AA995">
            <v>285.03200000000004</v>
          </cell>
        </row>
        <row r="996">
          <cell r="A996">
            <v>82</v>
          </cell>
          <cell r="B996" t="str">
            <v>FG</v>
          </cell>
          <cell r="C996" t="str">
            <v>FM</v>
          </cell>
          <cell r="D996" t="str">
            <v>TRANSLUCENT</v>
          </cell>
          <cell r="E996" t="str">
            <v>TRANSLUCENT</v>
          </cell>
        </row>
        <row r="997">
          <cell r="A997">
            <v>83</v>
          </cell>
          <cell r="B997" t="str">
            <v>FG</v>
          </cell>
          <cell r="C997" t="str">
            <v>FM</v>
          </cell>
          <cell r="D997" t="str">
            <v>D.S.B</v>
          </cell>
          <cell r="E997" t="str">
            <v>DPFAD 70% + SDD PKO RES 30%</v>
          </cell>
          <cell r="P997">
            <v>45.988199999999999</v>
          </cell>
          <cell r="R997">
            <v>396.459</v>
          </cell>
          <cell r="AA997">
            <v>191.83500000000001</v>
          </cell>
        </row>
        <row r="998">
          <cell r="A998">
            <v>84</v>
          </cell>
          <cell r="B998" t="str">
            <v>FG</v>
          </cell>
          <cell r="C998" t="str">
            <v>FM</v>
          </cell>
          <cell r="D998" t="str">
            <v>JO BLEND</v>
          </cell>
          <cell r="E998" t="str">
            <v>JO BLEND</v>
          </cell>
        </row>
        <row r="999">
          <cell r="A999">
            <v>85</v>
          </cell>
          <cell r="B999" t="str">
            <v>FG</v>
          </cell>
          <cell r="C999" t="str">
            <v>FM</v>
          </cell>
          <cell r="D999" t="str">
            <v>ITC</v>
          </cell>
          <cell r="E999" t="str">
            <v>DPFAD 70% + DCPS 30%</v>
          </cell>
        </row>
        <row r="1000">
          <cell r="A1000">
            <v>86</v>
          </cell>
          <cell r="B1000" t="str">
            <v>FG</v>
          </cell>
          <cell r="C1000" t="str">
            <v>FM</v>
          </cell>
          <cell r="D1000" t="str">
            <v>DDPKORESIDUEFA</v>
          </cell>
          <cell r="E1000" t="str">
            <v>S DD PKO RES</v>
          </cell>
        </row>
        <row r="1001">
          <cell r="A1001">
            <v>87</v>
          </cell>
          <cell r="B1001" t="str">
            <v>FG</v>
          </cell>
          <cell r="C1001" t="str">
            <v>FM</v>
          </cell>
          <cell r="D1001" t="str">
            <v>DRBDPS FOR P-12</v>
          </cell>
          <cell r="E1001" t="str">
            <v>DRBDPS/CPS 65%+B/P PKO 35%</v>
          </cell>
        </row>
        <row r="1002">
          <cell r="A1002">
            <v>258</v>
          </cell>
          <cell r="B1002" t="str">
            <v>FG</v>
          </cell>
          <cell r="C1002" t="str">
            <v>FM</v>
          </cell>
          <cell r="D1002" t="str">
            <v>DRBDPS</v>
          </cell>
          <cell r="E1002" t="str">
            <v>DRBDPS</v>
          </cell>
          <cell r="I1002">
            <v>66.242500000000007</v>
          </cell>
          <cell r="R1002">
            <v>340.2</v>
          </cell>
          <cell r="AA1002">
            <v>247.49100000000001</v>
          </cell>
          <cell r="AJ1002">
            <v>183.5</v>
          </cell>
          <cell r="AS1002">
            <v>519.9</v>
          </cell>
          <cell r="BB1002">
            <v>634.29999999999995</v>
          </cell>
        </row>
        <row r="1003">
          <cell r="A1003">
            <v>88</v>
          </cell>
          <cell r="B1003" t="str">
            <v>FG</v>
          </cell>
          <cell r="C1003" t="str">
            <v>FM</v>
          </cell>
          <cell r="D1003" t="str">
            <v>DPKO</v>
          </cell>
          <cell r="E1003" t="str">
            <v>D C12-C18</v>
          </cell>
          <cell r="I1003">
            <v>328.03784999999999</v>
          </cell>
          <cell r="J1003">
            <v>260.53500000000003</v>
          </cell>
          <cell r="R1003">
            <v>131.54399999999998</v>
          </cell>
          <cell r="S1003">
            <v>204.23099999999999</v>
          </cell>
          <cell r="AB1003">
            <v>216.19200000000001</v>
          </cell>
          <cell r="AJ1003">
            <v>369.05399999999997</v>
          </cell>
          <cell r="AK1003">
            <v>289.09399999999999</v>
          </cell>
          <cell r="AW1003">
            <v>25.83</v>
          </cell>
          <cell r="BB1003">
            <v>222.89399999999998</v>
          </cell>
          <cell r="BC1003">
            <v>131.81399999999999</v>
          </cell>
          <cell r="BF1003">
            <v>59.18</v>
          </cell>
        </row>
        <row r="1004">
          <cell r="A1004">
            <v>89</v>
          </cell>
          <cell r="B1004" t="str">
            <v>FG</v>
          </cell>
          <cell r="C1004" t="str">
            <v>FM</v>
          </cell>
          <cell r="D1004" t="str">
            <v>DPFAD</v>
          </cell>
          <cell r="E1004" t="str">
            <v>DPFAD</v>
          </cell>
        </row>
        <row r="1005">
          <cell r="A1005">
            <v>90</v>
          </cell>
          <cell r="B1005" t="str">
            <v>FG</v>
          </cell>
          <cell r="C1005" t="str">
            <v>NM</v>
          </cell>
          <cell r="D1005" t="str">
            <v>C6&gt;98%</v>
          </cell>
          <cell r="E1005" t="str">
            <v>C6&gt;98%</v>
          </cell>
          <cell r="F1005">
            <v>21.901999999999997</v>
          </cell>
          <cell r="O1005">
            <v>22.546999999999997</v>
          </cell>
          <cell r="X1005">
            <v>39.962000000000003</v>
          </cell>
          <cell r="AG1005">
            <v>39.962000000000003</v>
          </cell>
          <cell r="AP1005">
            <v>39.962000000000003</v>
          </cell>
          <cell r="AY1005">
            <v>50.282000000000004</v>
          </cell>
        </row>
        <row r="1006">
          <cell r="A1006">
            <v>91</v>
          </cell>
          <cell r="B1006" t="str">
            <v>FG</v>
          </cell>
          <cell r="C1006" t="str">
            <v>FM</v>
          </cell>
          <cell r="D1006" t="str">
            <v>C8&gt;98%</v>
          </cell>
          <cell r="E1006" t="str">
            <v>C8&gt;98%</v>
          </cell>
          <cell r="F1006">
            <v>64.844999999999999</v>
          </cell>
          <cell r="O1006">
            <v>49.994999999999997</v>
          </cell>
          <cell r="X1006">
            <v>128.20500000000001</v>
          </cell>
          <cell r="AG1006">
            <v>114.345</v>
          </cell>
          <cell r="AP1006">
            <v>61.875</v>
          </cell>
          <cell r="AY1006">
            <v>117.81</v>
          </cell>
        </row>
        <row r="1007">
          <cell r="A1007">
            <v>92</v>
          </cell>
          <cell r="B1007" t="str">
            <v>FG</v>
          </cell>
          <cell r="C1007" t="str">
            <v>FM</v>
          </cell>
          <cell r="D1007" t="str">
            <v>C10&gt;98%</v>
          </cell>
          <cell r="E1007" t="str">
            <v>C10&gt;98%</v>
          </cell>
          <cell r="F1007">
            <v>93.06</v>
          </cell>
          <cell r="O1007">
            <v>93.06</v>
          </cell>
          <cell r="X1007">
            <v>160.38</v>
          </cell>
          <cell r="AG1007">
            <v>60.39</v>
          </cell>
          <cell r="AP1007">
            <v>83.655000000000001</v>
          </cell>
          <cell r="AY1007">
            <v>83.655000000000001</v>
          </cell>
        </row>
        <row r="1008">
          <cell r="A1008">
            <v>93</v>
          </cell>
          <cell r="B1008" t="str">
            <v>FG</v>
          </cell>
          <cell r="C1008" t="str">
            <v>FM</v>
          </cell>
          <cell r="D1008" t="str">
            <v>C8+C10&gt;98%</v>
          </cell>
          <cell r="E1008" t="str">
            <v>C8+C10&gt;98%</v>
          </cell>
          <cell r="F1008">
            <v>126.35814999999999</v>
          </cell>
          <cell r="G1008">
            <v>52.53</v>
          </cell>
          <cell r="O1008">
            <v>74.952399999999997</v>
          </cell>
          <cell r="P1008">
            <v>52.53</v>
          </cell>
          <cell r="X1008">
            <v>125.36320000000001</v>
          </cell>
          <cell r="Y1008">
            <v>52.53</v>
          </cell>
          <cell r="AG1008">
            <v>107.4541</v>
          </cell>
          <cell r="AH1008">
            <v>52.53</v>
          </cell>
          <cell r="AP1008">
            <v>104.13759999999999</v>
          </cell>
          <cell r="AQ1008">
            <v>41.48</v>
          </cell>
          <cell r="AY1008">
            <v>163.15299999999999</v>
          </cell>
        </row>
        <row r="1009">
          <cell r="A1009">
            <v>94</v>
          </cell>
          <cell r="B1009" t="str">
            <v>FG</v>
          </cell>
          <cell r="C1009" t="str">
            <v>FM</v>
          </cell>
          <cell r="D1009" t="str">
            <v>C12&gt;99%</v>
          </cell>
          <cell r="E1009" t="str">
            <v>C12&gt;99%</v>
          </cell>
          <cell r="I1009">
            <v>228.62357142857147</v>
          </cell>
          <cell r="R1009">
            <v>209.23500000000001</v>
          </cell>
          <cell r="AA1009">
            <v>156.32035714285715</v>
          </cell>
          <cell r="AJ1009">
            <v>129.25714285714287</v>
          </cell>
          <cell r="AS1009">
            <v>129.25714285714287</v>
          </cell>
          <cell r="BB1009">
            <v>129.25714285714287</v>
          </cell>
        </row>
        <row r="1010">
          <cell r="A1010">
            <v>95</v>
          </cell>
          <cell r="B1010" t="str">
            <v>FG</v>
          </cell>
          <cell r="C1010" t="str">
            <v>FM</v>
          </cell>
          <cell r="D1010" t="str">
            <v>C14&gt;99%</v>
          </cell>
          <cell r="E1010" t="str">
            <v>C14&gt;99%</v>
          </cell>
        </row>
        <row r="1011">
          <cell r="A1011">
            <v>96</v>
          </cell>
          <cell r="B1011" t="str">
            <v>FG</v>
          </cell>
          <cell r="C1011" t="str">
            <v>FM</v>
          </cell>
          <cell r="D1011" t="str">
            <v>C12+14&gt;99</v>
          </cell>
          <cell r="E1011" t="str">
            <v>C12-C14</v>
          </cell>
          <cell r="I1011">
            <v>1261.3</v>
          </cell>
          <cell r="R1011">
            <v>1095.4000000000001</v>
          </cell>
          <cell r="AA1011">
            <v>38.628000000000021</v>
          </cell>
          <cell r="AJ1011">
            <v>36.78857142857143</v>
          </cell>
          <cell r="AS1011">
            <v>1453.2</v>
          </cell>
          <cell r="BB1011">
            <v>1900.8</v>
          </cell>
        </row>
        <row r="1012">
          <cell r="A1012">
            <v>248</v>
          </cell>
          <cell r="B1012" t="str">
            <v>FG</v>
          </cell>
          <cell r="C1012" t="str">
            <v>FM</v>
          </cell>
          <cell r="D1012" t="str">
            <v>C12+14&gt;99 (IMP)</v>
          </cell>
          <cell r="E1012" t="str">
            <v>C12-C14 (IMP)</v>
          </cell>
        </row>
        <row r="1013">
          <cell r="A1013">
            <v>97</v>
          </cell>
          <cell r="B1013" t="str">
            <v>FG</v>
          </cell>
          <cell r="C1013" t="str">
            <v>FM</v>
          </cell>
          <cell r="D1013" t="str">
            <v>C12+C14+C16&gt;99</v>
          </cell>
          <cell r="E1013" t="str">
            <v>C12-C16</v>
          </cell>
          <cell r="I1013">
            <v>583.72649999999999</v>
          </cell>
          <cell r="R1013">
            <v>583.72649999999999</v>
          </cell>
          <cell r="AA1013">
            <v>489.63600000000008</v>
          </cell>
          <cell r="AJ1013">
            <v>1.8270000000000259</v>
          </cell>
        </row>
        <row r="1014">
          <cell r="A1014">
            <v>98</v>
          </cell>
          <cell r="B1014" t="str">
            <v>FG</v>
          </cell>
          <cell r="C1014" t="str">
            <v>FM</v>
          </cell>
          <cell r="D1014" t="str">
            <v>C16&gt;90%</v>
          </cell>
          <cell r="E1014" t="str">
            <v>C16&gt;90%</v>
          </cell>
        </row>
        <row r="1015">
          <cell r="A1015">
            <v>99</v>
          </cell>
          <cell r="B1015" t="str">
            <v>FG</v>
          </cell>
          <cell r="C1015" t="str">
            <v>FM</v>
          </cell>
          <cell r="D1015" t="str">
            <v>C16&gt;99%</v>
          </cell>
          <cell r="E1015" t="str">
            <v>C16&gt;99%</v>
          </cell>
          <cell r="I1015">
            <v>164.43</v>
          </cell>
          <cell r="R1015">
            <v>42.020999999999951</v>
          </cell>
          <cell r="AA1015">
            <v>194.57549999999998</v>
          </cell>
          <cell r="AE1015">
            <v>79.84</v>
          </cell>
          <cell r="AJ1015">
            <v>383.67</v>
          </cell>
          <cell r="AS1015">
            <v>588.29399999999998</v>
          </cell>
          <cell r="AW1015">
            <v>198.79</v>
          </cell>
          <cell r="BB1015">
            <v>607.39400000000001</v>
          </cell>
        </row>
        <row r="1016">
          <cell r="A1016">
            <v>100</v>
          </cell>
          <cell r="B1016" t="str">
            <v>FG</v>
          </cell>
          <cell r="C1016" t="str">
            <v>FM</v>
          </cell>
          <cell r="D1016" t="str">
            <v>DFA C16/C18</v>
          </cell>
          <cell r="E1016" t="str">
            <v>DFA C16/C18</v>
          </cell>
          <cell r="H1016">
            <v>22.812000000000126</v>
          </cell>
          <cell r="M1016">
            <v>120.63</v>
          </cell>
        </row>
        <row r="1017">
          <cell r="A1017">
            <v>101</v>
          </cell>
          <cell r="B1017" t="str">
            <v>FG</v>
          </cell>
          <cell r="C1017" t="str">
            <v>FM</v>
          </cell>
          <cell r="D1017" t="str">
            <v>C18&gt;95%</v>
          </cell>
          <cell r="E1017" t="str">
            <v>C18&gt;95%</v>
          </cell>
          <cell r="H1017">
            <v>1619.68</v>
          </cell>
          <cell r="I1017">
            <v>36.366</v>
          </cell>
          <cell r="Q1017">
            <v>1619.68</v>
          </cell>
          <cell r="R1017">
            <v>11.31</v>
          </cell>
          <cell r="Z1017">
            <v>1589.58</v>
          </cell>
          <cell r="AE1017">
            <v>15</v>
          </cell>
          <cell r="AI1017">
            <v>1374.29</v>
          </cell>
          <cell r="AN1017">
            <v>22.07</v>
          </cell>
          <cell r="AR1017">
            <v>995.8</v>
          </cell>
          <cell r="AS1017">
            <v>149.20500000000001</v>
          </cell>
          <cell r="BA1017">
            <v>235.66</v>
          </cell>
          <cell r="BB1017">
            <v>14.616</v>
          </cell>
        </row>
        <row r="1018">
          <cell r="A1018">
            <v>102</v>
          </cell>
          <cell r="B1018" t="str">
            <v>FG</v>
          </cell>
          <cell r="C1018" t="str">
            <v>FM</v>
          </cell>
          <cell r="D1018" t="str">
            <v>OLEIC-K</v>
          </cell>
          <cell r="E1018" t="str">
            <v>OLEIC-K</v>
          </cell>
          <cell r="F1018">
            <v>129.47</v>
          </cell>
          <cell r="O1018">
            <v>250.38</v>
          </cell>
          <cell r="X1018">
            <v>162.63999999999999</v>
          </cell>
          <cell r="AG1018">
            <v>237.54</v>
          </cell>
          <cell r="AP1018">
            <v>167.99</v>
          </cell>
          <cell r="AS1018">
            <v>126.06299999999997</v>
          </cell>
          <cell r="AY1018">
            <v>90.95</v>
          </cell>
        </row>
        <row r="1019">
          <cell r="A1019">
            <v>103</v>
          </cell>
          <cell r="B1019" t="str">
            <v>FG</v>
          </cell>
          <cell r="C1019" t="str">
            <v>FM</v>
          </cell>
          <cell r="D1019" t="str">
            <v>C16+C18(30:70)TA</v>
          </cell>
          <cell r="E1019" t="str">
            <v>C16-C18</v>
          </cell>
          <cell r="BF1019">
            <v>162.41999999999999</v>
          </cell>
        </row>
        <row r="1020">
          <cell r="A1020">
            <v>104</v>
          </cell>
          <cell r="B1020" t="str">
            <v>FG</v>
          </cell>
          <cell r="C1020" t="str">
            <v>FM</v>
          </cell>
          <cell r="D1020" t="str">
            <v>HYD.RBDPS-G3</v>
          </cell>
          <cell r="E1020" t="str">
            <v>HYD.RBDPS</v>
          </cell>
          <cell r="I1020">
            <v>0.3</v>
          </cell>
          <cell r="AJ1020">
            <v>41.585999999999999</v>
          </cell>
          <cell r="AS1020">
            <v>66.989999999999995</v>
          </cell>
          <cell r="BB1020">
            <v>50.285999999999994</v>
          </cell>
        </row>
        <row r="1021">
          <cell r="A1021">
            <v>105</v>
          </cell>
          <cell r="B1021" t="str">
            <v>FG</v>
          </cell>
          <cell r="C1021" t="str">
            <v>SM</v>
          </cell>
          <cell r="D1021" t="str">
            <v>L/E MUSTARD C1820</v>
          </cell>
          <cell r="E1021" t="str">
            <v>DFA C18C20 MFA</v>
          </cell>
          <cell r="I1021">
            <v>187.01892857142857</v>
          </cell>
          <cell r="R1021">
            <v>176.11285714285717</v>
          </cell>
          <cell r="AA1021">
            <v>282.71199999999999</v>
          </cell>
          <cell r="AJ1021">
            <v>607.5</v>
          </cell>
          <cell r="AS1021">
            <v>735.3</v>
          </cell>
          <cell r="BA1021">
            <v>635.91</v>
          </cell>
          <cell r="BB1021">
            <v>691.1</v>
          </cell>
        </row>
        <row r="1022">
          <cell r="A1022">
            <v>106</v>
          </cell>
          <cell r="B1022" t="str">
            <v>FG</v>
          </cell>
          <cell r="C1022" t="str">
            <v>SM</v>
          </cell>
          <cell r="D1022" t="str">
            <v>L/E MUSTARD UPTO C18 (OLEIC 15)</v>
          </cell>
          <cell r="E1022" t="str">
            <v>DFA C18 PURE MFA (OLEIC 15)</v>
          </cell>
        </row>
        <row r="1023">
          <cell r="A1023">
            <v>107</v>
          </cell>
          <cell r="B1023" t="str">
            <v>FG</v>
          </cell>
          <cell r="C1023" t="str">
            <v>SM</v>
          </cell>
          <cell r="D1023" t="str">
            <v>DC20+22&gt;98%</v>
          </cell>
          <cell r="E1023" t="str">
            <v>C20-C22</v>
          </cell>
          <cell r="I1023">
            <v>285.58619999999996</v>
          </cell>
          <cell r="R1023">
            <v>288.34000000000003</v>
          </cell>
          <cell r="AA1023">
            <v>285.58619999999996</v>
          </cell>
          <cell r="AJ1023">
            <v>285.58619999999996</v>
          </cell>
          <cell r="AS1023">
            <v>285.58619999999996</v>
          </cell>
          <cell r="BB1023">
            <v>285.58619999999996</v>
          </cell>
        </row>
        <row r="1024">
          <cell r="A1024">
            <v>108</v>
          </cell>
          <cell r="B1024" t="str">
            <v>FG</v>
          </cell>
          <cell r="C1024" t="str">
            <v>FM</v>
          </cell>
          <cell r="D1024" t="str">
            <v>DC22:1&gt;90%</v>
          </cell>
          <cell r="E1024" t="str">
            <v>ERUCIC</v>
          </cell>
          <cell r="I1024">
            <v>344.8</v>
          </cell>
          <cell r="R1024">
            <v>344.8</v>
          </cell>
          <cell r="AA1024">
            <v>264.2</v>
          </cell>
          <cell r="AJ1024">
            <v>278.89999999999998</v>
          </cell>
          <cell r="AS1024">
            <v>186.09300000000002</v>
          </cell>
          <cell r="BB1024">
            <v>186.09300000000002</v>
          </cell>
        </row>
        <row r="1025">
          <cell r="A1025">
            <v>109</v>
          </cell>
          <cell r="B1025" t="str">
            <v>FG</v>
          </cell>
          <cell r="C1025" t="str">
            <v>FM</v>
          </cell>
          <cell r="D1025" t="str">
            <v>D C18/C22 - R</v>
          </cell>
          <cell r="E1025" t="str">
            <v>D C18/C22 - R</v>
          </cell>
          <cell r="G1025">
            <v>1242.5911999999998</v>
          </cell>
          <cell r="P1025">
            <v>1242.5911999999998</v>
          </cell>
          <cell r="Y1025">
            <v>1248.0164</v>
          </cell>
          <cell r="AH1025">
            <v>1193.7643999999998</v>
          </cell>
          <cell r="AQ1025">
            <v>1068.7643999999998</v>
          </cell>
          <cell r="AZ1025">
            <v>1068.7643999999998</v>
          </cell>
        </row>
        <row r="1026">
          <cell r="A1026">
            <v>110</v>
          </cell>
          <cell r="B1026" t="str">
            <v>FG</v>
          </cell>
          <cell r="C1026" t="str">
            <v>FM</v>
          </cell>
          <cell r="D1026" t="str">
            <v>BEHENIC-90</v>
          </cell>
          <cell r="E1026" t="str">
            <v>BEHENIC-90</v>
          </cell>
        </row>
        <row r="1027">
          <cell r="A1027">
            <v>111</v>
          </cell>
          <cell r="B1027" t="str">
            <v>FG</v>
          </cell>
          <cell r="C1027" t="str">
            <v>FM</v>
          </cell>
          <cell r="D1027" t="str">
            <v>BEHENIC-75</v>
          </cell>
          <cell r="E1027" t="str">
            <v>BEHENIC-75</v>
          </cell>
        </row>
        <row r="1028">
          <cell r="A1028">
            <v>112</v>
          </cell>
          <cell r="B1028" t="str">
            <v>FG</v>
          </cell>
          <cell r="C1028" t="str">
            <v>FM</v>
          </cell>
          <cell r="D1028" t="str">
            <v>BEHENIC-85</v>
          </cell>
          <cell r="E1028" t="str">
            <v>BEHENIC-85</v>
          </cell>
        </row>
        <row r="1029">
          <cell r="A1029">
            <v>113</v>
          </cell>
          <cell r="B1029" t="str">
            <v>FG</v>
          </cell>
          <cell r="C1029" t="str">
            <v>FM</v>
          </cell>
          <cell r="D1029" t="str">
            <v>UTSR</v>
          </cell>
          <cell r="E1029" t="str">
            <v>UTSR</v>
          </cell>
          <cell r="F1029">
            <v>41.085000000000001</v>
          </cell>
          <cell r="X1029">
            <v>97.61999999999999</v>
          </cell>
          <cell r="AG1029">
            <v>57.28</v>
          </cell>
          <cell r="AP1029">
            <v>67.965000000000003</v>
          </cell>
          <cell r="AY1029">
            <v>328.82000000000005</v>
          </cell>
        </row>
        <row r="1030">
          <cell r="A1030">
            <v>114</v>
          </cell>
          <cell r="B1030" t="str">
            <v>FG</v>
          </cell>
          <cell r="C1030" t="str">
            <v>FM</v>
          </cell>
          <cell r="D1030" t="str">
            <v>P-12</v>
          </cell>
          <cell r="E1030" t="str">
            <v>P-12</v>
          </cell>
          <cell r="AS1030">
            <v>0.87</v>
          </cell>
        </row>
        <row r="1031">
          <cell r="A1031">
            <v>115</v>
          </cell>
          <cell r="B1031" t="str">
            <v>FG</v>
          </cell>
          <cell r="C1031" t="str">
            <v>FM</v>
          </cell>
          <cell r="D1031" t="str">
            <v>DTP-7</v>
          </cell>
          <cell r="E1031" t="str">
            <v>DTP-7</v>
          </cell>
          <cell r="AA1031">
            <v>133.97999999999999</v>
          </cell>
          <cell r="AJ1031">
            <v>17.922000000000001</v>
          </cell>
          <cell r="AS1031">
            <v>15.66</v>
          </cell>
        </row>
        <row r="1032">
          <cell r="A1032">
            <v>116</v>
          </cell>
          <cell r="B1032" t="str">
            <v>FG</v>
          </cell>
          <cell r="C1032" t="str">
            <v>FM</v>
          </cell>
          <cell r="D1032" t="str">
            <v>DTP-CT</v>
          </cell>
          <cell r="E1032" t="str">
            <v>DTP-CT</v>
          </cell>
        </row>
        <row r="1033">
          <cell r="A1033">
            <v>117</v>
          </cell>
          <cell r="B1033" t="str">
            <v>FG</v>
          </cell>
          <cell r="C1033" t="str">
            <v>FM</v>
          </cell>
          <cell r="D1033" t="str">
            <v>REFINED GLYCERINE-CP</v>
          </cell>
          <cell r="E1033" t="str">
            <v>REFINED GLYCERINE-CP</v>
          </cell>
          <cell r="F1033">
            <v>18.8</v>
          </cell>
          <cell r="J1033">
            <v>83.37</v>
          </cell>
          <cell r="O1033">
            <v>21</v>
          </cell>
          <cell r="S1033">
            <v>76.343000000000004</v>
          </cell>
          <cell r="X1033">
            <v>37</v>
          </cell>
          <cell r="Z1033">
            <v>0.34</v>
          </cell>
          <cell r="AB1033">
            <v>62.512</v>
          </cell>
          <cell r="AG1033">
            <v>12.925000000000001</v>
          </cell>
          <cell r="AK1033">
            <v>98.831999999999994</v>
          </cell>
          <cell r="AP1033">
            <v>1.88</v>
          </cell>
          <cell r="AT1033">
            <v>110.744</v>
          </cell>
          <cell r="AY1033">
            <v>11.75</v>
          </cell>
          <cell r="BC1033">
            <v>110.744</v>
          </cell>
        </row>
        <row r="1034">
          <cell r="A1034">
            <v>118</v>
          </cell>
          <cell r="B1034" t="str">
            <v>FG</v>
          </cell>
          <cell r="C1034" t="str">
            <v>FM</v>
          </cell>
          <cell r="D1034" t="str">
            <v>REFINED GLYCERINE-IP</v>
          </cell>
          <cell r="E1034" t="str">
            <v>REFINED GLYCERINE-IP</v>
          </cell>
          <cell r="J1034">
            <v>28.314</v>
          </cell>
          <cell r="S1034">
            <v>66.977999999999994</v>
          </cell>
          <cell r="AB1034">
            <v>146.261</v>
          </cell>
          <cell r="AK1034">
            <v>116.297</v>
          </cell>
          <cell r="AT1034">
            <v>96.488</v>
          </cell>
          <cell r="BC1034">
            <v>197.16900000000001</v>
          </cell>
        </row>
        <row r="1035">
          <cell r="A1035">
            <v>119</v>
          </cell>
          <cell r="B1035" t="str">
            <v>FG</v>
          </cell>
          <cell r="C1035" t="str">
            <v>FM</v>
          </cell>
          <cell r="D1035" t="str">
            <v>REFINED GLYCERINE-USP</v>
          </cell>
          <cell r="E1035" t="str">
            <v>REFINED GLYCERINE-USP</v>
          </cell>
          <cell r="F1035">
            <v>19.25</v>
          </cell>
          <cell r="O1035">
            <v>39.97</v>
          </cell>
          <cell r="X1035">
            <v>34.066000000000003</v>
          </cell>
          <cell r="AG1035">
            <v>58.91</v>
          </cell>
          <cell r="AP1035">
            <v>160.80000000000001</v>
          </cell>
          <cell r="AY1035">
            <v>148.24</v>
          </cell>
        </row>
        <row r="1036">
          <cell r="A1036">
            <v>120</v>
          </cell>
          <cell r="B1036" t="str">
            <v>FG</v>
          </cell>
          <cell r="C1036" t="str">
            <v>FM</v>
          </cell>
          <cell r="D1036" t="str">
            <v>REFINED GLYCERINE-JP</v>
          </cell>
          <cell r="E1036" t="str">
            <v>REFINED GLYCERINE-JP</v>
          </cell>
          <cell r="F1036">
            <v>17</v>
          </cell>
          <cell r="O1036">
            <v>6</v>
          </cell>
          <cell r="X1036">
            <v>6</v>
          </cell>
          <cell r="AG1036">
            <v>6</v>
          </cell>
          <cell r="AP1036">
            <v>6</v>
          </cell>
          <cell r="AY1036">
            <v>6</v>
          </cell>
        </row>
        <row r="1037">
          <cell r="A1037">
            <v>238</v>
          </cell>
          <cell r="B1037" t="str">
            <v>FG</v>
          </cell>
          <cell r="C1037" t="str">
            <v>FM</v>
          </cell>
          <cell r="D1037" t="str">
            <v>DFA C18/C22 C22:1</v>
          </cell>
          <cell r="E1037" t="str">
            <v>DFA C18/C22 C22:1</v>
          </cell>
        </row>
        <row r="1038">
          <cell r="A1038">
            <v>243</v>
          </cell>
          <cell r="B1038" t="str">
            <v>FG</v>
          </cell>
          <cell r="C1038" t="str">
            <v>FM</v>
          </cell>
          <cell r="D1038" t="str">
            <v>STEARIC-90</v>
          </cell>
          <cell r="E1038" t="str">
            <v>STEARIC-90</v>
          </cell>
          <cell r="F1038">
            <v>79.599999999999994</v>
          </cell>
        </row>
        <row r="1039">
          <cell r="A1039">
            <v>245</v>
          </cell>
          <cell r="B1039" t="str">
            <v>FG</v>
          </cell>
          <cell r="C1039" t="str">
            <v>FM</v>
          </cell>
          <cell r="D1039" t="str">
            <v>HPS</v>
          </cell>
          <cell r="E1039" t="str">
            <v>HPS</v>
          </cell>
        </row>
        <row r="1040">
          <cell r="A1040">
            <v>249</v>
          </cell>
          <cell r="B1040" t="str">
            <v>FG</v>
          </cell>
          <cell r="C1040" t="str">
            <v>FM</v>
          </cell>
          <cell r="D1040" t="str">
            <v>OLEIC - IG</v>
          </cell>
          <cell r="E1040" t="str">
            <v>OLEIC - IG</v>
          </cell>
        </row>
        <row r="1041">
          <cell r="F1041">
            <v>786.73064999999997</v>
          </cell>
          <cell r="G1041">
            <v>1295.1211999999998</v>
          </cell>
          <cell r="H1041">
            <v>1642.4920000000002</v>
          </cell>
          <cell r="I1041">
            <v>3575.9483357142863</v>
          </cell>
          <cell r="J1041">
            <v>372.21900000000005</v>
          </cell>
          <cell r="K1041">
            <v>0</v>
          </cell>
          <cell r="L1041">
            <v>0</v>
          </cell>
          <cell r="M1041">
            <v>120.63</v>
          </cell>
          <cell r="N1041">
            <v>0</v>
          </cell>
          <cell r="O1041">
            <v>617.23690000000011</v>
          </cell>
          <cell r="P1041">
            <v>1341.1093999999998</v>
          </cell>
          <cell r="Q1041">
            <v>1619.68</v>
          </cell>
          <cell r="R1041">
            <v>3730.3529999999996</v>
          </cell>
          <cell r="S1041">
            <v>347.55200000000002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791.23620000000005</v>
          </cell>
          <cell r="Y1041">
            <v>1300.5463999999999</v>
          </cell>
          <cell r="Z1041">
            <v>1589.9199999999998</v>
          </cell>
          <cell r="AA1041">
            <v>2569.9960571428569</v>
          </cell>
          <cell r="AB1041">
            <v>424.96500000000003</v>
          </cell>
          <cell r="AC1041">
            <v>0</v>
          </cell>
          <cell r="AD1041">
            <v>0</v>
          </cell>
          <cell r="AE1041">
            <v>94.84</v>
          </cell>
          <cell r="AF1041">
            <v>0</v>
          </cell>
          <cell r="AG1041">
            <v>694.8060999999999</v>
          </cell>
          <cell r="AH1041">
            <v>1246.2943999999998</v>
          </cell>
          <cell r="AI1041">
            <v>1374.29</v>
          </cell>
          <cell r="AJ1041">
            <v>2335.5909142857145</v>
          </cell>
          <cell r="AK1041">
            <v>504.22299999999996</v>
          </cell>
          <cell r="AL1041">
            <v>0</v>
          </cell>
          <cell r="AM1041">
            <v>0</v>
          </cell>
          <cell r="AN1041">
            <v>22.07</v>
          </cell>
          <cell r="AO1041">
            <v>0</v>
          </cell>
          <cell r="AP1041">
            <v>694.26459999999997</v>
          </cell>
          <cell r="AQ1041">
            <v>1110.2443999999998</v>
          </cell>
          <cell r="AR1041">
            <v>995.8</v>
          </cell>
          <cell r="AS1041">
            <v>4256.4183428571423</v>
          </cell>
          <cell r="AT1041">
            <v>207.232</v>
          </cell>
          <cell r="AU1041">
            <v>0</v>
          </cell>
          <cell r="AV1041">
            <v>0</v>
          </cell>
          <cell r="AW1041">
            <v>224.62</v>
          </cell>
          <cell r="AX1041">
            <v>0</v>
          </cell>
          <cell r="AY1041">
            <v>1000.6600000000001</v>
          </cell>
          <cell r="AZ1041">
            <v>1068.7643999999998</v>
          </cell>
          <cell r="BA1041">
            <v>871.56999999999994</v>
          </cell>
          <cell r="BB1041">
            <v>4722.3263428571427</v>
          </cell>
          <cell r="BC1041">
            <v>439.72699999999998</v>
          </cell>
          <cell r="BD1041">
            <v>0</v>
          </cell>
          <cell r="BE1041">
            <v>0</v>
          </cell>
          <cell r="BF1041">
            <v>221.6</v>
          </cell>
          <cell r="BG1041">
            <v>0</v>
          </cell>
        </row>
        <row r="1042">
          <cell r="A1042" t="str">
            <v>DRUMS</v>
          </cell>
        </row>
        <row r="1043">
          <cell r="A1043">
            <v>121</v>
          </cell>
          <cell r="B1043" t="str">
            <v>FG</v>
          </cell>
          <cell r="C1043" t="str">
            <v>FM</v>
          </cell>
          <cell r="D1043" t="str">
            <v>REFINED GLYCERINE-CP</v>
          </cell>
          <cell r="F1043">
            <v>1.25</v>
          </cell>
          <cell r="H1043">
            <v>0.34</v>
          </cell>
          <cell r="J1043">
            <v>41</v>
          </cell>
          <cell r="O1043">
            <v>1.25</v>
          </cell>
          <cell r="Q1043">
            <v>0.34</v>
          </cell>
          <cell r="S1043">
            <v>66.5</v>
          </cell>
          <cell r="X1043">
            <v>1.25</v>
          </cell>
          <cell r="AB1043">
            <v>71</v>
          </cell>
          <cell r="AG1043">
            <v>1</v>
          </cell>
          <cell r="AI1043">
            <v>0.34</v>
          </cell>
          <cell r="AK1043">
            <v>45.5</v>
          </cell>
          <cell r="AP1043">
            <v>4</v>
          </cell>
          <cell r="AR1043">
            <v>0.34</v>
          </cell>
          <cell r="AT1043">
            <v>36</v>
          </cell>
          <cell r="AY1043">
            <v>13</v>
          </cell>
          <cell r="BA1043">
            <v>0.34</v>
          </cell>
          <cell r="BC1043">
            <v>38.25</v>
          </cell>
        </row>
        <row r="1044">
          <cell r="A1044">
            <v>122</v>
          </cell>
          <cell r="B1044" t="str">
            <v>FG</v>
          </cell>
          <cell r="C1044" t="str">
            <v>FM</v>
          </cell>
          <cell r="D1044" t="str">
            <v>REFINED GLYCERINE-IP</v>
          </cell>
          <cell r="F1044">
            <v>1</v>
          </cell>
          <cell r="J1044">
            <v>8.75</v>
          </cell>
          <cell r="S1044">
            <v>33.5</v>
          </cell>
          <cell r="X1044">
            <v>6</v>
          </cell>
          <cell r="AB1044">
            <v>50</v>
          </cell>
          <cell r="AG1044">
            <v>3</v>
          </cell>
          <cell r="AK1044">
            <v>55.25</v>
          </cell>
          <cell r="AP1044">
            <v>2</v>
          </cell>
          <cell r="AT1044">
            <v>120.75</v>
          </cell>
          <cell r="AY1044">
            <v>11</v>
          </cell>
          <cell r="BC1044">
            <v>115.75</v>
          </cell>
        </row>
        <row r="1045">
          <cell r="A1045">
            <v>123</v>
          </cell>
          <cell r="B1045" t="str">
            <v>FG</v>
          </cell>
          <cell r="C1045" t="str">
            <v>FM</v>
          </cell>
          <cell r="D1045" t="str">
            <v>REFINED GLYCERINE-USP</v>
          </cell>
          <cell r="X1045">
            <v>18</v>
          </cell>
          <cell r="AG1045">
            <v>14.25</v>
          </cell>
          <cell r="AP1045">
            <v>18</v>
          </cell>
          <cell r="AY1045">
            <v>36</v>
          </cell>
        </row>
        <row r="1046">
          <cell r="A1046">
            <v>124</v>
          </cell>
          <cell r="B1046" t="str">
            <v>FG</v>
          </cell>
          <cell r="C1046" t="str">
            <v>FM</v>
          </cell>
          <cell r="D1046" t="str">
            <v>REFINED GLYCERINE-JP</v>
          </cell>
          <cell r="F1046">
            <v>40</v>
          </cell>
        </row>
        <row r="1047">
          <cell r="A1047">
            <v>125</v>
          </cell>
          <cell r="B1047" t="str">
            <v>FG</v>
          </cell>
          <cell r="C1047" t="str">
            <v>FM</v>
          </cell>
          <cell r="D1047" t="str">
            <v>DPKO</v>
          </cell>
          <cell r="I1047">
            <v>20.16</v>
          </cell>
          <cell r="AJ1047">
            <v>5.58</v>
          </cell>
          <cell r="AS1047">
            <v>9.09</v>
          </cell>
          <cell r="BB1047">
            <v>9.5399999999999991</v>
          </cell>
        </row>
        <row r="1048">
          <cell r="A1048">
            <v>126</v>
          </cell>
          <cell r="B1048" t="str">
            <v>FG</v>
          </cell>
          <cell r="C1048" t="str">
            <v>FM</v>
          </cell>
          <cell r="D1048" t="str">
            <v>C6&gt;98%</v>
          </cell>
          <cell r="F1048">
            <v>0.18</v>
          </cell>
          <cell r="H1048">
            <v>0.9</v>
          </cell>
          <cell r="Q1048">
            <v>0.9</v>
          </cell>
          <cell r="Z1048">
            <v>0.9</v>
          </cell>
          <cell r="AG1048">
            <v>0.18</v>
          </cell>
          <cell r="AI1048">
            <v>0.9</v>
          </cell>
          <cell r="AP1048">
            <v>0.18</v>
          </cell>
          <cell r="AR1048">
            <v>0.9</v>
          </cell>
          <cell r="BA1048">
            <v>0.9</v>
          </cell>
        </row>
        <row r="1049">
          <cell r="A1049">
            <v>127</v>
          </cell>
          <cell r="B1049" t="str">
            <v>FG</v>
          </cell>
          <cell r="C1049" t="str">
            <v>FM</v>
          </cell>
          <cell r="D1049" t="str">
            <v>C8&gt;98%</v>
          </cell>
          <cell r="F1049">
            <v>12.24</v>
          </cell>
          <cell r="H1049">
            <v>7.02</v>
          </cell>
          <cell r="O1049">
            <v>9.9</v>
          </cell>
          <cell r="Q1049">
            <v>7.02</v>
          </cell>
          <cell r="X1049">
            <v>9.7199999999999989</v>
          </cell>
          <cell r="Z1049">
            <v>7.02</v>
          </cell>
          <cell r="AG1049">
            <v>9.5399999999999991</v>
          </cell>
          <cell r="AI1049">
            <v>7.02</v>
          </cell>
          <cell r="AP1049">
            <v>8.64</v>
          </cell>
          <cell r="AR1049">
            <v>7.02</v>
          </cell>
          <cell r="AY1049">
            <v>10.44</v>
          </cell>
          <cell r="BA1049">
            <v>7.02</v>
          </cell>
        </row>
        <row r="1050">
          <cell r="A1050">
            <v>128</v>
          </cell>
          <cell r="B1050" t="str">
            <v>FG</v>
          </cell>
          <cell r="C1050" t="str">
            <v>FM</v>
          </cell>
          <cell r="D1050" t="str">
            <v>C10&gt;98%</v>
          </cell>
          <cell r="F1050">
            <v>6.84</v>
          </cell>
          <cell r="H1050">
            <v>0.18</v>
          </cell>
          <cell r="O1050">
            <v>6.84</v>
          </cell>
          <cell r="Q1050">
            <v>0.18</v>
          </cell>
          <cell r="X1050">
            <v>6.66</v>
          </cell>
          <cell r="Z1050">
            <v>0.18</v>
          </cell>
          <cell r="AG1050">
            <v>6.66</v>
          </cell>
          <cell r="AI1050">
            <v>0.18</v>
          </cell>
          <cell r="AP1050">
            <v>6.66</v>
          </cell>
          <cell r="AR1050">
            <v>0.18</v>
          </cell>
          <cell r="AY1050">
            <v>6.66</v>
          </cell>
          <cell r="BA1050">
            <v>0.18</v>
          </cell>
        </row>
        <row r="1051">
          <cell r="A1051">
            <v>129</v>
          </cell>
          <cell r="B1051" t="str">
            <v>FG</v>
          </cell>
          <cell r="C1051" t="str">
            <v>FM</v>
          </cell>
          <cell r="D1051" t="str">
            <v>C8+C10&gt;98%</v>
          </cell>
          <cell r="F1051">
            <v>0.54</v>
          </cell>
          <cell r="H1051">
            <v>3.7749999999999999</v>
          </cell>
          <cell r="O1051">
            <v>0.54</v>
          </cell>
          <cell r="Q1051">
            <v>3.7749999999999999</v>
          </cell>
          <cell r="X1051">
            <v>0.54</v>
          </cell>
          <cell r="Z1051">
            <v>3.7749999999999999</v>
          </cell>
          <cell r="AG1051">
            <v>0.54</v>
          </cell>
          <cell r="AI1051">
            <v>3.7749999999999999</v>
          </cell>
          <cell r="AR1051">
            <v>3.7749999999999999</v>
          </cell>
          <cell r="BA1051">
            <v>3.7749999999999999</v>
          </cell>
        </row>
        <row r="1052">
          <cell r="A1052">
            <v>130</v>
          </cell>
          <cell r="B1052" t="str">
            <v>FG</v>
          </cell>
          <cell r="C1052" t="str">
            <v>FM</v>
          </cell>
          <cell r="D1052" t="str">
            <v>OLEIC-15</v>
          </cell>
          <cell r="H1052">
            <v>0.185</v>
          </cell>
          <cell r="I1052">
            <v>89.28</v>
          </cell>
          <cell r="Q1052">
            <v>0.185</v>
          </cell>
          <cell r="R1052">
            <v>89.73</v>
          </cell>
          <cell r="Z1052">
            <v>0.185</v>
          </cell>
          <cell r="AA1052">
            <v>111.78</v>
          </cell>
          <cell r="AI1052">
            <v>0.185</v>
          </cell>
          <cell r="AJ1052">
            <v>120.96</v>
          </cell>
          <cell r="AR1052">
            <v>0.185</v>
          </cell>
          <cell r="AS1052">
            <v>121.86</v>
          </cell>
          <cell r="BA1052">
            <v>0.185</v>
          </cell>
          <cell r="BB1052">
            <v>121.86</v>
          </cell>
        </row>
        <row r="1053">
          <cell r="A1053">
            <v>131</v>
          </cell>
          <cell r="B1053" t="str">
            <v>FG</v>
          </cell>
          <cell r="C1053" t="str">
            <v>NM</v>
          </cell>
          <cell r="D1053" t="str">
            <v>OLEIC-20</v>
          </cell>
          <cell r="H1053">
            <v>0.09</v>
          </cell>
          <cell r="Q1053">
            <v>0.09</v>
          </cell>
          <cell r="Z1053">
            <v>0.09</v>
          </cell>
          <cell r="AI1053">
            <v>0.09</v>
          </cell>
          <cell r="AR1053">
            <v>0.09</v>
          </cell>
          <cell r="BA1053">
            <v>0.09</v>
          </cell>
        </row>
        <row r="1054">
          <cell r="A1054">
            <v>132</v>
          </cell>
          <cell r="B1054" t="str">
            <v>FG</v>
          </cell>
          <cell r="C1054" t="str">
            <v>NM</v>
          </cell>
          <cell r="D1054" t="str">
            <v>OLEIC-26</v>
          </cell>
          <cell r="H1054">
            <v>0.63</v>
          </cell>
          <cell r="Q1054">
            <v>0.63</v>
          </cell>
          <cell r="Z1054">
            <v>0.63</v>
          </cell>
          <cell r="AI1054">
            <v>0.63</v>
          </cell>
          <cell r="AR1054">
            <v>0.63</v>
          </cell>
          <cell r="BA1054">
            <v>0.63</v>
          </cell>
        </row>
        <row r="1055">
          <cell r="A1055">
            <v>133</v>
          </cell>
          <cell r="B1055" t="str">
            <v>FG</v>
          </cell>
          <cell r="C1055" t="str">
            <v>NM</v>
          </cell>
          <cell r="D1055" t="str">
            <v>OLEIC-29</v>
          </cell>
          <cell r="H1055">
            <v>0.18</v>
          </cell>
          <cell r="Q1055">
            <v>0.18</v>
          </cell>
          <cell r="Z1055">
            <v>0.18</v>
          </cell>
          <cell r="AI1055">
            <v>0.18</v>
          </cell>
          <cell r="AR1055">
            <v>0.18</v>
          </cell>
          <cell r="BA1055">
            <v>0.18</v>
          </cell>
        </row>
        <row r="1056">
          <cell r="A1056">
            <v>134</v>
          </cell>
          <cell r="B1056" t="str">
            <v>FG</v>
          </cell>
          <cell r="C1056" t="str">
            <v>FM</v>
          </cell>
          <cell r="D1056" t="str">
            <v>OLEIC-K</v>
          </cell>
          <cell r="H1056">
            <v>4.0650000000000004</v>
          </cell>
          <cell r="I1056">
            <v>2.52</v>
          </cell>
          <cell r="Q1056">
            <v>4.0650000000000004</v>
          </cell>
          <cell r="R1056">
            <v>1.62</v>
          </cell>
          <cell r="X1056">
            <v>6.84</v>
          </cell>
          <cell r="Z1056">
            <v>4.0650000000000004</v>
          </cell>
          <cell r="AA1056">
            <v>1.62</v>
          </cell>
          <cell r="AG1056">
            <v>6.84</v>
          </cell>
          <cell r="AI1056">
            <v>4.0650000000000004</v>
          </cell>
          <cell r="AJ1056">
            <v>1.62</v>
          </cell>
          <cell r="AP1056">
            <v>4.68</v>
          </cell>
          <cell r="AR1056">
            <v>4.0650000000000004</v>
          </cell>
          <cell r="AS1056">
            <v>1.62</v>
          </cell>
          <cell r="AY1056">
            <v>4.68</v>
          </cell>
          <cell r="BA1056">
            <v>4.0650000000000004</v>
          </cell>
          <cell r="BB1056">
            <v>1.62</v>
          </cell>
        </row>
        <row r="1057">
          <cell r="A1057">
            <v>135</v>
          </cell>
          <cell r="B1057" t="str">
            <v>FG</v>
          </cell>
          <cell r="C1057" t="str">
            <v>NM</v>
          </cell>
          <cell r="D1057" t="str">
            <v>OLEIC-70</v>
          </cell>
          <cell r="H1057">
            <v>0.185</v>
          </cell>
          <cell r="Q1057">
            <v>0.185</v>
          </cell>
          <cell r="Z1057">
            <v>0.185</v>
          </cell>
          <cell r="AI1057">
            <v>0.185</v>
          </cell>
          <cell r="AR1057">
            <v>0.185</v>
          </cell>
          <cell r="BA1057">
            <v>0.185</v>
          </cell>
        </row>
        <row r="1058">
          <cell r="A1058">
            <v>136</v>
          </cell>
          <cell r="B1058" t="str">
            <v>FG</v>
          </cell>
          <cell r="C1058" t="str">
            <v>FM</v>
          </cell>
          <cell r="D1058" t="str">
            <v>C22:1&gt;90</v>
          </cell>
          <cell r="F1058">
            <v>0.18</v>
          </cell>
          <cell r="I1058">
            <v>1.44</v>
          </cell>
          <cell r="O1058">
            <v>0.18</v>
          </cell>
          <cell r="R1058">
            <v>1.44</v>
          </cell>
          <cell r="X1058">
            <v>0.18</v>
          </cell>
          <cell r="AA1058">
            <v>1.44</v>
          </cell>
          <cell r="AG1058">
            <v>0.18</v>
          </cell>
          <cell r="AJ1058">
            <v>1.44</v>
          </cell>
          <cell r="AP1058">
            <v>0.18</v>
          </cell>
          <cell r="AS1058">
            <v>1.44</v>
          </cell>
          <cell r="AY1058">
            <v>0.18</v>
          </cell>
          <cell r="BB1058">
            <v>1.44</v>
          </cell>
        </row>
        <row r="1059">
          <cell r="A1059">
            <v>137</v>
          </cell>
          <cell r="B1059" t="str">
            <v>FG</v>
          </cell>
          <cell r="C1059" t="str">
            <v>NM</v>
          </cell>
          <cell r="D1059" t="str">
            <v>DCPS</v>
          </cell>
        </row>
        <row r="1060">
          <cell r="A1060">
            <v>138</v>
          </cell>
          <cell r="B1060" t="str">
            <v>FG</v>
          </cell>
          <cell r="C1060" t="str">
            <v>NM</v>
          </cell>
          <cell r="D1060" t="str">
            <v>DFA C12/C14</v>
          </cell>
          <cell r="I1060">
            <v>0.68</v>
          </cell>
          <cell r="R1060">
            <v>0.68</v>
          </cell>
          <cell r="AA1060">
            <v>0.68</v>
          </cell>
          <cell r="AJ1060">
            <v>0.68</v>
          </cell>
          <cell r="AS1060">
            <v>0.68</v>
          </cell>
          <cell r="BB1060">
            <v>0.68</v>
          </cell>
        </row>
        <row r="1061">
          <cell r="A1061">
            <v>139</v>
          </cell>
          <cell r="B1061" t="str">
            <v>FG</v>
          </cell>
          <cell r="C1061" t="str">
            <v>NM</v>
          </cell>
          <cell r="D1061" t="str">
            <v>OLEIC-IG</v>
          </cell>
          <cell r="I1061">
            <v>8.3699999999999992</v>
          </cell>
          <cell r="R1061">
            <v>8.3699999999999992</v>
          </cell>
          <cell r="AA1061">
            <v>8.3699999999999992</v>
          </cell>
          <cell r="AJ1061">
            <v>8.3699999999999992</v>
          </cell>
          <cell r="AS1061">
            <v>8.3699999999999992</v>
          </cell>
          <cell r="BB1061">
            <v>8.3699999999999992</v>
          </cell>
        </row>
        <row r="1062">
          <cell r="A1062">
            <v>140</v>
          </cell>
          <cell r="B1062" t="str">
            <v>FG</v>
          </cell>
          <cell r="C1062" t="str">
            <v>NM</v>
          </cell>
          <cell r="D1062" t="str">
            <v>Vegarol 1214</v>
          </cell>
          <cell r="I1062">
            <v>9.18</v>
          </cell>
          <cell r="R1062">
            <v>9.18</v>
          </cell>
          <cell r="AA1062">
            <v>0.17</v>
          </cell>
          <cell r="AJ1062">
            <v>17.170000000000002</v>
          </cell>
          <cell r="AS1062">
            <v>7.48</v>
          </cell>
          <cell r="BB1062">
            <v>21.08</v>
          </cell>
        </row>
        <row r="1063">
          <cell r="A1063">
            <v>257</v>
          </cell>
          <cell r="B1063" t="str">
            <v>FG</v>
          </cell>
          <cell r="C1063" t="str">
            <v>NM</v>
          </cell>
          <cell r="D1063" t="str">
            <v>Vegarol 10</v>
          </cell>
          <cell r="I1063">
            <v>14.28</v>
          </cell>
          <cell r="R1063">
            <v>14.28</v>
          </cell>
          <cell r="AA1063">
            <v>14.28</v>
          </cell>
          <cell r="AJ1063">
            <v>14.28</v>
          </cell>
        </row>
        <row r="1064">
          <cell r="F1064">
            <v>62.230000000000004</v>
          </cell>
          <cell r="G1064">
            <v>0</v>
          </cell>
          <cell r="H1064">
            <v>17.55</v>
          </cell>
          <cell r="I1064">
            <v>145.91</v>
          </cell>
          <cell r="J1064">
            <v>49.75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18.71</v>
          </cell>
          <cell r="P1064">
            <v>0</v>
          </cell>
          <cell r="Q1064">
            <v>17.55</v>
          </cell>
          <cell r="R1064">
            <v>125.30000000000001</v>
          </cell>
          <cell r="S1064">
            <v>100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49.189999999999991</v>
          </cell>
          <cell r="Y1064">
            <v>0</v>
          </cell>
          <cell r="Z1064">
            <v>17.21</v>
          </cell>
          <cell r="AA1064">
            <v>138.34</v>
          </cell>
          <cell r="AB1064">
            <v>121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42.189999999999991</v>
          </cell>
          <cell r="AH1064">
            <v>0</v>
          </cell>
          <cell r="AI1064">
            <v>17.55</v>
          </cell>
          <cell r="AJ1064">
            <v>170.1</v>
          </cell>
          <cell r="AK1064">
            <v>100.75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44.34</v>
          </cell>
          <cell r="AQ1064">
            <v>0</v>
          </cell>
          <cell r="AR1064">
            <v>17.55</v>
          </cell>
          <cell r="AS1064">
            <v>150.54</v>
          </cell>
          <cell r="AT1064">
            <v>156.75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81.960000000000008</v>
          </cell>
          <cell r="AZ1064">
            <v>0</v>
          </cell>
          <cell r="BA1064">
            <v>17.55</v>
          </cell>
          <cell r="BB1064">
            <v>164.59000000000003</v>
          </cell>
          <cell r="BC1064">
            <v>154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</row>
        <row r="1065">
          <cell r="A1065" t="str">
            <v>FATTY ACID FLAKES</v>
          </cell>
        </row>
        <row r="1066">
          <cell r="A1066">
            <v>141</v>
          </cell>
          <cell r="B1066" t="str">
            <v>FG</v>
          </cell>
          <cell r="C1066" t="str">
            <v>FM</v>
          </cell>
          <cell r="D1066" t="str">
            <v>C14&gt;99%</v>
          </cell>
          <cell r="I1066">
            <v>32.875</v>
          </cell>
          <cell r="R1066">
            <v>32.875</v>
          </cell>
          <cell r="AA1066">
            <v>32.875</v>
          </cell>
          <cell r="AJ1066">
            <v>32.875</v>
          </cell>
          <cell r="AS1066">
            <v>32.875</v>
          </cell>
          <cell r="BB1066">
            <v>32.875</v>
          </cell>
        </row>
        <row r="1067">
          <cell r="A1067">
            <v>142</v>
          </cell>
          <cell r="B1067" t="str">
            <v>FG</v>
          </cell>
          <cell r="C1067" t="str">
            <v>FM</v>
          </cell>
          <cell r="D1067" t="str">
            <v>C16 85%</v>
          </cell>
          <cell r="AS1067">
            <v>140</v>
          </cell>
          <cell r="BB1067">
            <v>140</v>
          </cell>
        </row>
        <row r="1068">
          <cell r="A1068">
            <v>143</v>
          </cell>
          <cell r="B1068" t="str">
            <v>FG</v>
          </cell>
          <cell r="C1068" t="str">
            <v>FM</v>
          </cell>
          <cell r="D1068" t="str">
            <v>UTSR</v>
          </cell>
          <cell r="F1068">
            <v>199.5</v>
          </cell>
          <cell r="H1068">
            <v>41.35</v>
          </cell>
          <cell r="I1068">
            <v>114.06</v>
          </cell>
          <cell r="O1068">
            <v>122.5</v>
          </cell>
          <cell r="Q1068">
            <v>0.35</v>
          </cell>
          <cell r="R1068">
            <v>288.95999999999998</v>
          </cell>
          <cell r="X1068">
            <v>129.44999999999999</v>
          </cell>
          <cell r="Z1068">
            <v>0.35</v>
          </cell>
          <cell r="AA1068">
            <v>200.21</v>
          </cell>
          <cell r="AG1068">
            <v>38.15</v>
          </cell>
          <cell r="AI1068">
            <v>0.35</v>
          </cell>
          <cell r="AJ1068">
            <v>202.66</v>
          </cell>
          <cell r="AP1068">
            <v>137.30000000000001</v>
          </cell>
          <cell r="AR1068">
            <v>0.35</v>
          </cell>
          <cell r="AS1068">
            <v>132.11000000000001</v>
          </cell>
          <cell r="AY1068">
            <v>152.30000000000001</v>
          </cell>
          <cell r="BA1068">
            <v>0.35</v>
          </cell>
          <cell r="BB1068">
            <v>139.81</v>
          </cell>
        </row>
        <row r="1069">
          <cell r="A1069">
            <v>144</v>
          </cell>
          <cell r="B1069" t="str">
            <v>FG</v>
          </cell>
          <cell r="C1069" t="str">
            <v>FM</v>
          </cell>
          <cell r="D1069" t="str">
            <v>UTSR SPECIAL</v>
          </cell>
        </row>
        <row r="1070">
          <cell r="A1070">
            <v>145</v>
          </cell>
          <cell r="B1070" t="str">
            <v>FG</v>
          </cell>
          <cell r="C1070" t="str">
            <v>FM</v>
          </cell>
          <cell r="D1070" t="str">
            <v>DTP-7</v>
          </cell>
          <cell r="H1070">
            <v>0.9000000000000028</v>
          </cell>
          <cell r="I1070">
            <v>14.7</v>
          </cell>
          <cell r="Q1070">
            <v>0.9000000000000028</v>
          </cell>
          <cell r="R1070">
            <v>3.8</v>
          </cell>
          <cell r="Z1070">
            <v>0.9000000000000028</v>
          </cell>
          <cell r="AA1070">
            <v>91.25</v>
          </cell>
          <cell r="AI1070">
            <v>0.9</v>
          </cell>
          <cell r="AJ1070">
            <v>36.5</v>
          </cell>
          <cell r="AR1070">
            <v>0.9000000000000028</v>
          </cell>
          <cell r="AS1070">
            <v>82.4</v>
          </cell>
          <cell r="BA1070">
            <v>0.9000000000000028</v>
          </cell>
          <cell r="BB1070">
            <v>20.05</v>
          </cell>
        </row>
        <row r="1071">
          <cell r="A1071">
            <v>146</v>
          </cell>
          <cell r="B1071" t="str">
            <v>FG</v>
          </cell>
          <cell r="C1071" t="str">
            <v>FM</v>
          </cell>
          <cell r="D1071" t="str">
            <v>DTP-CT</v>
          </cell>
          <cell r="F1071">
            <v>0.15</v>
          </cell>
          <cell r="H1071">
            <v>0.35000000000000142</v>
          </cell>
          <cell r="Q1071">
            <v>0.35000000000000142</v>
          </cell>
          <cell r="Z1071">
            <v>0.25000000000000144</v>
          </cell>
          <cell r="AI1071">
            <v>0.25</v>
          </cell>
          <cell r="AJ1071">
            <v>146.44999999999999</v>
          </cell>
          <cell r="AR1071">
            <v>0.25000000000000144</v>
          </cell>
          <cell r="AS1071">
            <v>130.44999999999999</v>
          </cell>
          <cell r="BA1071">
            <v>0.25000000000000144</v>
          </cell>
          <cell r="BB1071">
            <v>130.6</v>
          </cell>
        </row>
        <row r="1072">
          <cell r="A1072">
            <v>147</v>
          </cell>
          <cell r="B1072" t="str">
            <v>FG</v>
          </cell>
          <cell r="C1072" t="str">
            <v>FM</v>
          </cell>
          <cell r="D1072" t="str">
            <v>P-12</v>
          </cell>
          <cell r="H1072">
            <v>1.2</v>
          </cell>
          <cell r="I1072">
            <v>85.2</v>
          </cell>
          <cell r="Q1072">
            <v>0.5</v>
          </cell>
          <cell r="R1072">
            <v>52.2</v>
          </cell>
          <cell r="Z1072">
            <v>0.5</v>
          </cell>
          <cell r="AA1072">
            <v>24.2</v>
          </cell>
          <cell r="AI1072">
            <v>0.5</v>
          </cell>
          <cell r="AR1072">
            <v>0.5</v>
          </cell>
          <cell r="AS1072">
            <v>103.25</v>
          </cell>
          <cell r="BA1072">
            <v>0.5</v>
          </cell>
          <cell r="BB1072">
            <v>67.25</v>
          </cell>
        </row>
        <row r="1073">
          <cell r="A1073">
            <v>148</v>
          </cell>
          <cell r="B1073" t="str">
            <v>FG</v>
          </cell>
          <cell r="C1073" t="str">
            <v>FM</v>
          </cell>
          <cell r="D1073" t="str">
            <v>P-12 SPECIAL</v>
          </cell>
        </row>
        <row r="1074">
          <cell r="A1074">
            <v>149</v>
          </cell>
          <cell r="B1074" t="str">
            <v>FG</v>
          </cell>
          <cell r="C1074" t="str">
            <v>NM</v>
          </cell>
          <cell r="D1074" t="str">
            <v>BEHENIC-75</v>
          </cell>
        </row>
        <row r="1075">
          <cell r="A1075">
            <v>150</v>
          </cell>
          <cell r="B1075" t="str">
            <v>FG</v>
          </cell>
          <cell r="C1075" t="str">
            <v>NM</v>
          </cell>
          <cell r="D1075" t="str">
            <v>BEHENIC-85</v>
          </cell>
        </row>
        <row r="1076">
          <cell r="A1076">
            <v>151</v>
          </cell>
          <cell r="B1076" t="str">
            <v>FG</v>
          </cell>
          <cell r="C1076" t="str">
            <v>FM</v>
          </cell>
          <cell r="D1076" t="str">
            <v>BEHENIC-90</v>
          </cell>
          <cell r="I1076">
            <v>147.5</v>
          </cell>
          <cell r="R1076">
            <v>127.5</v>
          </cell>
          <cell r="AA1076">
            <v>117</v>
          </cell>
          <cell r="AJ1076">
            <v>117</v>
          </cell>
          <cell r="AS1076">
            <v>97</v>
          </cell>
          <cell r="BB1076">
            <v>97</v>
          </cell>
        </row>
        <row r="1077">
          <cell r="A1077">
            <v>152</v>
          </cell>
          <cell r="B1077" t="str">
            <v>FG</v>
          </cell>
          <cell r="C1077" t="str">
            <v>FM</v>
          </cell>
          <cell r="D1077" t="str">
            <v>G3 STEARIC</v>
          </cell>
          <cell r="H1077">
            <v>3.9</v>
          </cell>
          <cell r="I1077">
            <v>40.450000000000003</v>
          </cell>
          <cell r="Q1077">
            <v>3.9</v>
          </cell>
          <cell r="R1077">
            <v>30.45</v>
          </cell>
          <cell r="Z1077">
            <v>3.9</v>
          </cell>
          <cell r="AA1077">
            <v>30.45</v>
          </cell>
          <cell r="AI1077">
            <v>3.9</v>
          </cell>
          <cell r="AJ1077">
            <v>20.45</v>
          </cell>
          <cell r="AR1077">
            <v>3.9</v>
          </cell>
          <cell r="AS1077">
            <v>20.45</v>
          </cell>
          <cell r="BA1077">
            <v>3.9</v>
          </cell>
          <cell r="BB1077">
            <v>10.45</v>
          </cell>
        </row>
        <row r="1078">
          <cell r="A1078">
            <v>153</v>
          </cell>
          <cell r="B1078" t="str">
            <v>FG</v>
          </cell>
          <cell r="C1078" t="str">
            <v>NM</v>
          </cell>
          <cell r="D1078" t="str">
            <v>HYD.CASTOR OIL</v>
          </cell>
        </row>
        <row r="1079">
          <cell r="A1079">
            <v>154</v>
          </cell>
          <cell r="B1079" t="str">
            <v>FG</v>
          </cell>
          <cell r="C1079" t="str">
            <v>FM</v>
          </cell>
          <cell r="D1079" t="str">
            <v>C16  W/E</v>
          </cell>
          <cell r="I1079">
            <v>40.53</v>
          </cell>
          <cell r="R1079">
            <v>40.53</v>
          </cell>
          <cell r="AA1079">
            <v>40.53</v>
          </cell>
          <cell r="AJ1079">
            <v>40.53</v>
          </cell>
          <cell r="AS1079">
            <v>40.53</v>
          </cell>
          <cell r="BB1079">
            <v>40.53</v>
          </cell>
        </row>
        <row r="1080">
          <cell r="A1080">
            <v>155</v>
          </cell>
          <cell r="B1080" t="str">
            <v>FG</v>
          </cell>
          <cell r="C1080" t="str">
            <v>FM</v>
          </cell>
          <cell r="D1080" t="str">
            <v>C18  W/E</v>
          </cell>
          <cell r="I1080">
            <v>15.64</v>
          </cell>
          <cell r="R1080">
            <v>15.64</v>
          </cell>
          <cell r="AA1080">
            <v>15.64</v>
          </cell>
          <cell r="AJ1080">
            <v>15.64</v>
          </cell>
          <cell r="AS1080">
            <v>15.64</v>
          </cell>
          <cell r="BB1080">
            <v>15.64</v>
          </cell>
        </row>
        <row r="1081">
          <cell r="A1081">
            <v>156</v>
          </cell>
          <cell r="B1081" t="str">
            <v>FG</v>
          </cell>
          <cell r="C1081" t="str">
            <v>FM</v>
          </cell>
          <cell r="D1081" t="str">
            <v>C1618  W/E</v>
          </cell>
          <cell r="I1081">
            <v>31.21</v>
          </cell>
          <cell r="R1081">
            <v>31.21</v>
          </cell>
          <cell r="AA1081">
            <v>31.21</v>
          </cell>
          <cell r="AJ1081">
            <v>31.21</v>
          </cell>
          <cell r="AS1081">
            <v>31.21</v>
          </cell>
          <cell r="BB1081">
            <v>31.21</v>
          </cell>
        </row>
        <row r="1082">
          <cell r="A1082">
            <v>157</v>
          </cell>
          <cell r="B1082" t="str">
            <v>FG</v>
          </cell>
          <cell r="C1082" t="str">
            <v>NM</v>
          </cell>
          <cell r="D1082" t="str">
            <v>CONTAMINATED FATTY ACID</v>
          </cell>
          <cell r="I1082">
            <v>25</v>
          </cell>
          <cell r="R1082">
            <v>25</v>
          </cell>
          <cell r="AA1082">
            <v>25</v>
          </cell>
          <cell r="AJ1082">
            <v>25</v>
          </cell>
          <cell r="AS1082">
            <v>25</v>
          </cell>
          <cell r="BB1082">
            <v>25</v>
          </cell>
        </row>
        <row r="1083">
          <cell r="A1083">
            <v>158</v>
          </cell>
          <cell r="B1083" t="str">
            <v>FG</v>
          </cell>
          <cell r="C1083" t="str">
            <v>NM</v>
          </cell>
          <cell r="D1083" t="str">
            <v>STEARIC ACID - SPECIAL</v>
          </cell>
          <cell r="F1083">
            <v>1.35</v>
          </cell>
          <cell r="H1083">
            <v>1.05</v>
          </cell>
          <cell r="O1083">
            <v>1.35</v>
          </cell>
          <cell r="Q1083">
            <v>1.05</v>
          </cell>
          <cell r="X1083">
            <v>1.35</v>
          </cell>
          <cell r="Z1083">
            <v>1.05</v>
          </cell>
          <cell r="AG1083">
            <v>1.35</v>
          </cell>
          <cell r="AI1083">
            <v>1.05</v>
          </cell>
          <cell r="AP1083">
            <v>1.35</v>
          </cell>
          <cell r="AR1083">
            <v>1.05</v>
          </cell>
          <cell r="AY1083">
            <v>1.35</v>
          </cell>
          <cell r="BA1083">
            <v>1.05</v>
          </cell>
        </row>
        <row r="1084">
          <cell r="A1084">
            <v>159</v>
          </cell>
          <cell r="B1084" t="str">
            <v>FG</v>
          </cell>
          <cell r="C1084" t="str">
            <v>NM</v>
          </cell>
          <cell r="D1084" t="str">
            <v>DFA-C18/22</v>
          </cell>
        </row>
        <row r="1085">
          <cell r="A1085">
            <v>160</v>
          </cell>
          <cell r="B1085" t="str">
            <v>FG</v>
          </cell>
          <cell r="C1085" t="str">
            <v>NM</v>
          </cell>
          <cell r="D1085" t="str">
            <v>C10 Alc (14 * 170 kgs)</v>
          </cell>
        </row>
        <row r="1086">
          <cell r="A1086">
            <v>241</v>
          </cell>
          <cell r="B1086" t="str">
            <v>FG</v>
          </cell>
          <cell r="C1086" t="str">
            <v>NM</v>
          </cell>
          <cell r="D1086" t="str">
            <v>C12</v>
          </cell>
        </row>
        <row r="1087">
          <cell r="A1087">
            <v>244</v>
          </cell>
          <cell r="B1087" t="str">
            <v>FG</v>
          </cell>
          <cell r="C1087" t="str">
            <v>NM</v>
          </cell>
          <cell r="D1087" t="str">
            <v>STEARIC-90</v>
          </cell>
          <cell r="E1087" t="str">
            <v>STEARIC-90</v>
          </cell>
          <cell r="F1087">
            <v>79.599999999999994</v>
          </cell>
          <cell r="O1087">
            <v>79.599999999999994</v>
          </cell>
          <cell r="X1087">
            <v>79.599999999999994</v>
          </cell>
          <cell r="AG1087">
            <v>79.599999999999994</v>
          </cell>
          <cell r="AP1087">
            <v>79.599999999999994</v>
          </cell>
          <cell r="AY1087">
            <v>79.599999999999994</v>
          </cell>
        </row>
        <row r="1088">
          <cell r="A1088">
            <v>246</v>
          </cell>
          <cell r="B1088" t="str">
            <v>FG</v>
          </cell>
          <cell r="C1088" t="str">
            <v>NM</v>
          </cell>
          <cell r="D1088" t="str">
            <v>HPS 25 KGS</v>
          </cell>
        </row>
        <row r="1089">
          <cell r="F1089">
            <v>280.60000000000002</v>
          </cell>
          <cell r="G1089">
            <v>0</v>
          </cell>
          <cell r="H1089">
            <v>48.750000000000007</v>
          </cell>
          <cell r="I1089">
            <v>547.16499999999996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203.45</v>
          </cell>
          <cell r="P1089">
            <v>0</v>
          </cell>
          <cell r="Q1089">
            <v>7.0500000000000034</v>
          </cell>
          <cell r="R1089">
            <v>648.16499999999996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210.39999999999998</v>
          </cell>
          <cell r="Y1089">
            <v>0</v>
          </cell>
          <cell r="Z1089">
            <v>6.9500000000000037</v>
          </cell>
          <cell r="AA1089">
            <v>608.36500000000001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119.1</v>
          </cell>
          <cell r="AH1089">
            <v>0</v>
          </cell>
          <cell r="AI1089">
            <v>6.95</v>
          </cell>
          <cell r="AJ1089">
            <v>668.31499999999994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218.25</v>
          </cell>
          <cell r="AQ1089">
            <v>0</v>
          </cell>
          <cell r="AR1089">
            <v>6.9500000000000037</v>
          </cell>
          <cell r="AS1089">
            <v>850.91500000000008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233.25</v>
          </cell>
          <cell r="AZ1089">
            <v>0</v>
          </cell>
          <cell r="BA1089">
            <v>6.9500000000000037</v>
          </cell>
          <cell r="BB1089">
            <v>750.41500000000008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</row>
        <row r="1090">
          <cell r="A1090" t="str">
            <v>FATTY ALCOHOLS</v>
          </cell>
        </row>
        <row r="1091">
          <cell r="A1091">
            <v>256</v>
          </cell>
          <cell r="B1091" t="str">
            <v>FG</v>
          </cell>
          <cell r="C1091" t="str">
            <v>FM</v>
          </cell>
          <cell r="D1091" t="str">
            <v>VEGROL10</v>
          </cell>
        </row>
        <row r="1092">
          <cell r="A1092">
            <v>161</v>
          </cell>
          <cell r="B1092" t="str">
            <v>FG</v>
          </cell>
          <cell r="C1092" t="str">
            <v>FM</v>
          </cell>
          <cell r="D1092" t="str">
            <v>VEGROL1214</v>
          </cell>
          <cell r="H1092">
            <v>650.04999999999995</v>
          </cell>
          <cell r="I1092">
            <v>1110.8599999999999</v>
          </cell>
          <cell r="Q1092">
            <v>806.23</v>
          </cell>
          <cell r="R1092">
            <v>968.38</v>
          </cell>
          <cell r="V1092">
            <v>69.489999999999995</v>
          </cell>
          <cell r="Z1092">
            <v>1001.87</v>
          </cell>
          <cell r="AA1092">
            <v>2262.61</v>
          </cell>
          <cell r="AI1092">
            <v>1001.87</v>
          </cell>
          <cell r="AJ1092">
            <v>1801.14</v>
          </cell>
          <cell r="AS1092">
            <v>1126.8900000000001</v>
          </cell>
          <cell r="BB1092">
            <v>862.51</v>
          </cell>
        </row>
        <row r="1093">
          <cell r="A1093">
            <v>162</v>
          </cell>
          <cell r="B1093" t="str">
            <v>FG</v>
          </cell>
          <cell r="C1093" t="str">
            <v>FM</v>
          </cell>
          <cell r="D1093" t="str">
            <v>VEGROL1216</v>
          </cell>
          <cell r="I1093">
            <v>832.16100000000006</v>
          </cell>
          <cell r="R1093">
            <v>1026.82</v>
          </cell>
          <cell r="V1093">
            <v>33.68</v>
          </cell>
          <cell r="Z1093">
            <v>506.39</v>
          </cell>
          <cell r="AA1093">
            <v>747.88</v>
          </cell>
          <cell r="AI1093">
            <v>506.39</v>
          </cell>
          <cell r="AJ1093">
            <v>1392</v>
          </cell>
          <cell r="AS1093">
            <v>1121.76</v>
          </cell>
          <cell r="BB1093">
            <v>776.04</v>
          </cell>
        </row>
        <row r="1094">
          <cell r="A1094">
            <v>163</v>
          </cell>
          <cell r="B1094" t="str">
            <v>FG</v>
          </cell>
          <cell r="C1094" t="str">
            <v>FM</v>
          </cell>
          <cell r="D1094" t="str">
            <v>VEGROL 1218</v>
          </cell>
          <cell r="I1094">
            <v>871.62</v>
          </cell>
          <cell r="R1094">
            <v>876.08</v>
          </cell>
          <cell r="AA1094">
            <v>856.49</v>
          </cell>
          <cell r="AJ1094">
            <v>693.79</v>
          </cell>
          <cell r="AS1094">
            <v>805.19</v>
          </cell>
          <cell r="BB1094">
            <v>789.34</v>
          </cell>
        </row>
        <row r="1095">
          <cell r="A1095">
            <v>164</v>
          </cell>
          <cell r="B1095" t="str">
            <v>FG</v>
          </cell>
          <cell r="C1095" t="str">
            <v>FM</v>
          </cell>
          <cell r="D1095" t="str">
            <v>VEGROL C1618TA</v>
          </cell>
          <cell r="I1095">
            <v>493.8</v>
          </cell>
          <cell r="R1095">
            <v>362.39</v>
          </cell>
          <cell r="Z1095">
            <v>299.77999999999997</v>
          </cell>
          <cell r="AI1095">
            <v>299.77999999999997</v>
          </cell>
          <cell r="AS1095">
            <v>572.87584000000004</v>
          </cell>
          <cell r="BB1095">
            <v>572.88</v>
          </cell>
        </row>
        <row r="1096">
          <cell r="A1096">
            <v>165</v>
          </cell>
          <cell r="B1096" t="str">
            <v>FG</v>
          </cell>
          <cell r="C1096" t="str">
            <v>FM</v>
          </cell>
          <cell r="D1096" t="str">
            <v>VEGROL C1618(50:50)</v>
          </cell>
          <cell r="I1096">
            <v>183.31745599999999</v>
          </cell>
          <cell r="R1096">
            <v>153.28275199999999</v>
          </cell>
          <cell r="AA1096">
            <v>90</v>
          </cell>
          <cell r="AJ1096">
            <v>77</v>
          </cell>
          <cell r="AS1096">
            <v>506.73</v>
          </cell>
          <cell r="BB1096">
            <v>490.29646400000007</v>
          </cell>
        </row>
        <row r="1097">
          <cell r="A1097">
            <v>166</v>
          </cell>
          <cell r="B1097" t="str">
            <v>FG</v>
          </cell>
          <cell r="C1097" t="str">
            <v>FM</v>
          </cell>
          <cell r="D1097" t="str">
            <v>VEGROL C1618PS</v>
          </cell>
        </row>
        <row r="1098">
          <cell r="A1098">
            <v>167</v>
          </cell>
          <cell r="B1098" t="str">
            <v>FG</v>
          </cell>
          <cell r="C1098" t="str">
            <v>FM</v>
          </cell>
          <cell r="D1098" t="str">
            <v>VEGROL C1698</v>
          </cell>
          <cell r="I1098">
            <v>290.23</v>
          </cell>
          <cell r="R1098">
            <v>561.98</v>
          </cell>
          <cell r="AA1098">
            <v>504.05</v>
          </cell>
          <cell r="AJ1098">
            <v>288.8</v>
          </cell>
          <cell r="AS1098">
            <v>195.93850000000003</v>
          </cell>
          <cell r="BB1098">
            <v>125.82745</v>
          </cell>
        </row>
        <row r="1099">
          <cell r="A1099">
            <v>168</v>
          </cell>
          <cell r="B1099" t="str">
            <v>FG</v>
          </cell>
          <cell r="C1099" t="str">
            <v>FM</v>
          </cell>
          <cell r="D1099" t="str">
            <v>VEGROL C1895</v>
          </cell>
        </row>
        <row r="1100">
          <cell r="A1100">
            <v>169</v>
          </cell>
          <cell r="B1100" t="str">
            <v>FG</v>
          </cell>
          <cell r="C1100" t="str">
            <v>FM</v>
          </cell>
          <cell r="D1100" t="str">
            <v>VEGROL C1898</v>
          </cell>
          <cell r="BB1100">
            <v>296.87170000000003</v>
          </cell>
        </row>
        <row r="1101">
          <cell r="A1101">
            <v>170</v>
          </cell>
          <cell r="B1101" t="str">
            <v>FG</v>
          </cell>
          <cell r="C1101" t="str">
            <v>FM</v>
          </cell>
          <cell r="D1101" t="str">
            <v>VEGROL C1822 (seed alc)</v>
          </cell>
        </row>
        <row r="1102">
          <cell r="A1102">
            <v>171</v>
          </cell>
          <cell r="B1102" t="str">
            <v>FG</v>
          </cell>
          <cell r="C1102" t="str">
            <v>SM</v>
          </cell>
          <cell r="D1102" t="str">
            <v>VEGROL C20:2250:50</v>
          </cell>
        </row>
        <row r="1103">
          <cell r="A1103">
            <v>172</v>
          </cell>
          <cell r="B1103" t="str">
            <v>FG</v>
          </cell>
          <cell r="C1103" t="str">
            <v>SM</v>
          </cell>
          <cell r="D1103" t="str">
            <v>VEGROL C2280</v>
          </cell>
          <cell r="I1103">
            <v>53.561999999999998</v>
          </cell>
          <cell r="R1103">
            <v>76.029600000000002</v>
          </cell>
        </row>
        <row r="1104">
          <cell r="A1104">
            <v>173</v>
          </cell>
          <cell r="B1104" t="str">
            <v>FG</v>
          </cell>
          <cell r="C1104" t="str">
            <v>SM</v>
          </cell>
          <cell r="D1104" t="str">
            <v>VEGROL1216 CONCENTRATED</v>
          </cell>
        </row>
        <row r="1105">
          <cell r="A1105">
            <v>250</v>
          </cell>
          <cell r="B1105" t="str">
            <v>FG</v>
          </cell>
          <cell r="C1105" t="str">
            <v>SM</v>
          </cell>
          <cell r="D1105" t="str">
            <v>VEGROL C2270</v>
          </cell>
          <cell r="I1105">
            <v>144.49900000000002</v>
          </cell>
          <cell r="R1105">
            <v>154.38190000000003</v>
          </cell>
          <cell r="AA1105">
            <v>47</v>
          </cell>
          <cell r="AJ1105">
            <v>2</v>
          </cell>
          <cell r="AS1105">
            <v>1.9355999999999938</v>
          </cell>
          <cell r="BB1105">
            <v>1.9355999999999938</v>
          </cell>
        </row>
        <row r="1106">
          <cell r="F1106">
            <v>0</v>
          </cell>
          <cell r="G1106">
            <v>0</v>
          </cell>
          <cell r="H1106">
            <v>650.04999999999995</v>
          </cell>
          <cell r="I1106">
            <v>3980.0494560000006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806.23</v>
          </cell>
          <cell r="R1106">
            <v>4179.3442519999999</v>
          </cell>
          <cell r="S1106">
            <v>0</v>
          </cell>
          <cell r="T1106">
            <v>0</v>
          </cell>
          <cell r="U1106">
            <v>0</v>
          </cell>
          <cell r="V1106">
            <v>103.16999999999999</v>
          </cell>
          <cell r="W1106">
            <v>0</v>
          </cell>
          <cell r="X1106">
            <v>0</v>
          </cell>
          <cell r="Y1106">
            <v>0</v>
          </cell>
          <cell r="Z1106">
            <v>1808.04</v>
          </cell>
          <cell r="AA1106">
            <v>4508.0300000000007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1808.04</v>
          </cell>
          <cell r="AJ1106">
            <v>4254.7300000000005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4331.3199400000003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3915.7012140000002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</row>
        <row r="1107">
          <cell r="A1107" t="str">
            <v>PASTILLES</v>
          </cell>
        </row>
        <row r="1108">
          <cell r="A1108">
            <v>174</v>
          </cell>
          <cell r="B1108" t="str">
            <v>FG</v>
          </cell>
          <cell r="C1108" t="str">
            <v>FM</v>
          </cell>
          <cell r="D1108" t="str">
            <v>VEGROL C1618TA</v>
          </cell>
          <cell r="I1108">
            <v>104.038</v>
          </cell>
          <cell r="R1108">
            <v>230.63800000000001</v>
          </cell>
          <cell r="AA1108">
            <v>151.26300000000001</v>
          </cell>
          <cell r="AJ1108">
            <v>110.46299999999999</v>
          </cell>
          <cell r="AS1108">
            <v>116.663</v>
          </cell>
          <cell r="BB1108">
            <v>112.663</v>
          </cell>
        </row>
        <row r="1109">
          <cell r="A1109">
            <v>175</v>
          </cell>
          <cell r="B1109" t="str">
            <v>FG</v>
          </cell>
          <cell r="C1109" t="str">
            <v>FM</v>
          </cell>
          <cell r="D1109" t="str">
            <v>VEGROL C1618(50:50)</v>
          </cell>
          <cell r="I1109">
            <v>25.574999999999999</v>
          </cell>
          <cell r="R1109">
            <v>51.575000000000003</v>
          </cell>
          <cell r="AA1109">
            <v>59.975000000000001</v>
          </cell>
          <cell r="AJ1109">
            <v>42</v>
          </cell>
          <cell r="AS1109">
            <v>70.323999999999998</v>
          </cell>
          <cell r="BB1109">
            <v>88.119</v>
          </cell>
        </row>
        <row r="1110">
          <cell r="A1110">
            <v>176</v>
          </cell>
          <cell r="B1110" t="str">
            <v>FG</v>
          </cell>
          <cell r="C1110" t="str">
            <v>FM</v>
          </cell>
          <cell r="D1110" t="str">
            <v>VEGROL C1618PS</v>
          </cell>
        </row>
        <row r="1111">
          <cell r="A1111">
            <v>177</v>
          </cell>
          <cell r="B1111" t="str">
            <v>FG</v>
          </cell>
          <cell r="C1111" t="str">
            <v>FM</v>
          </cell>
          <cell r="D1111" t="str">
            <v>VEGROL C1698</v>
          </cell>
          <cell r="I1111">
            <v>60.84</v>
          </cell>
          <cell r="R1111">
            <v>110.32</v>
          </cell>
          <cell r="AA1111">
            <v>126.84</v>
          </cell>
          <cell r="AJ1111">
            <v>263.7</v>
          </cell>
          <cell r="AS1111">
            <v>166.97</v>
          </cell>
          <cell r="BB1111">
            <v>234.47</v>
          </cell>
        </row>
        <row r="1112">
          <cell r="A1112">
            <v>178</v>
          </cell>
          <cell r="B1112" t="str">
            <v>FG</v>
          </cell>
          <cell r="C1112" t="str">
            <v>FM</v>
          </cell>
          <cell r="D1112" t="str">
            <v>VEGROL C1895</v>
          </cell>
        </row>
        <row r="1113">
          <cell r="A1113">
            <v>179</v>
          </cell>
          <cell r="B1113" t="str">
            <v>FG</v>
          </cell>
          <cell r="C1113" t="str">
            <v>FM</v>
          </cell>
          <cell r="D1113" t="str">
            <v>VEGROL C1898</v>
          </cell>
          <cell r="I1113">
            <v>29.4</v>
          </cell>
          <cell r="R1113">
            <v>7.7</v>
          </cell>
          <cell r="AA1113">
            <v>4.7</v>
          </cell>
          <cell r="AJ1113">
            <v>4.7</v>
          </cell>
          <cell r="AS1113">
            <v>2.0499999999999998</v>
          </cell>
          <cell r="BB1113">
            <v>30.13</v>
          </cell>
        </row>
        <row r="1114">
          <cell r="A1114">
            <v>180</v>
          </cell>
          <cell r="B1114" t="str">
            <v>FG</v>
          </cell>
          <cell r="C1114" t="str">
            <v>FM</v>
          </cell>
          <cell r="D1114" t="str">
            <v>VEGROL C1822</v>
          </cell>
          <cell r="I1114">
            <v>7.8</v>
          </cell>
          <cell r="R1114">
            <v>7.8</v>
          </cell>
          <cell r="AA1114">
            <v>18.600000000000001</v>
          </cell>
          <cell r="AJ1114">
            <v>4.0999999999999996</v>
          </cell>
          <cell r="AS1114">
            <v>3.6</v>
          </cell>
          <cell r="BB1114">
            <v>3.6</v>
          </cell>
        </row>
        <row r="1115">
          <cell r="A1115">
            <v>181</v>
          </cell>
          <cell r="B1115" t="str">
            <v>FG</v>
          </cell>
          <cell r="C1115" t="str">
            <v>FM</v>
          </cell>
          <cell r="D1115" t="str">
            <v>VEGROL C22</v>
          </cell>
          <cell r="I1115">
            <v>74.384</v>
          </cell>
          <cell r="R1115">
            <v>62.283999999999999</v>
          </cell>
          <cell r="AA1115">
            <v>105.28400000000001</v>
          </cell>
          <cell r="AJ1115">
            <v>135.553</v>
          </cell>
          <cell r="AS1115">
            <v>116.053</v>
          </cell>
          <cell r="BB1115">
            <v>114.753</v>
          </cell>
        </row>
        <row r="1116">
          <cell r="A1116">
            <v>182</v>
          </cell>
          <cell r="B1116" t="str">
            <v>FG</v>
          </cell>
          <cell r="C1116" t="str">
            <v>FM</v>
          </cell>
          <cell r="D1116" t="str">
            <v>VEGROL C2280</v>
          </cell>
          <cell r="I1116">
            <v>17.25</v>
          </cell>
          <cell r="R1116">
            <v>17.25</v>
          </cell>
          <cell r="AA1116">
            <v>17.25</v>
          </cell>
          <cell r="AJ1116">
            <v>17.25</v>
          </cell>
          <cell r="AS1116">
            <v>17.25</v>
          </cell>
          <cell r="BB1116">
            <v>17.25</v>
          </cell>
        </row>
        <row r="1117">
          <cell r="A1117">
            <v>183</v>
          </cell>
          <cell r="B1117" t="str">
            <v>FG</v>
          </cell>
          <cell r="C1117" t="str">
            <v>FM</v>
          </cell>
          <cell r="D1117" t="str">
            <v>OFF GRADE PASTILLES</v>
          </cell>
          <cell r="I1117">
            <v>207</v>
          </cell>
          <cell r="R1117">
            <v>207</v>
          </cell>
          <cell r="AA1117">
            <v>207</v>
          </cell>
          <cell r="AJ1117">
            <v>207</v>
          </cell>
          <cell r="AS1117">
            <v>207</v>
          </cell>
          <cell r="BB1117">
            <v>207</v>
          </cell>
        </row>
        <row r="1118">
          <cell r="F1118">
            <v>0</v>
          </cell>
          <cell r="G1118">
            <v>0</v>
          </cell>
          <cell r="H1118">
            <v>0</v>
          </cell>
          <cell r="I1118">
            <v>526.28700000000003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694.56700000000001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690.91200000000003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784.76600000000008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699.91000000000008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807.98500000000001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</row>
        <row r="1119">
          <cell r="A1119" t="str">
            <v xml:space="preserve">ALCOHOL-INTERMEDIATES </v>
          </cell>
        </row>
        <row r="1120">
          <cell r="A1120">
            <v>184</v>
          </cell>
          <cell r="B1120" t="str">
            <v>IPRM</v>
          </cell>
          <cell r="C1120" t="str">
            <v>NM</v>
          </cell>
          <cell r="D1120" t="str">
            <v>ALCOHOL-L/E-C-12 88%</v>
          </cell>
        </row>
        <row r="1121">
          <cell r="A1121">
            <v>185</v>
          </cell>
          <cell r="B1121" t="str">
            <v>IPRM</v>
          </cell>
          <cell r="C1121" t="str">
            <v>NM</v>
          </cell>
          <cell r="D1121" t="str">
            <v>ALCOHOL-L/E-1(1214)</v>
          </cell>
          <cell r="I1121">
            <v>245.7</v>
          </cell>
          <cell r="R1121">
            <v>235.4</v>
          </cell>
          <cell r="AA1121">
            <v>166.6</v>
          </cell>
          <cell r="AJ1121">
            <v>132.24</v>
          </cell>
          <cell r="AS1121">
            <v>148.32</v>
          </cell>
          <cell r="BB1121">
            <v>148.32</v>
          </cell>
        </row>
        <row r="1122">
          <cell r="A1122">
            <v>186</v>
          </cell>
          <cell r="B1122" t="str">
            <v>IPRM</v>
          </cell>
          <cell r="C1122" t="str">
            <v>NM</v>
          </cell>
          <cell r="D1122" t="str">
            <v>ALCOHOL-L/E-2(C12C16)</v>
          </cell>
          <cell r="I1122">
            <v>199.2</v>
          </cell>
          <cell r="R1122">
            <v>218.95599999999999</v>
          </cell>
          <cell r="AA1122">
            <v>218.95599999999999</v>
          </cell>
          <cell r="AJ1122">
            <v>218.95599999999999</v>
          </cell>
        </row>
        <row r="1123">
          <cell r="A1123">
            <v>187</v>
          </cell>
          <cell r="B1123" t="str">
            <v>IPRM</v>
          </cell>
          <cell r="C1123" t="str">
            <v>NM</v>
          </cell>
          <cell r="D1123" t="str">
            <v>ALCOHOL-L/E-C1618,22</v>
          </cell>
          <cell r="I1123">
            <v>334.22256000000004</v>
          </cell>
          <cell r="R1123">
            <v>373.98256000000003</v>
          </cell>
          <cell r="AA1123">
            <v>1198.3</v>
          </cell>
          <cell r="AJ1123">
            <v>1218</v>
          </cell>
          <cell r="AS1123">
            <v>601.1</v>
          </cell>
          <cell r="BB1123">
            <v>1320.8</v>
          </cell>
        </row>
        <row r="1124">
          <cell r="A1124">
            <v>188</v>
          </cell>
          <cell r="B1124" t="str">
            <v>IPRM</v>
          </cell>
          <cell r="C1124" t="str">
            <v>NM</v>
          </cell>
          <cell r="D1124" t="str">
            <v>ALCOHOL-L/E-2(C12C18)</v>
          </cell>
        </row>
        <row r="1125">
          <cell r="A1125">
            <v>189</v>
          </cell>
          <cell r="B1125" t="str">
            <v>IPRM</v>
          </cell>
          <cell r="C1125" t="str">
            <v>NM</v>
          </cell>
          <cell r="D1125" t="str">
            <v>ALCOHOL-C16RICH</v>
          </cell>
        </row>
        <row r="1126">
          <cell r="A1126">
            <v>190</v>
          </cell>
          <cell r="B1126" t="str">
            <v>IPRM</v>
          </cell>
          <cell r="C1126" t="str">
            <v>NM</v>
          </cell>
          <cell r="D1126" t="str">
            <v>ALCOHOL-CRUDE / L/E'S</v>
          </cell>
          <cell r="AJ1126">
            <v>35</v>
          </cell>
        </row>
        <row r="1127">
          <cell r="A1127">
            <v>191</v>
          </cell>
          <cell r="B1127" t="str">
            <v>IPRM</v>
          </cell>
          <cell r="C1127" t="str">
            <v>NM</v>
          </cell>
          <cell r="D1127" t="str">
            <v>L/E of ALC . 18</v>
          </cell>
        </row>
        <row r="1128">
          <cell r="A1128">
            <v>192</v>
          </cell>
          <cell r="B1128" t="str">
            <v>IPRM</v>
          </cell>
          <cell r="C1128" t="str">
            <v>NM</v>
          </cell>
          <cell r="D1128" t="str">
            <v>L.E.of C 1822</v>
          </cell>
          <cell r="R1128">
            <v>379.99</v>
          </cell>
          <cell r="AA1128">
            <v>379.99</v>
          </cell>
          <cell r="AJ1128">
            <v>379.99</v>
          </cell>
          <cell r="AS1128">
            <v>379.99</v>
          </cell>
          <cell r="BB1128">
            <v>379.99</v>
          </cell>
        </row>
        <row r="1129">
          <cell r="A1129">
            <v>251</v>
          </cell>
          <cell r="B1129" t="str">
            <v>IPRM</v>
          </cell>
          <cell r="C1129" t="str">
            <v>NM</v>
          </cell>
          <cell r="D1129" t="str">
            <v>ALCOHOL-C12/C14 (seed alc)</v>
          </cell>
          <cell r="I1129">
            <v>170</v>
          </cell>
          <cell r="R1129">
            <v>170</v>
          </cell>
          <cell r="AA1129">
            <v>170</v>
          </cell>
          <cell r="AJ1129">
            <v>170</v>
          </cell>
          <cell r="AS1129">
            <v>170</v>
          </cell>
        </row>
        <row r="1130">
          <cell r="A1130">
            <v>252</v>
          </cell>
          <cell r="B1130" t="str">
            <v>IPRM</v>
          </cell>
          <cell r="C1130" t="str">
            <v>NM</v>
          </cell>
          <cell r="D1130" t="str">
            <v>ALCOHOL-C16 98 (seed alc)</v>
          </cell>
          <cell r="I1130">
            <v>170</v>
          </cell>
          <cell r="R1130">
            <v>170</v>
          </cell>
          <cell r="AA1130">
            <v>170</v>
          </cell>
          <cell r="AJ1130">
            <v>170</v>
          </cell>
          <cell r="AS1130">
            <v>170</v>
          </cell>
        </row>
        <row r="1131">
          <cell r="A1131">
            <v>253</v>
          </cell>
          <cell r="B1131" t="str">
            <v>IPRM</v>
          </cell>
          <cell r="C1131" t="str">
            <v>NM</v>
          </cell>
          <cell r="D1131" t="str">
            <v>ALCOHOL-C18 98 (seed alc)</v>
          </cell>
          <cell r="I1131">
            <v>142</v>
          </cell>
          <cell r="R1131">
            <v>109.4238</v>
          </cell>
          <cell r="AA1131">
            <v>106.8639</v>
          </cell>
          <cell r="AJ1131">
            <v>107</v>
          </cell>
          <cell r="AS1131">
            <v>21</v>
          </cell>
        </row>
        <row r="1132">
          <cell r="A1132">
            <v>254</v>
          </cell>
          <cell r="B1132" t="str">
            <v>IPRM</v>
          </cell>
          <cell r="C1132" t="str">
            <v>NM</v>
          </cell>
          <cell r="D1132" t="str">
            <v>ALCOHOL-C16/C18 TA (seed alc)</v>
          </cell>
          <cell r="I1132">
            <v>170</v>
          </cell>
          <cell r="R1132">
            <v>170</v>
          </cell>
          <cell r="AA1132">
            <v>118.96987200000001</v>
          </cell>
          <cell r="AJ1132">
            <v>119</v>
          </cell>
          <cell r="AS1132">
            <v>170</v>
          </cell>
        </row>
        <row r="1133">
          <cell r="A1133">
            <v>193</v>
          </cell>
          <cell r="B1133" t="str">
            <v>IPRM</v>
          </cell>
          <cell r="C1133" t="str">
            <v>NM</v>
          </cell>
          <cell r="D1133" t="str">
            <v>ALCOHOL-C16/C18 (seed alc)</v>
          </cell>
          <cell r="AA1133">
            <v>346.85033600000003</v>
          </cell>
        </row>
        <row r="1134">
          <cell r="A1134">
            <v>194</v>
          </cell>
          <cell r="B1134" t="str">
            <v>IPRM</v>
          </cell>
          <cell r="C1134" t="str">
            <v>NM</v>
          </cell>
          <cell r="D1134" t="str">
            <v>ALCOHOL-C18/C22 (seed alc)</v>
          </cell>
          <cell r="AA1134">
            <v>241.345</v>
          </cell>
        </row>
        <row r="1135">
          <cell r="A1135">
            <v>255</v>
          </cell>
          <cell r="B1135" t="str">
            <v>IPRM</v>
          </cell>
          <cell r="C1135" t="str">
            <v>NM</v>
          </cell>
          <cell r="D1135" t="str">
            <v>ALCOHOL-C22 70 (seed alc)</v>
          </cell>
          <cell r="I1135">
            <v>170</v>
          </cell>
          <cell r="R1135">
            <v>170</v>
          </cell>
          <cell r="AA1135">
            <v>170</v>
          </cell>
          <cell r="AJ1135">
            <v>170</v>
          </cell>
          <cell r="AS1135">
            <v>170</v>
          </cell>
        </row>
        <row r="1136">
          <cell r="A1136">
            <v>195</v>
          </cell>
          <cell r="B1136" t="str">
            <v>IPRM</v>
          </cell>
          <cell r="C1136" t="str">
            <v>NM</v>
          </cell>
          <cell r="D1136" t="str">
            <v>Int. Alc.20-22</v>
          </cell>
        </row>
        <row r="1137">
          <cell r="A1137">
            <v>196</v>
          </cell>
          <cell r="B1137" t="str">
            <v>IPRM</v>
          </cell>
          <cell r="C1137" t="str">
            <v>NM</v>
          </cell>
          <cell r="D1137" t="str">
            <v>ALCOHOL-RESIDUE</v>
          </cell>
          <cell r="BB1137">
            <v>110.5368</v>
          </cell>
        </row>
        <row r="1138">
          <cell r="A1138">
            <v>197</v>
          </cell>
          <cell r="B1138" t="str">
            <v>IPRM</v>
          </cell>
          <cell r="C1138" t="str">
            <v>NM</v>
          </cell>
          <cell r="D1138" t="str">
            <v>ALCOHOL-HYDROCARBON</v>
          </cell>
        </row>
        <row r="1139">
          <cell r="A1139">
            <v>198</v>
          </cell>
          <cell r="B1139" t="str">
            <v>IPRM</v>
          </cell>
          <cell r="C1139" t="str">
            <v>NM</v>
          </cell>
          <cell r="D1139" t="str">
            <v>Int. Alc. V1218</v>
          </cell>
          <cell r="AS1139">
            <v>22.704429999999999</v>
          </cell>
          <cell r="BB1139">
            <v>22.704429999999999</v>
          </cell>
        </row>
        <row r="1140">
          <cell r="A1140">
            <v>199</v>
          </cell>
          <cell r="B1140" t="str">
            <v>IPRM</v>
          </cell>
          <cell r="C1140" t="str">
            <v>NM</v>
          </cell>
          <cell r="D1140" t="str">
            <v>Int. Alc. V1216</v>
          </cell>
          <cell r="I1140">
            <v>1611.2</v>
          </cell>
          <cell r="AS1140">
            <v>218.95599999999999</v>
          </cell>
          <cell r="BB1140">
            <v>218.95599999999999</v>
          </cell>
        </row>
        <row r="1141">
          <cell r="A1141">
            <v>200</v>
          </cell>
          <cell r="B1141" t="str">
            <v>IPRM</v>
          </cell>
          <cell r="C1141" t="str">
            <v>NM</v>
          </cell>
          <cell r="D1141" t="str">
            <v>Int. Alc. V1618</v>
          </cell>
          <cell r="R1141">
            <v>1561.9</v>
          </cell>
          <cell r="AA1141">
            <v>390.42</v>
          </cell>
          <cell r="AJ1141">
            <v>737.19</v>
          </cell>
          <cell r="AS1141">
            <v>905.56400000000008</v>
          </cell>
          <cell r="BB1141">
            <v>612.36400000000003</v>
          </cell>
        </row>
        <row r="1142">
          <cell r="A1142">
            <v>259</v>
          </cell>
          <cell r="B1142" t="str">
            <v>IPRM</v>
          </cell>
          <cell r="C1142" t="str">
            <v>NM</v>
          </cell>
          <cell r="D1142" t="str">
            <v>Int. Alc. V1822</v>
          </cell>
          <cell r="I1142">
            <v>621.29</v>
          </cell>
          <cell r="R1142">
            <v>241.345</v>
          </cell>
          <cell r="AJ1142">
            <v>241.345</v>
          </cell>
          <cell r="AS1142">
            <v>241.345</v>
          </cell>
          <cell r="BB1142">
            <v>241.345</v>
          </cell>
        </row>
        <row r="1143">
          <cell r="A1143">
            <v>201</v>
          </cell>
          <cell r="B1143" t="str">
            <v>IPRM</v>
          </cell>
          <cell r="C1143" t="str">
            <v>NM</v>
          </cell>
          <cell r="D1143" t="str">
            <v>Wax ester 1214/1618</v>
          </cell>
        </row>
        <row r="1144">
          <cell r="A1144">
            <v>202</v>
          </cell>
          <cell r="B1144" t="str">
            <v>IPRM</v>
          </cell>
          <cell r="C1144" t="str">
            <v>NM</v>
          </cell>
          <cell r="D1144" t="str">
            <v>Wax ester 1216/1218</v>
          </cell>
        </row>
        <row r="1145">
          <cell r="A1145">
            <v>203</v>
          </cell>
          <cell r="B1145" t="str">
            <v>IPRM</v>
          </cell>
          <cell r="C1145" t="str">
            <v>SM</v>
          </cell>
          <cell r="D1145" t="str">
            <v>ALCOHOL Residue 1618</v>
          </cell>
        </row>
        <row r="1146">
          <cell r="A1146">
            <v>204</v>
          </cell>
          <cell r="B1146" t="str">
            <v>IPRM</v>
          </cell>
          <cell r="C1146" t="str">
            <v>SM</v>
          </cell>
          <cell r="D1146" t="str">
            <v>ALCOHOL Residue 1822</v>
          </cell>
        </row>
        <row r="1147">
          <cell r="A1147">
            <v>205</v>
          </cell>
          <cell r="B1147" t="str">
            <v>IPRM</v>
          </cell>
          <cell r="C1147" t="str">
            <v>SM</v>
          </cell>
          <cell r="D1147" t="str">
            <v>ALCOHOL Residue 2022</v>
          </cell>
          <cell r="I1147">
            <v>99.563700000000011</v>
          </cell>
          <cell r="R1147">
            <v>98.947500000000005</v>
          </cell>
          <cell r="AA1147">
            <v>98.892200000000017</v>
          </cell>
          <cell r="AJ1147">
            <v>108.783</v>
          </cell>
          <cell r="AS1147">
            <v>110.536</v>
          </cell>
        </row>
        <row r="1148">
          <cell r="A1148">
            <v>206</v>
          </cell>
          <cell r="B1148" t="str">
            <v>IPRM</v>
          </cell>
          <cell r="C1148" t="str">
            <v>SM</v>
          </cell>
          <cell r="D1148" t="str">
            <v>ALCOHOL B/P&gt;C18</v>
          </cell>
          <cell r="I1148">
            <v>161.8566857142857</v>
          </cell>
          <cell r="R1148">
            <v>175.86351428571427</v>
          </cell>
          <cell r="AA1148">
            <v>175.86351428571427</v>
          </cell>
          <cell r="AJ1148">
            <v>176.64167142857141</v>
          </cell>
          <cell r="AS1148">
            <v>511.79199999999997</v>
          </cell>
          <cell r="BB1148">
            <v>97.269642857142841</v>
          </cell>
        </row>
        <row r="1149">
          <cell r="A1149">
            <v>207</v>
          </cell>
          <cell r="B1149" t="str">
            <v>IPRM</v>
          </cell>
          <cell r="C1149" t="str">
            <v>SM</v>
          </cell>
          <cell r="D1149" t="str">
            <v>Crude Alc. 1216</v>
          </cell>
        </row>
        <row r="1150">
          <cell r="F1150">
            <v>0</v>
          </cell>
          <cell r="G1150">
            <v>0</v>
          </cell>
          <cell r="H1150">
            <v>0</v>
          </cell>
          <cell r="I1150">
            <v>4095.0329457142857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4075.8083742857143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3953.0508222857143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3984.1456714285709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3841.3074299999998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3152.2858728571427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</row>
        <row r="1151">
          <cell r="A1151" t="str">
            <v>SOAP NOODLES</v>
          </cell>
        </row>
        <row r="1152">
          <cell r="A1152">
            <v>208</v>
          </cell>
          <cell r="B1152" t="str">
            <v>FG</v>
          </cell>
          <cell r="C1152" t="str">
            <v>FM</v>
          </cell>
          <cell r="D1152" t="str">
            <v>DETTOL</v>
          </cell>
          <cell r="E1152" t="str">
            <v>AL</v>
          </cell>
          <cell r="I1152">
            <v>32.6</v>
          </cell>
          <cell r="N1152">
            <v>14.39</v>
          </cell>
          <cell r="R1152">
            <v>0.6</v>
          </cell>
          <cell r="W1152">
            <v>14.39</v>
          </cell>
          <cell r="AA1152">
            <v>21.8</v>
          </cell>
          <cell r="AB1152">
            <v>139.56</v>
          </cell>
          <cell r="AE1152">
            <v>188.4</v>
          </cell>
          <cell r="AF1152">
            <v>14.39</v>
          </cell>
          <cell r="AO1152">
            <v>180.29</v>
          </cell>
          <cell r="AS1152">
            <v>0</v>
          </cell>
          <cell r="AT1152">
            <v>135.66</v>
          </cell>
          <cell r="AX1152">
            <v>107.54</v>
          </cell>
          <cell r="BB1152">
            <v>45</v>
          </cell>
          <cell r="BG1152">
            <v>74.540000000000006</v>
          </cell>
        </row>
        <row r="1153">
          <cell r="A1153">
            <v>209</v>
          </cell>
          <cell r="B1153" t="str">
            <v>FG</v>
          </cell>
          <cell r="C1153" t="str">
            <v>FM</v>
          </cell>
          <cell r="D1153" t="str">
            <v>DETTOL SKINCARE</v>
          </cell>
          <cell r="I1153">
            <v>0</v>
          </cell>
          <cell r="N1153">
            <v>7.5</v>
          </cell>
          <cell r="R1153">
            <v>0</v>
          </cell>
          <cell r="W1153">
            <v>7.5</v>
          </cell>
          <cell r="AA1153">
            <v>0</v>
          </cell>
          <cell r="AF1153">
            <v>7.5</v>
          </cell>
          <cell r="AJ1153">
            <v>41</v>
          </cell>
          <cell r="AN1153">
            <v>201.2</v>
          </cell>
          <cell r="AO1153">
            <v>7.5</v>
          </cell>
          <cell r="AS1153">
            <v>3.5</v>
          </cell>
          <cell r="AX1153">
            <v>7.5</v>
          </cell>
          <cell r="BB1153">
            <v>3.5</v>
          </cell>
          <cell r="BG1153">
            <v>7.5</v>
          </cell>
        </row>
        <row r="1154">
          <cell r="A1154">
            <v>210</v>
          </cell>
          <cell r="B1154" t="str">
            <v>FG</v>
          </cell>
          <cell r="C1154" t="str">
            <v>FM</v>
          </cell>
          <cell r="D1154" t="str">
            <v>JBMS 40:60</v>
          </cell>
          <cell r="E1154" t="str">
            <v>W</v>
          </cell>
          <cell r="I1154">
            <v>0</v>
          </cell>
          <cell r="J1154">
            <v>24.8</v>
          </cell>
          <cell r="M1154">
            <v>32.4</v>
          </cell>
          <cell r="N1154">
            <v>398.6</v>
          </cell>
          <cell r="R1154">
            <v>0</v>
          </cell>
          <cell r="S1154">
            <v>49.2</v>
          </cell>
          <cell r="W1154">
            <v>201.8</v>
          </cell>
          <cell r="AA1154">
            <v>0</v>
          </cell>
          <cell r="AB1154">
            <v>49.2</v>
          </cell>
          <cell r="AF1154">
            <v>68</v>
          </cell>
          <cell r="AJ1154">
            <v>84.8</v>
          </cell>
          <cell r="AK1154">
            <v>49.2</v>
          </cell>
          <cell r="AS1154">
            <v>2</v>
          </cell>
          <cell r="AT1154">
            <v>49.2</v>
          </cell>
          <cell r="AX1154">
            <v>206.4</v>
          </cell>
          <cell r="BB1154">
            <v>2</v>
          </cell>
          <cell r="BC1154">
            <v>49.2</v>
          </cell>
          <cell r="BG1154">
            <v>138.80000000000001</v>
          </cell>
        </row>
        <row r="1155">
          <cell r="A1155">
            <v>211</v>
          </cell>
          <cell r="B1155" t="str">
            <v>FG</v>
          </cell>
          <cell r="C1155" t="str">
            <v>FM</v>
          </cell>
          <cell r="D1155" t="str">
            <v>JNC 99</v>
          </cell>
          <cell r="E1155">
            <v>99</v>
          </cell>
          <cell r="I1155">
            <v>0</v>
          </cell>
          <cell r="J1155">
            <v>85.3</v>
          </cell>
          <cell r="N1155">
            <v>231.21</v>
          </cell>
          <cell r="R1155">
            <v>0</v>
          </cell>
          <cell r="S1155">
            <v>156.9</v>
          </cell>
          <cell r="V1155">
            <v>32.799999999999997</v>
          </cell>
          <cell r="W1155">
            <v>142.81</v>
          </cell>
          <cell r="AA1155">
            <v>77</v>
          </cell>
          <cell r="AB1155">
            <v>156.9</v>
          </cell>
          <cell r="AF1155">
            <v>141.21</v>
          </cell>
          <cell r="AJ1155">
            <v>13</v>
          </cell>
          <cell r="AK1155">
            <v>211.7</v>
          </cell>
          <cell r="AO1155">
            <v>102.41</v>
          </cell>
          <cell r="AS1155">
            <v>0</v>
          </cell>
          <cell r="AT1155">
            <v>193.3</v>
          </cell>
          <cell r="AX1155">
            <v>83.21</v>
          </cell>
          <cell r="BB1155">
            <v>0</v>
          </cell>
          <cell r="BC1155">
            <v>193.3</v>
          </cell>
          <cell r="BG1155">
            <v>66.81</v>
          </cell>
        </row>
        <row r="1156">
          <cell r="A1156">
            <v>212</v>
          </cell>
          <cell r="B1156" t="str">
            <v>FG</v>
          </cell>
          <cell r="C1156" t="str">
            <v>FM</v>
          </cell>
          <cell r="D1156" t="str">
            <v>JO TF 70%</v>
          </cell>
          <cell r="E1156" t="str">
            <v>TF</v>
          </cell>
          <cell r="I1156">
            <v>149</v>
          </cell>
          <cell r="J1156">
            <v>219.61099999999999</v>
          </cell>
          <cell r="M1156">
            <v>234.3</v>
          </cell>
          <cell r="N1156">
            <v>0.11</v>
          </cell>
          <cell r="R1156">
            <v>3.2</v>
          </cell>
          <cell r="S1156">
            <v>186.161</v>
          </cell>
          <cell r="V1156">
            <v>178</v>
          </cell>
          <cell r="W1156">
            <v>380</v>
          </cell>
          <cell r="AA1156">
            <v>3.2</v>
          </cell>
          <cell r="AB1156">
            <v>188.33600000000001</v>
          </cell>
          <cell r="AF1156">
            <v>336.6</v>
          </cell>
          <cell r="AJ1156">
            <v>174</v>
          </cell>
          <cell r="AK1156">
            <v>137.18599999999998</v>
          </cell>
          <cell r="AN1156">
            <v>68.8</v>
          </cell>
          <cell r="AO1156">
            <v>225.2</v>
          </cell>
          <cell r="AS1156">
            <v>19.600000000000001</v>
          </cell>
          <cell r="AT1156">
            <v>131.136</v>
          </cell>
          <cell r="AW1156">
            <v>68</v>
          </cell>
          <cell r="AX1156">
            <v>34.450000000000003</v>
          </cell>
          <cell r="BB1156">
            <v>19.600000000000001</v>
          </cell>
          <cell r="BC1156">
            <v>131.136</v>
          </cell>
          <cell r="BF1156">
            <v>36</v>
          </cell>
        </row>
        <row r="1157">
          <cell r="A1157">
            <v>213</v>
          </cell>
          <cell r="B1157" t="str">
            <v>FG</v>
          </cell>
          <cell r="C1157" t="str">
            <v>FM</v>
          </cell>
          <cell r="D1157" t="str">
            <v>DR TF 70%</v>
          </cell>
          <cell r="E1157" t="str">
            <v>TF D</v>
          </cell>
          <cell r="I1157">
            <v>0</v>
          </cell>
          <cell r="J1157">
            <v>84.6</v>
          </cell>
          <cell r="M1157">
            <v>159</v>
          </cell>
          <cell r="R1157">
            <v>0</v>
          </cell>
          <cell r="S1157">
            <v>18</v>
          </cell>
          <cell r="V1157">
            <v>127.2</v>
          </cell>
          <cell r="W1157">
            <v>128.09</v>
          </cell>
          <cell r="AA1157">
            <v>0</v>
          </cell>
          <cell r="AE1157">
            <v>63.84</v>
          </cell>
          <cell r="AF1157">
            <v>71.989999999999995</v>
          </cell>
          <cell r="AK1157">
            <v>200.16</v>
          </cell>
          <cell r="AN1157">
            <v>127.2</v>
          </cell>
          <cell r="AO1157">
            <v>19.260000000000002</v>
          </cell>
          <cell r="AS1157">
            <v>0</v>
          </cell>
          <cell r="AW1157">
            <v>171</v>
          </cell>
          <cell r="AX1157">
            <v>200.57</v>
          </cell>
          <cell r="BB1157">
            <v>0</v>
          </cell>
          <cell r="BC1157">
            <v>72.06</v>
          </cell>
          <cell r="BF1157">
            <v>48.3</v>
          </cell>
          <cell r="BG1157">
            <v>200.58</v>
          </cell>
        </row>
        <row r="1158">
          <cell r="A1158">
            <v>214</v>
          </cell>
          <cell r="B1158" t="str">
            <v>FG</v>
          </cell>
          <cell r="C1158" t="str">
            <v>FM</v>
          </cell>
          <cell r="D1158" t="str">
            <v>JO ALMOND W TF 70%</v>
          </cell>
          <cell r="E1158" t="str">
            <v>VITAVON W TF</v>
          </cell>
          <cell r="I1158">
            <v>0</v>
          </cell>
          <cell r="J1158">
            <v>18</v>
          </cell>
          <cell r="N1158">
            <v>97.6</v>
          </cell>
          <cell r="R1158">
            <v>0</v>
          </cell>
          <cell r="W1158">
            <v>64</v>
          </cell>
          <cell r="AA1158">
            <v>181</v>
          </cell>
          <cell r="AF1158">
            <v>46.6</v>
          </cell>
          <cell r="AK1158">
            <v>124</v>
          </cell>
          <cell r="AN1158">
            <v>32</v>
          </cell>
          <cell r="AO1158">
            <v>101.8</v>
          </cell>
          <cell r="AS1158">
            <v>1.6</v>
          </cell>
          <cell r="AT1158">
            <v>185.6</v>
          </cell>
          <cell r="AX1158">
            <v>97.8</v>
          </cell>
          <cell r="BB1158">
            <v>1.6</v>
          </cell>
          <cell r="BC1158">
            <v>94.8</v>
          </cell>
          <cell r="BG1158">
            <v>40.200000000000003</v>
          </cell>
        </row>
        <row r="1159">
          <cell r="A1159">
            <v>215</v>
          </cell>
          <cell r="B1159" t="str">
            <v>FG</v>
          </cell>
          <cell r="C1159" t="str">
            <v>FM</v>
          </cell>
          <cell r="D1159" t="str">
            <v>AMWAY</v>
          </cell>
          <cell r="I1159">
            <v>0</v>
          </cell>
          <cell r="N1159">
            <v>33</v>
          </cell>
          <cell r="R1159">
            <v>0</v>
          </cell>
          <cell r="V1159">
            <v>218</v>
          </cell>
          <cell r="W1159">
            <v>33</v>
          </cell>
          <cell r="AA1159">
            <v>0</v>
          </cell>
          <cell r="AF1159">
            <v>236.6</v>
          </cell>
          <cell r="AO1159">
            <v>210.6</v>
          </cell>
          <cell r="AS1159">
            <v>0</v>
          </cell>
          <cell r="AX1159">
            <v>142.6</v>
          </cell>
          <cell r="BB1159">
            <v>0</v>
          </cell>
          <cell r="BG1159">
            <v>135</v>
          </cell>
        </row>
        <row r="1160">
          <cell r="A1160">
            <v>216</v>
          </cell>
          <cell r="B1160" t="str">
            <v>FG</v>
          </cell>
          <cell r="C1160" t="str">
            <v>FM</v>
          </cell>
          <cell r="D1160" t="str">
            <v>FA SAUDI</v>
          </cell>
          <cell r="I1160">
            <v>0</v>
          </cell>
          <cell r="J1160">
            <v>29.2</v>
          </cell>
          <cell r="R1160">
            <v>0</v>
          </cell>
          <cell r="S1160">
            <v>29.2</v>
          </cell>
          <cell r="AA1160">
            <v>0</v>
          </cell>
          <cell r="AB1160">
            <v>29.2</v>
          </cell>
          <cell r="AK1160">
            <v>29.2</v>
          </cell>
          <cell r="AS1160">
            <v>0</v>
          </cell>
          <cell r="AT1160">
            <v>29.2</v>
          </cell>
          <cell r="BB1160">
            <v>0</v>
          </cell>
          <cell r="BC1160">
            <v>29.2</v>
          </cell>
        </row>
        <row r="1161">
          <cell r="A1161">
            <v>217</v>
          </cell>
          <cell r="B1161" t="str">
            <v>FG</v>
          </cell>
          <cell r="C1161" t="str">
            <v>FM</v>
          </cell>
          <cell r="D1161" t="str">
            <v>LE CHAT</v>
          </cell>
          <cell r="I1161">
            <v>0</v>
          </cell>
          <cell r="R1161">
            <v>0</v>
          </cell>
          <cell r="AA1161">
            <v>0</v>
          </cell>
          <cell r="AS1161">
            <v>0</v>
          </cell>
          <cell r="BB1161">
            <v>0</v>
          </cell>
        </row>
        <row r="1162">
          <cell r="A1162">
            <v>218</v>
          </cell>
          <cell r="B1162" t="str">
            <v>FG</v>
          </cell>
          <cell r="C1162" t="str">
            <v>FM</v>
          </cell>
          <cell r="D1162" t="str">
            <v>SDM NOODLES</v>
          </cell>
          <cell r="I1162">
            <v>16</v>
          </cell>
          <cell r="R1162">
            <v>16</v>
          </cell>
          <cell r="AA1162">
            <v>16</v>
          </cell>
          <cell r="AJ1162">
            <v>16</v>
          </cell>
          <cell r="AS1162">
            <v>16</v>
          </cell>
          <cell r="BB1162">
            <v>16</v>
          </cell>
        </row>
        <row r="1163">
          <cell r="A1163">
            <v>219</v>
          </cell>
          <cell r="B1163" t="str">
            <v>FG</v>
          </cell>
          <cell r="C1163" t="str">
            <v>FM</v>
          </cell>
          <cell r="D1163" t="str">
            <v>ITC</v>
          </cell>
          <cell r="I1163">
            <v>0</v>
          </cell>
          <cell r="J1163">
            <v>275.10000000000002</v>
          </cell>
          <cell r="R1163">
            <v>0</v>
          </cell>
          <cell r="S1163">
            <v>189.9</v>
          </cell>
          <cell r="AA1163">
            <v>0</v>
          </cell>
          <cell r="AB1163">
            <v>156.69999999999999</v>
          </cell>
          <cell r="AK1163">
            <v>211.5</v>
          </cell>
          <cell r="AS1163">
            <v>0</v>
          </cell>
          <cell r="AT1163">
            <v>212.3</v>
          </cell>
          <cell r="BB1163">
            <v>0</v>
          </cell>
          <cell r="BC1163">
            <v>201.1</v>
          </cell>
        </row>
        <row r="1164">
          <cell r="A1164">
            <v>220</v>
          </cell>
          <cell r="B1164" t="str">
            <v>FG</v>
          </cell>
          <cell r="C1164" t="str">
            <v>FM</v>
          </cell>
          <cell r="D1164" t="str">
            <v>GENERAL NOODLES</v>
          </cell>
          <cell r="I1164">
            <v>54.4</v>
          </cell>
          <cell r="R1164">
            <v>17.399999999999999</v>
          </cell>
          <cell r="AA1164">
            <v>17.399999999999999</v>
          </cell>
          <cell r="AJ1164">
            <v>35.200000000000003</v>
          </cell>
          <cell r="AS1164">
            <v>37.6</v>
          </cell>
          <cell r="BB1164">
            <v>37.6</v>
          </cell>
        </row>
        <row r="1165">
          <cell r="A1165">
            <v>221</v>
          </cell>
          <cell r="B1165" t="str">
            <v>FG</v>
          </cell>
          <cell r="C1165" t="str">
            <v>FM</v>
          </cell>
          <cell r="D1165" t="str">
            <v>NEAT SCRAP SOAP</v>
          </cell>
          <cell r="I1165">
            <v>10</v>
          </cell>
          <cell r="R1165">
            <v>10</v>
          </cell>
          <cell r="AA1165">
            <v>10</v>
          </cell>
          <cell r="AJ1165">
            <v>10</v>
          </cell>
          <cell r="AS1165">
            <v>25</v>
          </cell>
          <cell r="BB1165">
            <v>25</v>
          </cell>
        </row>
        <row r="1166">
          <cell r="A1166">
            <v>222</v>
          </cell>
          <cell r="B1166" t="str">
            <v>FG</v>
          </cell>
          <cell r="C1166" t="str">
            <v>FM</v>
          </cell>
          <cell r="D1166" t="str">
            <v>DAVID OPEC</v>
          </cell>
        </row>
        <row r="1167">
          <cell r="A1167">
            <v>223</v>
          </cell>
          <cell r="B1167" t="str">
            <v>FG</v>
          </cell>
          <cell r="C1167" t="str">
            <v>FM</v>
          </cell>
          <cell r="D1167" t="str">
            <v>DABUR VATICA</v>
          </cell>
        </row>
        <row r="1168">
          <cell r="A1168">
            <v>224</v>
          </cell>
          <cell r="B1168" t="str">
            <v>FG</v>
          </cell>
          <cell r="C1168" t="str">
            <v>FM</v>
          </cell>
          <cell r="D1168" t="str">
            <v>MARGO</v>
          </cell>
          <cell r="J1168">
            <v>209.65</v>
          </cell>
          <cell r="S1168">
            <v>209.65</v>
          </cell>
          <cell r="AB1168">
            <v>196.85</v>
          </cell>
          <cell r="AK1168">
            <v>144.85</v>
          </cell>
          <cell r="AT1168">
            <v>106.75</v>
          </cell>
          <cell r="BC1168">
            <v>236.55</v>
          </cell>
        </row>
        <row r="1169">
          <cell r="A1169">
            <v>225</v>
          </cell>
          <cell r="B1169" t="str">
            <v>FG</v>
          </cell>
          <cell r="C1169" t="str">
            <v>FM</v>
          </cell>
          <cell r="D1169" t="str">
            <v>OIL BASED NOODLES</v>
          </cell>
        </row>
        <row r="1170">
          <cell r="A1170">
            <v>226</v>
          </cell>
          <cell r="B1170" t="str">
            <v>FG</v>
          </cell>
          <cell r="C1170" t="str">
            <v>SM</v>
          </cell>
          <cell r="D1170" t="str">
            <v>TRANSLUCENT</v>
          </cell>
          <cell r="J1170">
            <v>95.11</v>
          </cell>
          <cell r="N1170">
            <v>66.03</v>
          </cell>
          <cell r="R1170">
            <v>23.4</v>
          </cell>
          <cell r="S1170">
            <v>86.31</v>
          </cell>
          <cell r="V1170">
            <v>235.6</v>
          </cell>
          <cell r="AA1170">
            <v>34.6</v>
          </cell>
          <cell r="AB1170">
            <v>80.11</v>
          </cell>
          <cell r="AE1170">
            <v>48.800000000000118</v>
          </cell>
          <cell r="AF1170">
            <v>319.3</v>
          </cell>
          <cell r="AJ1170">
            <v>34.6</v>
          </cell>
          <cell r="AK1170">
            <v>80.11</v>
          </cell>
          <cell r="AO1170">
            <v>293.39999999999998</v>
          </cell>
          <cell r="AT1170">
            <v>80.11</v>
          </cell>
          <cell r="AW1170">
            <v>44.4</v>
          </cell>
          <cell r="AX1170">
            <v>232.6</v>
          </cell>
          <cell r="BC1170">
            <v>80.11</v>
          </cell>
          <cell r="BF1170">
            <v>12</v>
          </cell>
          <cell r="BG1170">
            <v>239.4</v>
          </cell>
        </row>
        <row r="1171">
          <cell r="A1171">
            <v>227</v>
          </cell>
          <cell r="B1171" t="str">
            <v>FG</v>
          </cell>
          <cell r="C1171" t="str">
            <v>SM</v>
          </cell>
          <cell r="D1171" t="str">
            <v>TETMOSOL</v>
          </cell>
        </row>
        <row r="1172">
          <cell r="A1172">
            <v>228</v>
          </cell>
          <cell r="B1172" t="str">
            <v>FG</v>
          </cell>
          <cell r="C1172" t="str">
            <v>FM</v>
          </cell>
          <cell r="D1172" t="str">
            <v xml:space="preserve">J &amp; J </v>
          </cell>
        </row>
        <row r="1173">
          <cell r="A1173">
            <v>229</v>
          </cell>
          <cell r="B1173" t="str">
            <v>FG</v>
          </cell>
          <cell r="C1173" t="str">
            <v>FM</v>
          </cell>
          <cell r="D1173" t="str">
            <v>JBS 80:20</v>
          </cell>
        </row>
        <row r="1174">
          <cell r="A1174">
            <v>230</v>
          </cell>
          <cell r="B1174" t="str">
            <v>FG</v>
          </cell>
          <cell r="C1174" t="str">
            <v>FM</v>
          </cell>
          <cell r="D1174" t="str">
            <v>IMPORTED NOODLES</v>
          </cell>
          <cell r="N1174">
            <v>52</v>
          </cell>
          <cell r="W1174">
            <v>52</v>
          </cell>
          <cell r="AF1174">
            <v>52</v>
          </cell>
          <cell r="AO1174">
            <v>52</v>
          </cell>
          <cell r="AX1174">
            <v>52</v>
          </cell>
          <cell r="BG1174">
            <v>52</v>
          </cell>
        </row>
        <row r="1175">
          <cell r="A1175">
            <v>231</v>
          </cell>
          <cell r="B1175" t="str">
            <v>FG</v>
          </cell>
          <cell r="C1175" t="str">
            <v>FM</v>
          </cell>
          <cell r="D1175" t="str">
            <v>HAWAI SYNDAATE BASE REGULER</v>
          </cell>
        </row>
        <row r="1176">
          <cell r="F1176">
            <v>0</v>
          </cell>
          <cell r="G1176">
            <v>0</v>
          </cell>
          <cell r="H1176">
            <v>0</v>
          </cell>
          <cell r="I1176">
            <v>262</v>
          </cell>
          <cell r="J1176">
            <v>1041.3710000000001</v>
          </cell>
          <cell r="K1176">
            <v>0</v>
          </cell>
          <cell r="L1176">
            <v>0</v>
          </cell>
          <cell r="M1176">
            <v>425.7</v>
          </cell>
          <cell r="N1176">
            <v>900.44</v>
          </cell>
          <cell r="O1176">
            <v>0</v>
          </cell>
          <cell r="P1176">
            <v>0</v>
          </cell>
          <cell r="Q1176">
            <v>0</v>
          </cell>
          <cell r="R1176">
            <v>70.599999999999994</v>
          </cell>
          <cell r="S1176">
            <v>925.32099999999991</v>
          </cell>
          <cell r="T1176">
            <v>0</v>
          </cell>
          <cell r="U1176">
            <v>0</v>
          </cell>
          <cell r="V1176">
            <v>791.6</v>
          </cell>
          <cell r="W1176">
            <v>1023.59</v>
          </cell>
          <cell r="X1176">
            <v>0</v>
          </cell>
          <cell r="Y1176">
            <v>0</v>
          </cell>
          <cell r="Z1176">
            <v>0</v>
          </cell>
          <cell r="AA1176">
            <v>361</v>
          </cell>
          <cell r="AB1176">
            <v>996.85599999999999</v>
          </cell>
          <cell r="AC1176">
            <v>0</v>
          </cell>
          <cell r="AD1176">
            <v>0</v>
          </cell>
          <cell r="AE1176">
            <v>301.04000000000013</v>
          </cell>
          <cell r="AF1176">
            <v>1294.19</v>
          </cell>
          <cell r="AG1176">
            <v>0</v>
          </cell>
          <cell r="AH1176">
            <v>0</v>
          </cell>
          <cell r="AI1176">
            <v>0</v>
          </cell>
          <cell r="AJ1176">
            <v>408.6</v>
          </cell>
          <cell r="AK1176">
            <v>1187.9059999999999</v>
          </cell>
          <cell r="AL1176">
            <v>0</v>
          </cell>
          <cell r="AM1176">
            <v>0</v>
          </cell>
          <cell r="AN1176">
            <v>429.2</v>
          </cell>
          <cell r="AO1176">
            <v>1192.46</v>
          </cell>
          <cell r="AP1176">
            <v>0</v>
          </cell>
          <cell r="AQ1176">
            <v>0</v>
          </cell>
          <cell r="AR1176">
            <v>0</v>
          </cell>
          <cell r="AS1176">
            <v>105.30000000000001</v>
          </cell>
          <cell r="AT1176">
            <v>1123.2560000000001</v>
          </cell>
          <cell r="AU1176">
            <v>0</v>
          </cell>
          <cell r="AV1176">
            <v>0</v>
          </cell>
          <cell r="AW1176">
            <v>283.39999999999998</v>
          </cell>
          <cell r="AX1176">
            <v>1164.6699999999998</v>
          </cell>
          <cell r="AY1176">
            <v>0</v>
          </cell>
          <cell r="AZ1176">
            <v>0</v>
          </cell>
          <cell r="BA1176">
            <v>0</v>
          </cell>
          <cell r="BB1176">
            <v>150.29999999999998</v>
          </cell>
          <cell r="BC1176">
            <v>1087.4559999999999</v>
          </cell>
          <cell r="BD1176">
            <v>0</v>
          </cell>
          <cell r="BE1176">
            <v>0</v>
          </cell>
          <cell r="BF1176">
            <v>96.3</v>
          </cell>
          <cell r="BG1176">
            <v>954.83</v>
          </cell>
        </row>
        <row r="1177">
          <cell r="F1177">
            <v>2508.8226499999996</v>
          </cell>
          <cell r="G1177">
            <v>8946.7241049000004</v>
          </cell>
          <cell r="H1177">
            <v>5382.5619999999999</v>
          </cell>
          <cell r="I1177">
            <v>15746.206880285714</v>
          </cell>
          <cell r="J1177">
            <v>3069.2730000000001</v>
          </cell>
          <cell r="K1177">
            <v>7209.7510000000002</v>
          </cell>
          <cell r="L1177">
            <v>1648.7660000000001</v>
          </cell>
          <cell r="M1177">
            <v>2120.04</v>
          </cell>
          <cell r="N1177">
            <v>900.44</v>
          </cell>
          <cell r="O1177">
            <v>2413.6124679999998</v>
          </cell>
          <cell r="P1177">
            <v>8654.7067600000009</v>
          </cell>
          <cell r="Q1177">
            <v>5474.2300000000005</v>
          </cell>
          <cell r="R1177">
            <v>16389.520054857141</v>
          </cell>
          <cell r="S1177">
            <v>2692.2510000000002</v>
          </cell>
          <cell r="T1177">
            <v>5380.4610000000002</v>
          </cell>
          <cell r="U1177">
            <v>49.539000000000001</v>
          </cell>
          <cell r="V1177">
            <v>2988.3900000000003</v>
          </cell>
          <cell r="W1177">
            <v>1023.59</v>
          </cell>
          <cell r="X1177">
            <v>2604.9052000000001</v>
          </cell>
          <cell r="Y1177">
            <v>8770.0426800000005</v>
          </cell>
          <cell r="Z1177">
            <v>6445.8399999999992</v>
          </cell>
          <cell r="AA1177">
            <v>16756.906808</v>
          </cell>
          <cell r="AB1177">
            <v>2920.9569999999994</v>
          </cell>
          <cell r="AC1177">
            <v>5281.2990000000009</v>
          </cell>
          <cell r="AD1177">
            <v>2061.2539999999999</v>
          </cell>
          <cell r="AE1177">
            <v>1991.39</v>
          </cell>
          <cell r="AF1177">
            <v>1294.19</v>
          </cell>
          <cell r="AG1177">
            <v>2699.7643799999996</v>
          </cell>
          <cell r="AH1177">
            <v>9556.3076600000004</v>
          </cell>
          <cell r="AI1177">
            <v>6230.55</v>
          </cell>
          <cell r="AJ1177">
            <v>16199.347871428574</v>
          </cell>
          <cell r="AK1177">
            <v>3080.3429999999998</v>
          </cell>
          <cell r="AL1177">
            <v>5288.32</v>
          </cell>
          <cell r="AM1177">
            <v>8847.8459999999995</v>
          </cell>
          <cell r="AN1177">
            <v>1297.74</v>
          </cell>
          <cell r="AO1177">
            <v>1192.46</v>
          </cell>
          <cell r="AP1177">
            <v>3055.2922799999997</v>
          </cell>
          <cell r="AQ1177">
            <v>9564.8961600000002</v>
          </cell>
          <cell r="AR1177">
            <v>4700.0599999999995</v>
          </cell>
          <cell r="AS1177">
            <v>17699.171355714287</v>
          </cell>
          <cell r="AT1177">
            <v>2586.9290000000001</v>
          </cell>
          <cell r="AU1177">
            <v>6557.2330000000002</v>
          </cell>
          <cell r="AV1177">
            <v>3863.3450000000003</v>
          </cell>
          <cell r="AW1177">
            <v>2307.9900000000002</v>
          </cell>
          <cell r="AX1177">
            <v>1164.6699999999998</v>
          </cell>
          <cell r="AY1177">
            <v>3559.43568</v>
          </cell>
          <cell r="AZ1177">
            <v>9770.3371599999991</v>
          </cell>
          <cell r="BA1177">
            <v>5955</v>
          </cell>
          <cell r="BB1177">
            <v>17975.845144000003</v>
          </cell>
          <cell r="BC1177">
            <v>2864.0140000000001</v>
          </cell>
          <cell r="BD1177">
            <v>6746.5209999999997</v>
          </cell>
          <cell r="BE1177">
            <v>2795.0239999999999</v>
          </cell>
          <cell r="BF1177">
            <v>1405.6299999999999</v>
          </cell>
          <cell r="BG1177">
            <v>954.83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NY DETAILS"/>
      <sheetName val="DEPARTMENT MASTER"/>
      <sheetName val="REGION MASTER"/>
      <sheetName val="STATE MASTER"/>
      <sheetName val="CITY MASTER"/>
      <sheetName val="OFFICE MASTER"/>
      <sheetName val="DESIGNATION MASTER"/>
      <sheetName val="BANK MASTER"/>
      <sheetName val="GRADE  MASTER"/>
      <sheetName val="EMPLOYEE MASTER"/>
      <sheetName val="GROUP MAP"/>
      <sheetName val="PL ENCAHS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AQ4">
            <v>6000</v>
          </cell>
        </row>
        <row r="5">
          <cell r="AQ5">
            <v>6000</v>
          </cell>
        </row>
        <row r="6">
          <cell r="AQ6">
            <v>4000</v>
          </cell>
        </row>
        <row r="7">
          <cell r="AQ7">
            <v>4000</v>
          </cell>
        </row>
        <row r="9">
          <cell r="AQ9">
            <v>4000</v>
          </cell>
        </row>
      </sheetData>
      <sheetData sheetId="10"/>
      <sheetData sheetId="1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team Day"/>
      <sheetName val="Summary"/>
      <sheetName val="Inputs"/>
      <sheetName val="Wkg Day"/>
      <sheetName val="Day"/>
      <sheetName val="Daily Product Cost Sheet"/>
      <sheetName val="S Ash"/>
      <sheetName val="Bicarb "/>
      <sheetName val="Caustic"/>
      <sheetName val="Liq. Bromine"/>
      <sheetName val="Salt "/>
      <sheetName val="Cement"/>
      <sheetName val="Stea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Sheet3"/>
      <sheetName val="GROUPINGS"/>
      <sheetName val="TRIAL BALANCE"/>
      <sheetName val="BALANCE SHEET"/>
      <sheetName val="P&amp;L"/>
      <sheetName val="SCHEDULES"/>
      <sheetName val="BALANCE SHEET(LAKHS)"/>
      <sheetName val="P&amp;L(lakhs)"/>
      <sheetName val="SCHEDULES (LAKHS)"/>
      <sheetName val="CASHFLOW"/>
      <sheetName val="CASH FLOW WORKING"/>
      <sheetName val="Adjustem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"/>
      <sheetName val="Pak-mat"/>
      <sheetName val="Sales9899"/>
      <sheetName val="Analysis 98-99"/>
      <sheetName val="Est.-Operating Result-1999-00"/>
      <sheetName val="Marginal Cost-99-00"/>
      <sheetName val="cost sheet-1999-00"/>
      <sheetName val="Cl. Stock Value"/>
      <sheetName val="Output"/>
      <sheetName val="Bs 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M4">
            <v>369184.12</v>
          </cell>
        </row>
        <row r="152">
          <cell r="E152">
            <v>154465.96</v>
          </cell>
        </row>
        <row r="158">
          <cell r="C158">
            <v>219075</v>
          </cell>
        </row>
        <row r="159">
          <cell r="C159">
            <v>90174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VF Logo"/>
      <sheetName val="Balance Sheet final"/>
      <sheetName val="Profit-Loss final"/>
      <sheetName val="Merged Cash Flow"/>
      <sheetName val="Cash Flow Console"/>
      <sheetName val="CFS Working"/>
      <sheetName val="Note 3 - 5 final"/>
      <sheetName val="Note 6 final"/>
      <sheetName val="Note 6 Cont..."/>
      <sheetName val="Note 7."/>
      <sheetName val="Note 8 - 20 final"/>
      <sheetName val="Note11A Final VVF INDIA Tangb"/>
      <sheetName val="Note 11B Final VVF INDIA Intan"/>
      <sheetName val="Note12 Final"/>
      <sheetName val="Note 13 "/>
      <sheetName val="Note 14"/>
      <sheetName val="Note 21-30"/>
      <sheetName val="Note-26"/>
      <sheetName val="master"/>
      <sheetName val="Merged TB"/>
      <sheetName val="Merger Adjustment Entries"/>
      <sheetName val="VITA TB"/>
      <sheetName val="Final SAD March 13"/>
      <sheetName val="Final SAD VITA March 13"/>
      <sheetName val="Vita FA"/>
      <sheetName val="Vita FA Additions"/>
      <sheetName val="Vita Fair Value"/>
      <sheetName val="Notes"/>
      <sheetName val="TB"/>
      <sheetName val="Term Loan"/>
      <sheetName val="PnL Movement"/>
      <sheetName val="Sheet1"/>
    </sheetNames>
    <sheetDataSet>
      <sheetData sheetId="0" refreshError="1"/>
      <sheetData sheetId="1" refreshError="1">
        <row r="1">
          <cell r="R1" t="str">
            <v>INR</v>
          </cell>
        </row>
        <row r="2">
          <cell r="R2" t="str">
            <v>Lakhs</v>
          </cell>
        </row>
        <row r="3">
          <cell r="R3" t="str">
            <v>Million</v>
          </cell>
        </row>
        <row r="6">
          <cell r="R6" t="str">
            <v>Crores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istingRangeDetails"/>
      <sheetName val="Balance Sheet final"/>
      <sheetName val="Profit-Loss final"/>
      <sheetName val="Note. 1VVF (India)"/>
      <sheetName val="Note. 1 VVF Ltd"/>
      <sheetName val="Note. 2 VVF Ltd"/>
      <sheetName val="Note. 2 VVF India"/>
      <sheetName val="Cashflow Carve out"/>
      <sheetName val="Note 3 - 5 final"/>
      <sheetName val="Note 6 final"/>
      <sheetName val="Note 6A"/>
      <sheetName val="Note 7."/>
      <sheetName val="Note 8 - 20 final"/>
      <sheetName val="Note11A Final VVF INDIA Tangb"/>
      <sheetName val="Note 11B Final VVF INDIA Intan"/>
      <sheetName val="Note12 Final"/>
      <sheetName val="Note-11 Printing VVF INDIA"/>
      <sheetName val="Note-11 VVF Ltd Printing"/>
      <sheetName val="Note 12"/>
      <sheetName val="Note 13 "/>
      <sheetName val="Note 14"/>
      <sheetName val="Note 11 VVF LTD Tangible"/>
      <sheetName val="Note 21-30"/>
      <sheetName val="Note-26"/>
      <sheetName val="Note 27 -28"/>
      <sheetName val="Note 29- 30"/>
      <sheetName val="Note 31-40"/>
      <sheetName val="Note-41"/>
      <sheetName val="Note-42"/>
      <sheetName val="Note-43."/>
      <sheetName val="Note - 44"/>
      <sheetName val="Notes for bsheet"/>
      <sheetName val="Cashflow  vvf ltd"/>
      <sheetName val="Note 1"/>
      <sheetName val="Note 2"/>
      <sheetName val="Note 3"/>
      <sheetName val="Note4"/>
      <sheetName val="Note-5"/>
      <sheetName val="Note-6"/>
      <sheetName val="Note-7"/>
      <sheetName val="Note-8"/>
      <sheetName val="Note-9"/>
      <sheetName val="BRR FY12"/>
      <sheetName val="Reserve Calculation"/>
      <sheetName val="Pivot"/>
      <sheetName val="Aging Captial Advance"/>
      <sheetName val="FDR BREAKUP"/>
      <sheetName val="FA Schedule"/>
      <sheetName val="Debtors _ NOPL"/>
      <sheetName val="Sheet2"/>
      <sheetName val="Mail for Salary &amp; Bonus 2011"/>
      <sheetName val="Sheet4"/>
      <sheetName val="Deferred Tax"/>
      <sheetName val="Notes"/>
    </sheetNames>
    <sheetDataSet>
      <sheetData sheetId="0" refreshError="1"/>
      <sheetData sheetId="1" refreshError="1">
        <row r="1">
          <cell r="AU1" t="str">
            <v>Rupees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PIVOT "/>
      <sheetName val="Taloja"/>
      <sheetName val="PIVOT"/>
      <sheetName val="SION"/>
      <sheetName val="CON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L2">
            <v>40725</v>
          </cell>
        </row>
        <row r="3">
          <cell r="L3">
            <v>40725</v>
          </cell>
        </row>
        <row r="4">
          <cell r="L4">
            <v>40728</v>
          </cell>
        </row>
        <row r="5">
          <cell r="L5">
            <v>40728</v>
          </cell>
        </row>
        <row r="6">
          <cell r="L6">
            <v>40728</v>
          </cell>
        </row>
        <row r="7">
          <cell r="L7">
            <v>40728</v>
          </cell>
        </row>
        <row r="8">
          <cell r="L8">
            <v>40728</v>
          </cell>
        </row>
        <row r="9">
          <cell r="L9">
            <v>40729</v>
          </cell>
        </row>
        <row r="10">
          <cell r="L10">
            <v>40729</v>
          </cell>
        </row>
        <row r="11">
          <cell r="L11">
            <v>40730</v>
          </cell>
        </row>
        <row r="12">
          <cell r="L12">
            <v>40731</v>
          </cell>
        </row>
        <row r="13">
          <cell r="L13">
            <v>40732</v>
          </cell>
        </row>
        <row r="14">
          <cell r="L14">
            <v>40732</v>
          </cell>
        </row>
        <row r="15">
          <cell r="L15">
            <v>40735</v>
          </cell>
        </row>
        <row r="16">
          <cell r="L16">
            <v>40736</v>
          </cell>
        </row>
        <row r="17">
          <cell r="L17">
            <v>40738</v>
          </cell>
        </row>
        <row r="18">
          <cell r="L18">
            <v>40739</v>
          </cell>
        </row>
        <row r="19">
          <cell r="L19">
            <v>40739</v>
          </cell>
        </row>
        <row r="20">
          <cell r="L20">
            <v>40739</v>
          </cell>
        </row>
        <row r="21">
          <cell r="L21">
            <v>40742</v>
          </cell>
        </row>
        <row r="22">
          <cell r="L22">
            <v>40742</v>
          </cell>
        </row>
        <row r="23">
          <cell r="L23">
            <v>40743</v>
          </cell>
        </row>
        <row r="24">
          <cell r="L24">
            <v>40742</v>
          </cell>
        </row>
        <row r="25">
          <cell r="L25">
            <v>40742</v>
          </cell>
        </row>
        <row r="26">
          <cell r="L26">
            <v>40744</v>
          </cell>
        </row>
        <row r="27">
          <cell r="L27">
            <v>40744</v>
          </cell>
        </row>
        <row r="28">
          <cell r="L28">
            <v>40744</v>
          </cell>
        </row>
        <row r="29">
          <cell r="L29">
            <v>40745</v>
          </cell>
        </row>
        <row r="30">
          <cell r="L30">
            <v>40745</v>
          </cell>
        </row>
        <row r="31">
          <cell r="L31">
            <v>40746</v>
          </cell>
        </row>
        <row r="32">
          <cell r="L32">
            <v>40749</v>
          </cell>
        </row>
        <row r="33">
          <cell r="L33">
            <v>40750</v>
          </cell>
        </row>
        <row r="34">
          <cell r="L34">
            <v>40750</v>
          </cell>
        </row>
        <row r="35">
          <cell r="L35">
            <v>40750</v>
          </cell>
        </row>
        <row r="36">
          <cell r="L36">
            <v>40750</v>
          </cell>
        </row>
        <row r="37">
          <cell r="L37">
            <v>40750</v>
          </cell>
        </row>
        <row r="38">
          <cell r="L38">
            <v>40750</v>
          </cell>
        </row>
        <row r="39">
          <cell r="L39">
            <v>40750</v>
          </cell>
        </row>
        <row r="40">
          <cell r="L40">
            <v>40751</v>
          </cell>
        </row>
        <row r="41">
          <cell r="L41">
            <v>40755</v>
          </cell>
        </row>
        <row r="42">
          <cell r="L42">
            <v>40755</v>
          </cell>
        </row>
        <row r="43">
          <cell r="L43">
            <v>40755</v>
          </cell>
        </row>
        <row r="44">
          <cell r="L44">
            <v>40755</v>
          </cell>
        </row>
        <row r="45">
          <cell r="L45">
            <v>40755</v>
          </cell>
        </row>
        <row r="46">
          <cell r="L46">
            <v>40755</v>
          </cell>
        </row>
        <row r="47">
          <cell r="L47">
            <v>40755</v>
          </cell>
        </row>
        <row r="48">
          <cell r="L48">
            <v>40755</v>
          </cell>
        </row>
        <row r="49">
          <cell r="L49">
            <v>40755</v>
          </cell>
        </row>
        <row r="50">
          <cell r="L50">
            <v>40755</v>
          </cell>
        </row>
        <row r="51">
          <cell r="L51">
            <v>40755</v>
          </cell>
        </row>
        <row r="52">
          <cell r="L52">
            <v>40755</v>
          </cell>
        </row>
        <row r="53">
          <cell r="L53">
            <v>40755</v>
          </cell>
        </row>
        <row r="54">
          <cell r="L54">
            <v>40755</v>
          </cell>
        </row>
        <row r="55">
          <cell r="L55">
            <v>40755</v>
          </cell>
        </row>
        <row r="56">
          <cell r="L56">
            <v>40755</v>
          </cell>
        </row>
        <row r="57">
          <cell r="L57">
            <v>40755</v>
          </cell>
        </row>
        <row r="58">
          <cell r="L58">
            <v>40755</v>
          </cell>
        </row>
        <row r="59">
          <cell r="L59">
            <v>40755</v>
          </cell>
        </row>
        <row r="60">
          <cell r="L60">
            <v>40755</v>
          </cell>
        </row>
        <row r="61">
          <cell r="L61">
            <v>40755</v>
          </cell>
        </row>
        <row r="62">
          <cell r="L62">
            <v>40755</v>
          </cell>
        </row>
        <row r="63">
          <cell r="L63">
            <v>40755</v>
          </cell>
        </row>
        <row r="64">
          <cell r="L64">
            <v>40725</v>
          </cell>
        </row>
        <row r="65">
          <cell r="L65">
            <v>40725</v>
          </cell>
        </row>
        <row r="66">
          <cell r="L66">
            <v>40725</v>
          </cell>
        </row>
        <row r="67">
          <cell r="L67">
            <v>40725</v>
          </cell>
        </row>
        <row r="68">
          <cell r="L68">
            <v>40725</v>
          </cell>
        </row>
        <row r="69">
          <cell r="L69">
            <v>40725</v>
          </cell>
        </row>
        <row r="70">
          <cell r="L70">
            <v>40728</v>
          </cell>
        </row>
        <row r="71">
          <cell r="L71">
            <v>40728</v>
          </cell>
        </row>
        <row r="72">
          <cell r="L72">
            <v>40728</v>
          </cell>
        </row>
        <row r="73">
          <cell r="L73">
            <v>40728</v>
          </cell>
        </row>
        <row r="74">
          <cell r="L74">
            <v>40728</v>
          </cell>
        </row>
        <row r="75">
          <cell r="L75">
            <v>40729</v>
          </cell>
        </row>
        <row r="76">
          <cell r="L76">
            <v>40725</v>
          </cell>
        </row>
        <row r="77">
          <cell r="L77">
            <v>40728</v>
          </cell>
        </row>
        <row r="78">
          <cell r="L78">
            <v>40731</v>
          </cell>
        </row>
        <row r="79">
          <cell r="L79">
            <v>40731</v>
          </cell>
        </row>
        <row r="80">
          <cell r="L80">
            <v>40731</v>
          </cell>
        </row>
        <row r="81">
          <cell r="L81">
            <v>40732</v>
          </cell>
        </row>
        <row r="82">
          <cell r="L82">
            <v>40732</v>
          </cell>
        </row>
        <row r="83">
          <cell r="L83">
            <v>40732</v>
          </cell>
        </row>
        <row r="84">
          <cell r="L84">
            <v>40736</v>
          </cell>
        </row>
        <row r="85">
          <cell r="L85">
            <v>40736</v>
          </cell>
        </row>
        <row r="86">
          <cell r="L86">
            <v>40736</v>
          </cell>
        </row>
        <row r="87">
          <cell r="L87">
            <v>40736</v>
          </cell>
        </row>
        <row r="88">
          <cell r="L88">
            <v>40737</v>
          </cell>
        </row>
        <row r="89">
          <cell r="L89">
            <v>40738</v>
          </cell>
        </row>
        <row r="90">
          <cell r="L90">
            <v>40739</v>
          </cell>
        </row>
        <row r="91">
          <cell r="L91">
            <v>40739</v>
          </cell>
        </row>
        <row r="92">
          <cell r="L92">
            <v>40739</v>
          </cell>
        </row>
        <row r="93">
          <cell r="L93">
            <v>40739</v>
          </cell>
        </row>
        <row r="94">
          <cell r="L94">
            <v>40739</v>
          </cell>
        </row>
        <row r="95">
          <cell r="L95">
            <v>40739</v>
          </cell>
        </row>
        <row r="96">
          <cell r="L96">
            <v>40742</v>
          </cell>
        </row>
        <row r="97">
          <cell r="L97">
            <v>40742</v>
          </cell>
        </row>
        <row r="98">
          <cell r="L98">
            <v>40742</v>
          </cell>
        </row>
        <row r="99">
          <cell r="L99">
            <v>40742</v>
          </cell>
        </row>
        <row r="100">
          <cell r="L100">
            <v>40742</v>
          </cell>
        </row>
        <row r="101">
          <cell r="L101">
            <v>40743</v>
          </cell>
        </row>
        <row r="102">
          <cell r="L102">
            <v>40743</v>
          </cell>
        </row>
        <row r="103">
          <cell r="L103">
            <v>40743</v>
          </cell>
        </row>
        <row r="104">
          <cell r="L104">
            <v>40744</v>
          </cell>
        </row>
        <row r="105">
          <cell r="L105">
            <v>40744</v>
          </cell>
        </row>
        <row r="106">
          <cell r="L106">
            <v>40744</v>
          </cell>
        </row>
        <row r="107">
          <cell r="L107">
            <v>40744</v>
          </cell>
        </row>
        <row r="108">
          <cell r="L108">
            <v>40744</v>
          </cell>
        </row>
        <row r="109">
          <cell r="L109">
            <v>40744</v>
          </cell>
        </row>
        <row r="110">
          <cell r="L110">
            <v>40744</v>
          </cell>
        </row>
        <row r="111">
          <cell r="L111">
            <v>40744</v>
          </cell>
        </row>
        <row r="112">
          <cell r="L112">
            <v>40744</v>
          </cell>
        </row>
        <row r="113">
          <cell r="L113">
            <v>40745</v>
          </cell>
        </row>
        <row r="114">
          <cell r="L114">
            <v>40745</v>
          </cell>
        </row>
        <row r="115">
          <cell r="L115">
            <v>40745</v>
          </cell>
        </row>
        <row r="116">
          <cell r="L116">
            <v>40745</v>
          </cell>
        </row>
        <row r="117">
          <cell r="L117">
            <v>40745</v>
          </cell>
        </row>
        <row r="118">
          <cell r="L118">
            <v>40745</v>
          </cell>
        </row>
        <row r="119">
          <cell r="L119">
            <v>40745</v>
          </cell>
        </row>
        <row r="120">
          <cell r="L120">
            <v>40745</v>
          </cell>
        </row>
        <row r="121">
          <cell r="L121">
            <v>40745</v>
          </cell>
        </row>
        <row r="122">
          <cell r="L122">
            <v>40746</v>
          </cell>
        </row>
        <row r="123">
          <cell r="L123">
            <v>40746</v>
          </cell>
        </row>
        <row r="124">
          <cell r="L124">
            <v>40746</v>
          </cell>
        </row>
        <row r="125">
          <cell r="L125">
            <v>40746</v>
          </cell>
        </row>
        <row r="126">
          <cell r="L126">
            <v>40746</v>
          </cell>
        </row>
        <row r="127">
          <cell r="L127">
            <v>40749</v>
          </cell>
        </row>
        <row r="128">
          <cell r="L128">
            <v>40749</v>
          </cell>
        </row>
        <row r="129">
          <cell r="L129">
            <v>40749</v>
          </cell>
        </row>
        <row r="130">
          <cell r="L130">
            <v>40749</v>
          </cell>
        </row>
        <row r="131">
          <cell r="L131">
            <v>40749</v>
          </cell>
        </row>
        <row r="132">
          <cell r="L132">
            <v>40749</v>
          </cell>
        </row>
        <row r="133">
          <cell r="L133">
            <v>40749</v>
          </cell>
        </row>
        <row r="134">
          <cell r="L134">
            <v>40749</v>
          </cell>
        </row>
        <row r="135">
          <cell r="L135">
            <v>40749</v>
          </cell>
        </row>
        <row r="136">
          <cell r="L136">
            <v>40749</v>
          </cell>
        </row>
        <row r="137">
          <cell r="L137">
            <v>40749</v>
          </cell>
        </row>
        <row r="138">
          <cell r="L138">
            <v>40750</v>
          </cell>
        </row>
        <row r="139">
          <cell r="L139">
            <v>40750</v>
          </cell>
        </row>
        <row r="140">
          <cell r="L140">
            <v>40750</v>
          </cell>
        </row>
        <row r="141">
          <cell r="L141">
            <v>40750</v>
          </cell>
        </row>
        <row r="142">
          <cell r="L142">
            <v>40751</v>
          </cell>
        </row>
        <row r="143">
          <cell r="L143">
            <v>40751</v>
          </cell>
        </row>
        <row r="144">
          <cell r="L144">
            <v>40751</v>
          </cell>
        </row>
        <row r="145">
          <cell r="L145">
            <v>40752</v>
          </cell>
        </row>
        <row r="146">
          <cell r="L146">
            <v>40752</v>
          </cell>
        </row>
        <row r="147">
          <cell r="L147">
            <v>40751</v>
          </cell>
        </row>
        <row r="148">
          <cell r="L148">
            <v>40751</v>
          </cell>
        </row>
        <row r="149">
          <cell r="L149">
            <v>40751</v>
          </cell>
        </row>
        <row r="150">
          <cell r="L150">
            <v>40751</v>
          </cell>
        </row>
        <row r="151">
          <cell r="L151">
            <v>40751</v>
          </cell>
        </row>
        <row r="152">
          <cell r="L152">
            <v>40753</v>
          </cell>
        </row>
        <row r="153">
          <cell r="L153">
            <v>40753</v>
          </cell>
        </row>
        <row r="154">
          <cell r="L154">
            <v>40753</v>
          </cell>
        </row>
        <row r="155">
          <cell r="L155">
            <v>40753</v>
          </cell>
        </row>
        <row r="156">
          <cell r="L156">
            <v>40753</v>
          </cell>
        </row>
        <row r="157">
          <cell r="L157">
            <v>40752</v>
          </cell>
        </row>
        <row r="158">
          <cell r="L158">
            <v>40753</v>
          </cell>
        </row>
        <row r="159">
          <cell r="L159">
            <v>40752</v>
          </cell>
        </row>
        <row r="160">
          <cell r="L160">
            <v>40753</v>
          </cell>
        </row>
        <row r="161">
          <cell r="L161">
            <v>40753</v>
          </cell>
        </row>
        <row r="162">
          <cell r="L162">
            <v>40753</v>
          </cell>
        </row>
        <row r="163">
          <cell r="L163">
            <v>40753</v>
          </cell>
        </row>
        <row r="164">
          <cell r="L164">
            <v>40753</v>
          </cell>
        </row>
        <row r="165">
          <cell r="L165">
            <v>40753</v>
          </cell>
        </row>
        <row r="166">
          <cell r="L166">
            <v>40753</v>
          </cell>
        </row>
        <row r="167">
          <cell r="L167">
            <v>40753</v>
          </cell>
        </row>
        <row r="168">
          <cell r="L168">
            <v>40753</v>
          </cell>
        </row>
        <row r="169">
          <cell r="L169">
            <v>40755</v>
          </cell>
        </row>
        <row r="170">
          <cell r="L170">
            <v>40745</v>
          </cell>
        </row>
        <row r="171">
          <cell r="L171">
            <v>40728</v>
          </cell>
        </row>
        <row r="172">
          <cell r="L172">
            <v>40735</v>
          </cell>
        </row>
        <row r="173">
          <cell r="L173">
            <v>40738</v>
          </cell>
        </row>
        <row r="174">
          <cell r="L174">
            <v>40739</v>
          </cell>
        </row>
        <row r="175">
          <cell r="L175">
            <v>40743</v>
          </cell>
        </row>
        <row r="176">
          <cell r="L176">
            <v>40744</v>
          </cell>
        </row>
        <row r="177">
          <cell r="L177">
            <v>40746</v>
          </cell>
        </row>
        <row r="178">
          <cell r="L178">
            <v>40725</v>
          </cell>
        </row>
        <row r="179">
          <cell r="L179">
            <v>40728</v>
          </cell>
        </row>
        <row r="180">
          <cell r="L180">
            <v>40729</v>
          </cell>
        </row>
        <row r="181">
          <cell r="L181">
            <v>40730</v>
          </cell>
        </row>
        <row r="182">
          <cell r="L182">
            <v>40735</v>
          </cell>
        </row>
        <row r="183">
          <cell r="L183">
            <v>40737</v>
          </cell>
        </row>
        <row r="184">
          <cell r="L184">
            <v>40738</v>
          </cell>
        </row>
        <row r="185">
          <cell r="L185">
            <v>40738</v>
          </cell>
        </row>
        <row r="186">
          <cell r="L186">
            <v>40739</v>
          </cell>
        </row>
        <row r="187">
          <cell r="L187">
            <v>40739</v>
          </cell>
        </row>
        <row r="188">
          <cell r="L188">
            <v>40739</v>
          </cell>
        </row>
        <row r="189">
          <cell r="L189">
            <v>40739</v>
          </cell>
        </row>
        <row r="190">
          <cell r="L190">
            <v>40739</v>
          </cell>
        </row>
        <row r="191">
          <cell r="L191">
            <v>40739</v>
          </cell>
        </row>
        <row r="192">
          <cell r="L192">
            <v>40739</v>
          </cell>
        </row>
        <row r="193">
          <cell r="L193">
            <v>40739</v>
          </cell>
        </row>
        <row r="194">
          <cell r="L194">
            <v>40739</v>
          </cell>
        </row>
        <row r="195">
          <cell r="L195">
            <v>40739</v>
          </cell>
        </row>
        <row r="196">
          <cell r="L196">
            <v>40739</v>
          </cell>
        </row>
        <row r="197">
          <cell r="L197">
            <v>40739</v>
          </cell>
        </row>
        <row r="198">
          <cell r="L198">
            <v>40739</v>
          </cell>
        </row>
        <row r="199">
          <cell r="L199">
            <v>40739</v>
          </cell>
        </row>
        <row r="200">
          <cell r="L200">
            <v>40739</v>
          </cell>
        </row>
        <row r="201">
          <cell r="L201">
            <v>40739</v>
          </cell>
        </row>
        <row r="202">
          <cell r="L202">
            <v>40739</v>
          </cell>
        </row>
        <row r="203">
          <cell r="L203">
            <v>40743</v>
          </cell>
        </row>
        <row r="204">
          <cell r="L204">
            <v>40743</v>
          </cell>
        </row>
        <row r="205">
          <cell r="L205">
            <v>40745</v>
          </cell>
        </row>
        <row r="206">
          <cell r="L206">
            <v>40749</v>
          </cell>
        </row>
        <row r="207">
          <cell r="L207">
            <v>40749</v>
          </cell>
        </row>
        <row r="208">
          <cell r="L208">
            <v>40749</v>
          </cell>
        </row>
        <row r="209">
          <cell r="L209">
            <v>40749</v>
          </cell>
        </row>
        <row r="210">
          <cell r="L210">
            <v>40749</v>
          </cell>
        </row>
        <row r="211">
          <cell r="L211">
            <v>40749</v>
          </cell>
        </row>
        <row r="212">
          <cell r="L212">
            <v>40749</v>
          </cell>
        </row>
        <row r="213">
          <cell r="L213">
            <v>40749</v>
          </cell>
        </row>
        <row r="214">
          <cell r="L214">
            <v>40749</v>
          </cell>
        </row>
        <row r="215">
          <cell r="L215">
            <v>40750</v>
          </cell>
        </row>
        <row r="216">
          <cell r="L216">
            <v>40750</v>
          </cell>
        </row>
        <row r="217">
          <cell r="L217">
            <v>40750</v>
          </cell>
        </row>
        <row r="218">
          <cell r="L218">
            <v>40750</v>
          </cell>
        </row>
        <row r="219">
          <cell r="L219">
            <v>40732</v>
          </cell>
        </row>
        <row r="220">
          <cell r="L220">
            <v>40753</v>
          </cell>
        </row>
        <row r="221">
          <cell r="L221">
            <v>40753</v>
          </cell>
        </row>
        <row r="222">
          <cell r="L222">
            <v>40755</v>
          </cell>
        </row>
        <row r="223">
          <cell r="L223">
            <v>40743</v>
          </cell>
        </row>
        <row r="224">
          <cell r="L224">
            <v>40743</v>
          </cell>
        </row>
        <row r="225">
          <cell r="L225">
            <v>40743</v>
          </cell>
        </row>
        <row r="226">
          <cell r="L226">
            <v>40743</v>
          </cell>
        </row>
        <row r="227">
          <cell r="L227">
            <v>40729</v>
          </cell>
        </row>
        <row r="228">
          <cell r="L228">
            <v>40730</v>
          </cell>
        </row>
        <row r="229">
          <cell r="L229">
            <v>40730</v>
          </cell>
        </row>
        <row r="230">
          <cell r="L230">
            <v>40730</v>
          </cell>
        </row>
        <row r="231">
          <cell r="L231">
            <v>40730</v>
          </cell>
        </row>
        <row r="232">
          <cell r="L232">
            <v>40730</v>
          </cell>
        </row>
        <row r="233">
          <cell r="L233">
            <v>40730</v>
          </cell>
        </row>
        <row r="234">
          <cell r="L234">
            <v>40742</v>
          </cell>
        </row>
        <row r="235">
          <cell r="L235">
            <v>40742</v>
          </cell>
        </row>
        <row r="236">
          <cell r="L236">
            <v>40742</v>
          </cell>
        </row>
        <row r="237">
          <cell r="L237">
            <v>40742</v>
          </cell>
        </row>
        <row r="238">
          <cell r="L238">
            <v>40742</v>
          </cell>
        </row>
        <row r="239">
          <cell r="L239">
            <v>40742</v>
          </cell>
        </row>
        <row r="240">
          <cell r="L240">
            <v>40742</v>
          </cell>
        </row>
        <row r="241">
          <cell r="L241">
            <v>40742</v>
          </cell>
        </row>
        <row r="242">
          <cell r="L242">
            <v>40742</v>
          </cell>
        </row>
        <row r="243">
          <cell r="L243">
            <v>40742</v>
          </cell>
        </row>
        <row r="244">
          <cell r="L244">
            <v>40742</v>
          </cell>
        </row>
        <row r="245">
          <cell r="L245">
            <v>40742</v>
          </cell>
        </row>
        <row r="246">
          <cell r="L246">
            <v>40742</v>
          </cell>
        </row>
        <row r="247">
          <cell r="L247">
            <v>40742</v>
          </cell>
        </row>
        <row r="248">
          <cell r="L248">
            <v>40742</v>
          </cell>
        </row>
        <row r="249">
          <cell r="L249">
            <v>40742</v>
          </cell>
        </row>
        <row r="250">
          <cell r="L250">
            <v>40742</v>
          </cell>
        </row>
        <row r="251">
          <cell r="L251">
            <v>40742</v>
          </cell>
        </row>
        <row r="252">
          <cell r="L252">
            <v>40742</v>
          </cell>
        </row>
        <row r="253">
          <cell r="L253">
            <v>40742</v>
          </cell>
        </row>
        <row r="254">
          <cell r="L254">
            <v>40742</v>
          </cell>
        </row>
        <row r="255">
          <cell r="L255">
            <v>40742</v>
          </cell>
        </row>
        <row r="256">
          <cell r="L256">
            <v>40742</v>
          </cell>
        </row>
        <row r="257">
          <cell r="L257">
            <v>40742</v>
          </cell>
        </row>
        <row r="258">
          <cell r="L258">
            <v>40742</v>
          </cell>
        </row>
        <row r="259">
          <cell r="L259">
            <v>40746</v>
          </cell>
        </row>
        <row r="260">
          <cell r="L260">
            <v>40746</v>
          </cell>
        </row>
        <row r="261">
          <cell r="L261">
            <v>40746</v>
          </cell>
        </row>
        <row r="262">
          <cell r="L262">
            <v>40746</v>
          </cell>
        </row>
        <row r="263">
          <cell r="L263">
            <v>40746</v>
          </cell>
        </row>
        <row r="264">
          <cell r="L264">
            <v>40746</v>
          </cell>
        </row>
        <row r="265">
          <cell r="L265">
            <v>40746</v>
          </cell>
        </row>
        <row r="266">
          <cell r="L266">
            <v>40746</v>
          </cell>
        </row>
        <row r="267">
          <cell r="L267">
            <v>40746</v>
          </cell>
        </row>
        <row r="268">
          <cell r="L268">
            <v>40746</v>
          </cell>
        </row>
        <row r="269">
          <cell r="L269">
            <v>40746</v>
          </cell>
        </row>
        <row r="270">
          <cell r="L270">
            <v>40746</v>
          </cell>
        </row>
        <row r="271">
          <cell r="L271">
            <v>40746</v>
          </cell>
        </row>
        <row r="272">
          <cell r="L272">
            <v>40746</v>
          </cell>
        </row>
        <row r="273">
          <cell r="L273">
            <v>40746</v>
          </cell>
        </row>
        <row r="274">
          <cell r="L274">
            <v>40746</v>
          </cell>
        </row>
        <row r="275">
          <cell r="L275">
            <v>40746</v>
          </cell>
        </row>
        <row r="276">
          <cell r="L276">
            <v>40746</v>
          </cell>
        </row>
        <row r="277">
          <cell r="L277">
            <v>40755</v>
          </cell>
        </row>
        <row r="278">
          <cell r="L278">
            <v>40755</v>
          </cell>
        </row>
        <row r="279">
          <cell r="L279">
            <v>40755</v>
          </cell>
        </row>
        <row r="280">
          <cell r="L280">
            <v>40755</v>
          </cell>
        </row>
        <row r="281">
          <cell r="L281">
            <v>40755</v>
          </cell>
        </row>
        <row r="282">
          <cell r="L282">
            <v>40755</v>
          </cell>
        </row>
        <row r="283">
          <cell r="L283">
            <v>40755</v>
          </cell>
        </row>
        <row r="284">
          <cell r="L284">
            <v>40755</v>
          </cell>
        </row>
        <row r="285">
          <cell r="L285">
            <v>40755</v>
          </cell>
        </row>
        <row r="286">
          <cell r="L286">
            <v>40755</v>
          </cell>
        </row>
        <row r="287">
          <cell r="L287">
            <v>40755</v>
          </cell>
        </row>
        <row r="288">
          <cell r="L288">
            <v>40755</v>
          </cell>
        </row>
        <row r="289">
          <cell r="L289">
            <v>40729</v>
          </cell>
        </row>
        <row r="290">
          <cell r="L290">
            <v>40729</v>
          </cell>
        </row>
        <row r="291">
          <cell r="L291">
            <v>40729</v>
          </cell>
        </row>
        <row r="292">
          <cell r="L292">
            <v>40753</v>
          </cell>
        </row>
        <row r="293">
          <cell r="L293">
            <v>40753</v>
          </cell>
        </row>
        <row r="294">
          <cell r="L294">
            <v>40753</v>
          </cell>
        </row>
        <row r="295">
          <cell r="L295">
            <v>40728</v>
          </cell>
        </row>
        <row r="296">
          <cell r="L296">
            <v>40729</v>
          </cell>
        </row>
        <row r="297">
          <cell r="L297">
            <v>40729</v>
          </cell>
        </row>
        <row r="298">
          <cell r="L298">
            <v>40735</v>
          </cell>
        </row>
        <row r="299">
          <cell r="L299">
            <v>40737</v>
          </cell>
        </row>
        <row r="300">
          <cell r="L300">
            <v>40742</v>
          </cell>
        </row>
        <row r="301">
          <cell r="L301">
            <v>40742</v>
          </cell>
        </row>
        <row r="302">
          <cell r="L302">
            <v>40742</v>
          </cell>
        </row>
        <row r="303">
          <cell r="L303">
            <v>40742</v>
          </cell>
        </row>
        <row r="304">
          <cell r="L304">
            <v>40742</v>
          </cell>
        </row>
        <row r="305">
          <cell r="L305">
            <v>40742</v>
          </cell>
        </row>
        <row r="306">
          <cell r="L306">
            <v>40742</v>
          </cell>
        </row>
        <row r="307">
          <cell r="L307">
            <v>40742</v>
          </cell>
        </row>
        <row r="308">
          <cell r="L308">
            <v>40742</v>
          </cell>
        </row>
        <row r="309">
          <cell r="L309">
            <v>40742</v>
          </cell>
        </row>
        <row r="310">
          <cell r="L310">
            <v>40742</v>
          </cell>
        </row>
        <row r="311">
          <cell r="L311">
            <v>40742</v>
          </cell>
        </row>
        <row r="312">
          <cell r="L312">
            <v>40742</v>
          </cell>
        </row>
        <row r="313">
          <cell r="L313">
            <v>40742</v>
          </cell>
        </row>
        <row r="314">
          <cell r="L314">
            <v>40742</v>
          </cell>
        </row>
        <row r="315">
          <cell r="L315">
            <v>40743</v>
          </cell>
        </row>
        <row r="316">
          <cell r="L316">
            <v>40743</v>
          </cell>
        </row>
        <row r="317">
          <cell r="L317">
            <v>40743</v>
          </cell>
        </row>
        <row r="318">
          <cell r="L318">
            <v>40743</v>
          </cell>
        </row>
        <row r="319">
          <cell r="L319">
            <v>40744</v>
          </cell>
        </row>
        <row r="320">
          <cell r="L320">
            <v>40744</v>
          </cell>
        </row>
        <row r="321">
          <cell r="L321">
            <v>40744</v>
          </cell>
        </row>
        <row r="322">
          <cell r="L322">
            <v>40744</v>
          </cell>
        </row>
        <row r="323">
          <cell r="L323">
            <v>40744</v>
          </cell>
        </row>
        <row r="324">
          <cell r="L324">
            <v>40744</v>
          </cell>
        </row>
        <row r="325">
          <cell r="L325">
            <v>40744</v>
          </cell>
        </row>
        <row r="326">
          <cell r="L326">
            <v>40744</v>
          </cell>
        </row>
        <row r="327">
          <cell r="L327">
            <v>40744</v>
          </cell>
        </row>
        <row r="328">
          <cell r="L328">
            <v>40744</v>
          </cell>
        </row>
        <row r="329">
          <cell r="L329">
            <v>40744</v>
          </cell>
        </row>
        <row r="330">
          <cell r="L330">
            <v>40744</v>
          </cell>
        </row>
        <row r="331">
          <cell r="L331">
            <v>40744</v>
          </cell>
        </row>
        <row r="332">
          <cell r="L332">
            <v>40744</v>
          </cell>
        </row>
        <row r="333">
          <cell r="L333">
            <v>40745</v>
          </cell>
        </row>
        <row r="334">
          <cell r="L334">
            <v>40745</v>
          </cell>
        </row>
        <row r="335">
          <cell r="L335">
            <v>40745</v>
          </cell>
        </row>
        <row r="336">
          <cell r="L336">
            <v>40745</v>
          </cell>
        </row>
        <row r="337">
          <cell r="L337">
            <v>40745</v>
          </cell>
        </row>
        <row r="338">
          <cell r="L338">
            <v>40750</v>
          </cell>
        </row>
        <row r="339">
          <cell r="L339">
            <v>40755</v>
          </cell>
        </row>
        <row r="340">
          <cell r="L340">
            <v>40755</v>
          </cell>
        </row>
        <row r="341">
          <cell r="L341">
            <v>40755</v>
          </cell>
        </row>
        <row r="342">
          <cell r="L342">
            <v>40755</v>
          </cell>
        </row>
        <row r="343">
          <cell r="L343">
            <v>40755</v>
          </cell>
        </row>
        <row r="344">
          <cell r="L344">
            <v>40755</v>
          </cell>
        </row>
        <row r="345">
          <cell r="L345">
            <v>40755</v>
          </cell>
        </row>
        <row r="346">
          <cell r="L346">
            <v>40755</v>
          </cell>
        </row>
        <row r="347">
          <cell r="L347">
            <v>40755</v>
          </cell>
        </row>
        <row r="348">
          <cell r="L348">
            <v>40755</v>
          </cell>
        </row>
        <row r="349">
          <cell r="L349">
            <v>40755</v>
          </cell>
        </row>
        <row r="350">
          <cell r="L350">
            <v>40755</v>
          </cell>
        </row>
        <row r="351">
          <cell r="L351">
            <v>40755</v>
          </cell>
        </row>
        <row r="352">
          <cell r="L352">
            <v>40755</v>
          </cell>
        </row>
        <row r="353">
          <cell r="L353">
            <v>40732</v>
          </cell>
        </row>
        <row r="354">
          <cell r="L354">
            <v>40751</v>
          </cell>
        </row>
        <row r="355">
          <cell r="L355">
            <v>40752</v>
          </cell>
        </row>
        <row r="356">
          <cell r="L356">
            <v>40752</v>
          </cell>
        </row>
        <row r="357">
          <cell r="L357">
            <v>40752</v>
          </cell>
        </row>
        <row r="358">
          <cell r="L358">
            <v>40729</v>
          </cell>
        </row>
        <row r="359">
          <cell r="L359">
            <v>40743</v>
          </cell>
        </row>
        <row r="360">
          <cell r="L360">
            <v>40725</v>
          </cell>
        </row>
        <row r="361">
          <cell r="L361">
            <v>40725</v>
          </cell>
        </row>
        <row r="362">
          <cell r="L362">
            <v>40725</v>
          </cell>
        </row>
        <row r="363">
          <cell r="L363">
            <v>40725</v>
          </cell>
        </row>
        <row r="364">
          <cell r="L364">
            <v>40725</v>
          </cell>
        </row>
        <row r="365">
          <cell r="L365">
            <v>40725</v>
          </cell>
        </row>
        <row r="366">
          <cell r="L366">
            <v>40725</v>
          </cell>
        </row>
        <row r="367">
          <cell r="L367">
            <v>40725</v>
          </cell>
        </row>
        <row r="368">
          <cell r="L368">
            <v>40725</v>
          </cell>
        </row>
        <row r="369">
          <cell r="L369">
            <v>40725</v>
          </cell>
        </row>
        <row r="370">
          <cell r="L370">
            <v>40725</v>
          </cell>
        </row>
        <row r="371">
          <cell r="L371">
            <v>40725</v>
          </cell>
        </row>
        <row r="372">
          <cell r="L372">
            <v>40725</v>
          </cell>
        </row>
        <row r="373">
          <cell r="L373">
            <v>40725</v>
          </cell>
        </row>
        <row r="374">
          <cell r="L374">
            <v>40725</v>
          </cell>
        </row>
        <row r="375">
          <cell r="L375">
            <v>40725</v>
          </cell>
        </row>
        <row r="376">
          <cell r="L376">
            <v>40725</v>
          </cell>
        </row>
        <row r="377">
          <cell r="L377">
            <v>40725</v>
          </cell>
        </row>
        <row r="378">
          <cell r="L378">
            <v>40725</v>
          </cell>
        </row>
        <row r="379">
          <cell r="L379">
            <v>40725</v>
          </cell>
        </row>
        <row r="380">
          <cell r="L380">
            <v>40725</v>
          </cell>
        </row>
        <row r="381">
          <cell r="L381">
            <v>40725</v>
          </cell>
        </row>
        <row r="382">
          <cell r="L382">
            <v>40725</v>
          </cell>
        </row>
        <row r="383">
          <cell r="L383">
            <v>40725</v>
          </cell>
        </row>
        <row r="384">
          <cell r="L384">
            <v>40725</v>
          </cell>
        </row>
        <row r="385">
          <cell r="L385">
            <v>40725</v>
          </cell>
        </row>
        <row r="386">
          <cell r="L386">
            <v>40725</v>
          </cell>
        </row>
        <row r="387">
          <cell r="L387">
            <v>40725</v>
          </cell>
        </row>
        <row r="388">
          <cell r="L388">
            <v>40725</v>
          </cell>
        </row>
        <row r="389">
          <cell r="L389">
            <v>40725</v>
          </cell>
        </row>
        <row r="390">
          <cell r="L390">
            <v>40725</v>
          </cell>
        </row>
        <row r="391">
          <cell r="L391">
            <v>40725</v>
          </cell>
        </row>
        <row r="392">
          <cell r="L392">
            <v>40725</v>
          </cell>
        </row>
        <row r="393">
          <cell r="L393">
            <v>40725</v>
          </cell>
        </row>
        <row r="394">
          <cell r="L394">
            <v>40725</v>
          </cell>
        </row>
        <row r="395">
          <cell r="L395">
            <v>40728</v>
          </cell>
        </row>
        <row r="396">
          <cell r="L396">
            <v>40728</v>
          </cell>
        </row>
        <row r="397">
          <cell r="L397">
            <v>40728</v>
          </cell>
        </row>
        <row r="398">
          <cell r="L398">
            <v>40728</v>
          </cell>
        </row>
        <row r="399">
          <cell r="L399">
            <v>40728</v>
          </cell>
        </row>
        <row r="400">
          <cell r="L400">
            <v>40728</v>
          </cell>
        </row>
        <row r="401">
          <cell r="L401">
            <v>40728</v>
          </cell>
        </row>
        <row r="402">
          <cell r="L402">
            <v>40728</v>
          </cell>
        </row>
        <row r="403">
          <cell r="L403">
            <v>40728</v>
          </cell>
        </row>
        <row r="404">
          <cell r="L404">
            <v>40728</v>
          </cell>
        </row>
        <row r="405">
          <cell r="L405">
            <v>40728</v>
          </cell>
        </row>
        <row r="406">
          <cell r="L406">
            <v>40728</v>
          </cell>
        </row>
        <row r="407">
          <cell r="L407">
            <v>40728</v>
          </cell>
        </row>
        <row r="408">
          <cell r="L408">
            <v>40728</v>
          </cell>
        </row>
        <row r="409">
          <cell r="L409">
            <v>40728</v>
          </cell>
        </row>
        <row r="410">
          <cell r="L410">
            <v>40728</v>
          </cell>
        </row>
        <row r="411">
          <cell r="L411">
            <v>40728</v>
          </cell>
        </row>
        <row r="412">
          <cell r="L412">
            <v>40728</v>
          </cell>
        </row>
        <row r="413">
          <cell r="L413">
            <v>40728</v>
          </cell>
        </row>
        <row r="414">
          <cell r="L414">
            <v>40728</v>
          </cell>
        </row>
        <row r="415">
          <cell r="L415">
            <v>40728</v>
          </cell>
        </row>
        <row r="416">
          <cell r="L416">
            <v>40729</v>
          </cell>
        </row>
        <row r="417">
          <cell r="L417">
            <v>40729</v>
          </cell>
        </row>
        <row r="418">
          <cell r="L418">
            <v>40729</v>
          </cell>
        </row>
        <row r="419">
          <cell r="L419">
            <v>40729</v>
          </cell>
        </row>
        <row r="420">
          <cell r="L420">
            <v>40729</v>
          </cell>
        </row>
        <row r="421">
          <cell r="L421">
            <v>40729</v>
          </cell>
        </row>
        <row r="422">
          <cell r="L422">
            <v>40729</v>
          </cell>
        </row>
        <row r="423">
          <cell r="L423">
            <v>40729</v>
          </cell>
        </row>
        <row r="424">
          <cell r="L424">
            <v>40729</v>
          </cell>
        </row>
        <row r="425">
          <cell r="L425">
            <v>40729</v>
          </cell>
        </row>
        <row r="426">
          <cell r="L426">
            <v>40729</v>
          </cell>
        </row>
        <row r="427">
          <cell r="L427">
            <v>40729</v>
          </cell>
        </row>
        <row r="428">
          <cell r="L428">
            <v>40729</v>
          </cell>
        </row>
        <row r="429">
          <cell r="L429">
            <v>40729</v>
          </cell>
        </row>
        <row r="430">
          <cell r="L430">
            <v>40729</v>
          </cell>
        </row>
        <row r="431">
          <cell r="L431">
            <v>40729</v>
          </cell>
        </row>
        <row r="432">
          <cell r="L432">
            <v>40730</v>
          </cell>
        </row>
        <row r="433">
          <cell r="L433">
            <v>40730</v>
          </cell>
        </row>
        <row r="434">
          <cell r="L434">
            <v>40730</v>
          </cell>
        </row>
        <row r="435">
          <cell r="L435">
            <v>40730</v>
          </cell>
        </row>
        <row r="436">
          <cell r="L436">
            <v>40730</v>
          </cell>
        </row>
        <row r="437">
          <cell r="L437">
            <v>40730</v>
          </cell>
        </row>
        <row r="438">
          <cell r="L438">
            <v>40730</v>
          </cell>
        </row>
        <row r="439">
          <cell r="L439">
            <v>40730</v>
          </cell>
        </row>
        <row r="440">
          <cell r="L440">
            <v>40730</v>
          </cell>
        </row>
        <row r="441">
          <cell r="L441">
            <v>40730</v>
          </cell>
        </row>
        <row r="442">
          <cell r="L442">
            <v>40730</v>
          </cell>
        </row>
        <row r="443">
          <cell r="L443">
            <v>40731</v>
          </cell>
        </row>
        <row r="444">
          <cell r="L444">
            <v>40731</v>
          </cell>
        </row>
        <row r="445">
          <cell r="L445">
            <v>40731</v>
          </cell>
        </row>
        <row r="446">
          <cell r="L446">
            <v>40731</v>
          </cell>
        </row>
        <row r="447">
          <cell r="L447">
            <v>40731</v>
          </cell>
        </row>
        <row r="448">
          <cell r="L448">
            <v>40731</v>
          </cell>
        </row>
        <row r="449">
          <cell r="L449">
            <v>40731</v>
          </cell>
        </row>
        <row r="450">
          <cell r="L450">
            <v>40731</v>
          </cell>
        </row>
        <row r="451">
          <cell r="L451">
            <v>40731</v>
          </cell>
        </row>
        <row r="452">
          <cell r="L452">
            <v>40731</v>
          </cell>
        </row>
        <row r="453">
          <cell r="L453">
            <v>40731</v>
          </cell>
        </row>
        <row r="454">
          <cell r="L454">
            <v>40731</v>
          </cell>
        </row>
        <row r="455">
          <cell r="L455">
            <v>40731</v>
          </cell>
        </row>
        <row r="456">
          <cell r="L456">
            <v>40731</v>
          </cell>
        </row>
        <row r="457">
          <cell r="L457">
            <v>40731</v>
          </cell>
        </row>
        <row r="458">
          <cell r="L458">
            <v>40731</v>
          </cell>
        </row>
        <row r="459">
          <cell r="L459">
            <v>40731</v>
          </cell>
        </row>
        <row r="460">
          <cell r="L460">
            <v>40731</v>
          </cell>
        </row>
        <row r="461">
          <cell r="L461">
            <v>40731</v>
          </cell>
        </row>
        <row r="462">
          <cell r="L462">
            <v>40731</v>
          </cell>
        </row>
        <row r="463">
          <cell r="L463">
            <v>40731</v>
          </cell>
        </row>
        <row r="464">
          <cell r="L464">
            <v>40731</v>
          </cell>
        </row>
        <row r="465">
          <cell r="L465">
            <v>40731</v>
          </cell>
        </row>
        <row r="466">
          <cell r="L466">
            <v>40731</v>
          </cell>
        </row>
        <row r="467">
          <cell r="L467">
            <v>40731</v>
          </cell>
        </row>
        <row r="468">
          <cell r="L468">
            <v>40731</v>
          </cell>
        </row>
        <row r="469">
          <cell r="L469">
            <v>40731</v>
          </cell>
        </row>
        <row r="470">
          <cell r="L470">
            <v>40731</v>
          </cell>
        </row>
        <row r="471">
          <cell r="L471">
            <v>40731</v>
          </cell>
        </row>
        <row r="472">
          <cell r="L472">
            <v>40731</v>
          </cell>
        </row>
        <row r="473">
          <cell r="L473">
            <v>40731</v>
          </cell>
        </row>
        <row r="474">
          <cell r="L474">
            <v>40731</v>
          </cell>
        </row>
        <row r="475">
          <cell r="L475">
            <v>40731</v>
          </cell>
        </row>
        <row r="476">
          <cell r="L476">
            <v>40731</v>
          </cell>
        </row>
        <row r="477">
          <cell r="L477">
            <v>40731</v>
          </cell>
        </row>
        <row r="478">
          <cell r="L478">
            <v>40731</v>
          </cell>
        </row>
        <row r="479">
          <cell r="L479">
            <v>40732</v>
          </cell>
        </row>
        <row r="480">
          <cell r="L480">
            <v>40732</v>
          </cell>
        </row>
        <row r="481">
          <cell r="L481">
            <v>40732</v>
          </cell>
        </row>
        <row r="482">
          <cell r="L482">
            <v>40732</v>
          </cell>
        </row>
        <row r="483">
          <cell r="L483">
            <v>40732</v>
          </cell>
        </row>
        <row r="484">
          <cell r="L484">
            <v>40732</v>
          </cell>
        </row>
        <row r="485">
          <cell r="L485">
            <v>40732</v>
          </cell>
        </row>
        <row r="486">
          <cell r="L486">
            <v>40732</v>
          </cell>
        </row>
        <row r="487">
          <cell r="L487">
            <v>40732</v>
          </cell>
        </row>
        <row r="488">
          <cell r="L488">
            <v>40732</v>
          </cell>
        </row>
        <row r="489">
          <cell r="L489">
            <v>40732</v>
          </cell>
        </row>
        <row r="490">
          <cell r="L490">
            <v>40732</v>
          </cell>
        </row>
        <row r="491">
          <cell r="L491">
            <v>40732</v>
          </cell>
        </row>
        <row r="492">
          <cell r="L492">
            <v>40732</v>
          </cell>
        </row>
        <row r="493">
          <cell r="L493">
            <v>40732</v>
          </cell>
        </row>
        <row r="494">
          <cell r="L494">
            <v>40732</v>
          </cell>
        </row>
        <row r="495">
          <cell r="L495">
            <v>40732</v>
          </cell>
        </row>
        <row r="496">
          <cell r="L496">
            <v>40732</v>
          </cell>
        </row>
        <row r="497">
          <cell r="L497">
            <v>40732</v>
          </cell>
        </row>
        <row r="498">
          <cell r="L498">
            <v>40732</v>
          </cell>
        </row>
        <row r="499">
          <cell r="L499">
            <v>40732</v>
          </cell>
        </row>
        <row r="500">
          <cell r="L500">
            <v>40732</v>
          </cell>
        </row>
        <row r="501">
          <cell r="L501">
            <v>40732</v>
          </cell>
        </row>
        <row r="502">
          <cell r="L502">
            <v>40732</v>
          </cell>
        </row>
        <row r="503">
          <cell r="L503">
            <v>40732</v>
          </cell>
        </row>
        <row r="504">
          <cell r="L504">
            <v>40732</v>
          </cell>
        </row>
        <row r="505">
          <cell r="L505">
            <v>40732</v>
          </cell>
        </row>
        <row r="506">
          <cell r="L506">
            <v>40732</v>
          </cell>
        </row>
        <row r="507">
          <cell r="L507">
            <v>40732</v>
          </cell>
        </row>
        <row r="508">
          <cell r="L508">
            <v>40732</v>
          </cell>
        </row>
        <row r="509">
          <cell r="L509">
            <v>40732</v>
          </cell>
        </row>
        <row r="510">
          <cell r="L510">
            <v>40732</v>
          </cell>
        </row>
        <row r="511">
          <cell r="L511">
            <v>40732</v>
          </cell>
        </row>
        <row r="512">
          <cell r="L512">
            <v>40732</v>
          </cell>
        </row>
        <row r="513">
          <cell r="L513">
            <v>40732</v>
          </cell>
        </row>
        <row r="514">
          <cell r="L514">
            <v>40732</v>
          </cell>
        </row>
        <row r="515">
          <cell r="L515">
            <v>40732</v>
          </cell>
        </row>
        <row r="516">
          <cell r="L516">
            <v>40732</v>
          </cell>
        </row>
        <row r="517">
          <cell r="L517">
            <v>40735</v>
          </cell>
        </row>
        <row r="518">
          <cell r="L518">
            <v>40735</v>
          </cell>
        </row>
        <row r="519">
          <cell r="L519">
            <v>40735</v>
          </cell>
        </row>
        <row r="520">
          <cell r="L520">
            <v>40736</v>
          </cell>
        </row>
        <row r="521">
          <cell r="L521">
            <v>40736</v>
          </cell>
        </row>
        <row r="522">
          <cell r="L522">
            <v>40736</v>
          </cell>
        </row>
        <row r="523">
          <cell r="L523">
            <v>40736</v>
          </cell>
        </row>
        <row r="524">
          <cell r="L524">
            <v>40736</v>
          </cell>
        </row>
        <row r="525">
          <cell r="L525">
            <v>40736</v>
          </cell>
        </row>
        <row r="526">
          <cell r="L526">
            <v>40736</v>
          </cell>
        </row>
        <row r="527">
          <cell r="L527">
            <v>40736</v>
          </cell>
        </row>
        <row r="528">
          <cell r="L528">
            <v>40736</v>
          </cell>
        </row>
        <row r="529">
          <cell r="L529">
            <v>40736</v>
          </cell>
        </row>
        <row r="530">
          <cell r="L530">
            <v>40736</v>
          </cell>
        </row>
        <row r="531">
          <cell r="L531">
            <v>40736</v>
          </cell>
        </row>
        <row r="532">
          <cell r="L532">
            <v>40736</v>
          </cell>
        </row>
        <row r="533">
          <cell r="L533">
            <v>40736</v>
          </cell>
        </row>
        <row r="534">
          <cell r="L534">
            <v>40736</v>
          </cell>
        </row>
        <row r="535">
          <cell r="L535">
            <v>40736</v>
          </cell>
        </row>
        <row r="536">
          <cell r="L536">
            <v>40736</v>
          </cell>
        </row>
        <row r="537">
          <cell r="L537">
            <v>40736</v>
          </cell>
        </row>
        <row r="538">
          <cell r="L538">
            <v>40736</v>
          </cell>
        </row>
        <row r="539">
          <cell r="L539">
            <v>40736</v>
          </cell>
        </row>
        <row r="540">
          <cell r="L540">
            <v>40736</v>
          </cell>
        </row>
        <row r="541">
          <cell r="L541">
            <v>40736</v>
          </cell>
        </row>
        <row r="542">
          <cell r="L542">
            <v>40736</v>
          </cell>
        </row>
        <row r="543">
          <cell r="L543">
            <v>40736</v>
          </cell>
        </row>
        <row r="544">
          <cell r="L544">
            <v>40736</v>
          </cell>
        </row>
        <row r="545">
          <cell r="L545">
            <v>40736</v>
          </cell>
        </row>
        <row r="546">
          <cell r="L546">
            <v>40736</v>
          </cell>
        </row>
        <row r="547">
          <cell r="L547">
            <v>40736</v>
          </cell>
        </row>
        <row r="548">
          <cell r="L548">
            <v>40736</v>
          </cell>
        </row>
        <row r="549">
          <cell r="L549">
            <v>40736</v>
          </cell>
        </row>
        <row r="550">
          <cell r="L550">
            <v>40736</v>
          </cell>
        </row>
        <row r="551">
          <cell r="L551">
            <v>40736</v>
          </cell>
        </row>
        <row r="552">
          <cell r="L552">
            <v>40736</v>
          </cell>
        </row>
        <row r="553">
          <cell r="L553">
            <v>40736</v>
          </cell>
        </row>
        <row r="554">
          <cell r="L554">
            <v>40736</v>
          </cell>
        </row>
        <row r="555">
          <cell r="L555">
            <v>40736</v>
          </cell>
        </row>
        <row r="556">
          <cell r="L556">
            <v>40737</v>
          </cell>
        </row>
        <row r="557">
          <cell r="L557">
            <v>40737</v>
          </cell>
        </row>
        <row r="558">
          <cell r="L558">
            <v>40737</v>
          </cell>
        </row>
        <row r="559">
          <cell r="L559">
            <v>40737</v>
          </cell>
        </row>
        <row r="560">
          <cell r="L560">
            <v>40737</v>
          </cell>
        </row>
        <row r="561">
          <cell r="L561">
            <v>40737</v>
          </cell>
        </row>
        <row r="562">
          <cell r="L562">
            <v>40737</v>
          </cell>
        </row>
        <row r="563">
          <cell r="L563">
            <v>40737</v>
          </cell>
        </row>
        <row r="564">
          <cell r="L564">
            <v>40737</v>
          </cell>
        </row>
        <row r="565">
          <cell r="L565">
            <v>40737</v>
          </cell>
        </row>
        <row r="566">
          <cell r="L566">
            <v>40737</v>
          </cell>
        </row>
        <row r="567">
          <cell r="L567">
            <v>40737</v>
          </cell>
        </row>
        <row r="568">
          <cell r="L568">
            <v>40737</v>
          </cell>
        </row>
        <row r="569">
          <cell r="L569">
            <v>40737</v>
          </cell>
        </row>
        <row r="570">
          <cell r="L570">
            <v>40737</v>
          </cell>
        </row>
        <row r="571">
          <cell r="L571">
            <v>40737</v>
          </cell>
        </row>
        <row r="572">
          <cell r="L572">
            <v>40737</v>
          </cell>
        </row>
        <row r="573">
          <cell r="L573">
            <v>40737</v>
          </cell>
        </row>
        <row r="574">
          <cell r="L574">
            <v>40737</v>
          </cell>
        </row>
        <row r="575">
          <cell r="L575">
            <v>40737</v>
          </cell>
        </row>
        <row r="576">
          <cell r="L576">
            <v>40737</v>
          </cell>
        </row>
        <row r="577">
          <cell r="L577">
            <v>40737</v>
          </cell>
        </row>
        <row r="578">
          <cell r="L578">
            <v>40737</v>
          </cell>
        </row>
        <row r="579">
          <cell r="L579">
            <v>40737</v>
          </cell>
        </row>
        <row r="580">
          <cell r="L580">
            <v>40737</v>
          </cell>
        </row>
        <row r="581">
          <cell r="L581">
            <v>40737</v>
          </cell>
        </row>
        <row r="582">
          <cell r="L582">
            <v>40737</v>
          </cell>
        </row>
        <row r="583">
          <cell r="L583">
            <v>40737</v>
          </cell>
        </row>
        <row r="584">
          <cell r="L584">
            <v>40737</v>
          </cell>
        </row>
        <row r="585">
          <cell r="L585">
            <v>40737</v>
          </cell>
        </row>
        <row r="586">
          <cell r="L586">
            <v>40737</v>
          </cell>
        </row>
        <row r="587">
          <cell r="L587">
            <v>40737</v>
          </cell>
        </row>
        <row r="588">
          <cell r="L588">
            <v>40737</v>
          </cell>
        </row>
        <row r="589">
          <cell r="L589">
            <v>40737</v>
          </cell>
        </row>
        <row r="590">
          <cell r="L590">
            <v>40737</v>
          </cell>
        </row>
        <row r="591">
          <cell r="L591">
            <v>40738</v>
          </cell>
        </row>
        <row r="592">
          <cell r="L592">
            <v>40738</v>
          </cell>
        </row>
        <row r="593">
          <cell r="L593">
            <v>40738</v>
          </cell>
        </row>
        <row r="594">
          <cell r="L594">
            <v>40738</v>
          </cell>
        </row>
        <row r="595">
          <cell r="L595">
            <v>40738</v>
          </cell>
        </row>
        <row r="596">
          <cell r="L596">
            <v>40738</v>
          </cell>
        </row>
        <row r="597">
          <cell r="L597">
            <v>40738</v>
          </cell>
        </row>
        <row r="598">
          <cell r="L598">
            <v>40738</v>
          </cell>
        </row>
        <row r="599">
          <cell r="L599">
            <v>40738</v>
          </cell>
        </row>
        <row r="600">
          <cell r="L600">
            <v>40738</v>
          </cell>
        </row>
        <row r="601">
          <cell r="L601">
            <v>40738</v>
          </cell>
        </row>
        <row r="602">
          <cell r="L602">
            <v>40738</v>
          </cell>
        </row>
        <row r="603">
          <cell r="L603">
            <v>40738</v>
          </cell>
        </row>
        <row r="604">
          <cell r="L604">
            <v>40738</v>
          </cell>
        </row>
        <row r="605">
          <cell r="L605">
            <v>40738</v>
          </cell>
        </row>
        <row r="606">
          <cell r="L606">
            <v>40738</v>
          </cell>
        </row>
        <row r="607">
          <cell r="L607">
            <v>40738</v>
          </cell>
        </row>
        <row r="608">
          <cell r="L608">
            <v>40738</v>
          </cell>
        </row>
        <row r="609">
          <cell r="L609">
            <v>40738</v>
          </cell>
        </row>
        <row r="610">
          <cell r="L610">
            <v>40739</v>
          </cell>
        </row>
        <row r="611">
          <cell r="L611">
            <v>40739</v>
          </cell>
        </row>
        <row r="612">
          <cell r="L612">
            <v>40739</v>
          </cell>
        </row>
        <row r="613">
          <cell r="L613">
            <v>40739</v>
          </cell>
        </row>
        <row r="614">
          <cell r="L614">
            <v>40739</v>
          </cell>
        </row>
        <row r="615">
          <cell r="L615">
            <v>40739</v>
          </cell>
        </row>
        <row r="616">
          <cell r="L616">
            <v>40739</v>
          </cell>
        </row>
        <row r="617">
          <cell r="L617">
            <v>40739</v>
          </cell>
        </row>
        <row r="618">
          <cell r="L618">
            <v>40739</v>
          </cell>
        </row>
        <row r="619">
          <cell r="L619">
            <v>40739</v>
          </cell>
        </row>
        <row r="620">
          <cell r="L620">
            <v>40739</v>
          </cell>
        </row>
        <row r="621">
          <cell r="L621">
            <v>40739</v>
          </cell>
        </row>
        <row r="622">
          <cell r="L622">
            <v>40739</v>
          </cell>
        </row>
        <row r="623">
          <cell r="L623">
            <v>40739</v>
          </cell>
        </row>
        <row r="624">
          <cell r="L624">
            <v>40739</v>
          </cell>
        </row>
        <row r="625">
          <cell r="L625">
            <v>40739</v>
          </cell>
        </row>
        <row r="626">
          <cell r="L626">
            <v>40739</v>
          </cell>
        </row>
        <row r="627">
          <cell r="L627">
            <v>40739</v>
          </cell>
        </row>
        <row r="628">
          <cell r="L628">
            <v>40739</v>
          </cell>
        </row>
        <row r="629">
          <cell r="L629">
            <v>40739</v>
          </cell>
        </row>
        <row r="630">
          <cell r="L630">
            <v>40739</v>
          </cell>
        </row>
        <row r="631">
          <cell r="L631">
            <v>40739</v>
          </cell>
        </row>
        <row r="632">
          <cell r="L632">
            <v>40739</v>
          </cell>
        </row>
        <row r="633">
          <cell r="L633">
            <v>40739</v>
          </cell>
        </row>
        <row r="634">
          <cell r="L634">
            <v>40739</v>
          </cell>
        </row>
        <row r="635">
          <cell r="L635">
            <v>40739</v>
          </cell>
        </row>
        <row r="636">
          <cell r="L636">
            <v>40739</v>
          </cell>
        </row>
        <row r="637">
          <cell r="L637">
            <v>40739</v>
          </cell>
        </row>
        <row r="638">
          <cell r="L638">
            <v>40739</v>
          </cell>
        </row>
        <row r="639">
          <cell r="L639">
            <v>40739</v>
          </cell>
        </row>
        <row r="640">
          <cell r="L640">
            <v>40739</v>
          </cell>
        </row>
        <row r="641">
          <cell r="L641">
            <v>40742</v>
          </cell>
        </row>
        <row r="642">
          <cell r="L642">
            <v>40742</v>
          </cell>
        </row>
        <row r="643">
          <cell r="L643">
            <v>40742</v>
          </cell>
        </row>
        <row r="644">
          <cell r="L644">
            <v>40742</v>
          </cell>
        </row>
        <row r="645">
          <cell r="L645">
            <v>40742</v>
          </cell>
        </row>
        <row r="646">
          <cell r="L646">
            <v>40742</v>
          </cell>
        </row>
        <row r="647">
          <cell r="L647">
            <v>40742</v>
          </cell>
        </row>
        <row r="648">
          <cell r="L648">
            <v>40742</v>
          </cell>
        </row>
        <row r="649">
          <cell r="L649">
            <v>40742</v>
          </cell>
        </row>
        <row r="650">
          <cell r="L650">
            <v>40742</v>
          </cell>
        </row>
        <row r="651">
          <cell r="L651">
            <v>40742</v>
          </cell>
        </row>
        <row r="652">
          <cell r="L652">
            <v>40742</v>
          </cell>
        </row>
        <row r="653">
          <cell r="L653">
            <v>40742</v>
          </cell>
        </row>
        <row r="654">
          <cell r="L654">
            <v>40743</v>
          </cell>
        </row>
        <row r="655">
          <cell r="L655">
            <v>40743</v>
          </cell>
        </row>
        <row r="656">
          <cell r="L656">
            <v>40743</v>
          </cell>
        </row>
        <row r="657">
          <cell r="L657">
            <v>40743</v>
          </cell>
        </row>
        <row r="658">
          <cell r="L658">
            <v>40743</v>
          </cell>
        </row>
        <row r="659">
          <cell r="L659">
            <v>40743</v>
          </cell>
        </row>
        <row r="660">
          <cell r="L660">
            <v>40743</v>
          </cell>
        </row>
        <row r="661">
          <cell r="L661">
            <v>40743</v>
          </cell>
        </row>
        <row r="662">
          <cell r="L662">
            <v>40743</v>
          </cell>
        </row>
        <row r="663">
          <cell r="L663">
            <v>40743</v>
          </cell>
        </row>
        <row r="664">
          <cell r="L664">
            <v>40743</v>
          </cell>
        </row>
        <row r="665">
          <cell r="L665">
            <v>40743</v>
          </cell>
        </row>
        <row r="666">
          <cell r="L666">
            <v>40743</v>
          </cell>
        </row>
        <row r="667">
          <cell r="L667">
            <v>40743</v>
          </cell>
        </row>
        <row r="668">
          <cell r="L668">
            <v>40743</v>
          </cell>
        </row>
        <row r="669">
          <cell r="L669">
            <v>40743</v>
          </cell>
        </row>
        <row r="670">
          <cell r="L670">
            <v>40743</v>
          </cell>
        </row>
        <row r="671">
          <cell r="L671">
            <v>40743</v>
          </cell>
        </row>
        <row r="672">
          <cell r="L672">
            <v>40743</v>
          </cell>
        </row>
        <row r="673">
          <cell r="L673">
            <v>40743</v>
          </cell>
        </row>
        <row r="674">
          <cell r="L674">
            <v>40743</v>
          </cell>
        </row>
        <row r="675">
          <cell r="L675">
            <v>40743</v>
          </cell>
        </row>
        <row r="676">
          <cell r="L676">
            <v>40743</v>
          </cell>
        </row>
        <row r="677">
          <cell r="L677">
            <v>40743</v>
          </cell>
        </row>
        <row r="678">
          <cell r="L678">
            <v>40743</v>
          </cell>
        </row>
        <row r="679">
          <cell r="L679">
            <v>40743</v>
          </cell>
        </row>
        <row r="680">
          <cell r="L680">
            <v>40743</v>
          </cell>
        </row>
        <row r="681">
          <cell r="L681">
            <v>40743</v>
          </cell>
        </row>
        <row r="682">
          <cell r="L682">
            <v>40743</v>
          </cell>
        </row>
        <row r="683">
          <cell r="L683">
            <v>40743</v>
          </cell>
        </row>
        <row r="684">
          <cell r="L684">
            <v>40743</v>
          </cell>
        </row>
        <row r="685">
          <cell r="L685">
            <v>40743</v>
          </cell>
        </row>
        <row r="686">
          <cell r="L686">
            <v>40743</v>
          </cell>
        </row>
        <row r="687">
          <cell r="L687">
            <v>40743</v>
          </cell>
        </row>
        <row r="688">
          <cell r="L688">
            <v>40743</v>
          </cell>
        </row>
        <row r="689">
          <cell r="L689">
            <v>40743</v>
          </cell>
        </row>
        <row r="690">
          <cell r="L690">
            <v>40744</v>
          </cell>
        </row>
        <row r="691">
          <cell r="L691">
            <v>40744</v>
          </cell>
        </row>
        <row r="692">
          <cell r="L692">
            <v>40744</v>
          </cell>
        </row>
        <row r="693">
          <cell r="L693">
            <v>40744</v>
          </cell>
        </row>
        <row r="694">
          <cell r="L694">
            <v>40744</v>
          </cell>
        </row>
        <row r="695">
          <cell r="L695">
            <v>40744</v>
          </cell>
        </row>
        <row r="696">
          <cell r="L696">
            <v>40744</v>
          </cell>
        </row>
        <row r="697">
          <cell r="L697">
            <v>40744</v>
          </cell>
        </row>
        <row r="698">
          <cell r="L698">
            <v>40744</v>
          </cell>
        </row>
        <row r="699">
          <cell r="L699">
            <v>40744</v>
          </cell>
        </row>
        <row r="700">
          <cell r="L700">
            <v>40744</v>
          </cell>
        </row>
        <row r="701">
          <cell r="L701">
            <v>40744</v>
          </cell>
        </row>
        <row r="702">
          <cell r="L702">
            <v>40744</v>
          </cell>
        </row>
        <row r="703">
          <cell r="L703">
            <v>40744</v>
          </cell>
        </row>
        <row r="704">
          <cell r="L704">
            <v>40744</v>
          </cell>
        </row>
        <row r="705">
          <cell r="L705">
            <v>40744</v>
          </cell>
        </row>
        <row r="706">
          <cell r="L706">
            <v>40744</v>
          </cell>
        </row>
        <row r="707">
          <cell r="L707">
            <v>40744</v>
          </cell>
        </row>
        <row r="708">
          <cell r="L708">
            <v>40744</v>
          </cell>
        </row>
        <row r="709">
          <cell r="L709">
            <v>40744</v>
          </cell>
        </row>
        <row r="710">
          <cell r="L710">
            <v>40744</v>
          </cell>
        </row>
        <row r="711">
          <cell r="L711">
            <v>40744</v>
          </cell>
        </row>
        <row r="712">
          <cell r="L712">
            <v>40744</v>
          </cell>
        </row>
        <row r="713">
          <cell r="L713">
            <v>40744</v>
          </cell>
        </row>
        <row r="714">
          <cell r="L714">
            <v>40744</v>
          </cell>
        </row>
        <row r="715">
          <cell r="L715">
            <v>40744</v>
          </cell>
        </row>
        <row r="716">
          <cell r="L716">
            <v>40744</v>
          </cell>
        </row>
        <row r="717">
          <cell r="L717">
            <v>40744</v>
          </cell>
        </row>
        <row r="718">
          <cell r="L718">
            <v>40744</v>
          </cell>
        </row>
        <row r="719">
          <cell r="L719">
            <v>40744</v>
          </cell>
        </row>
        <row r="720">
          <cell r="L720">
            <v>40744</v>
          </cell>
        </row>
        <row r="721">
          <cell r="L721">
            <v>40744</v>
          </cell>
        </row>
        <row r="722">
          <cell r="L722">
            <v>40744</v>
          </cell>
        </row>
        <row r="723">
          <cell r="L723">
            <v>40744</v>
          </cell>
        </row>
        <row r="724">
          <cell r="L724">
            <v>40744</v>
          </cell>
        </row>
        <row r="725">
          <cell r="L725">
            <v>40744</v>
          </cell>
        </row>
        <row r="726">
          <cell r="L726">
            <v>40744</v>
          </cell>
        </row>
        <row r="727">
          <cell r="L727">
            <v>40744</v>
          </cell>
        </row>
        <row r="728">
          <cell r="L728">
            <v>40744</v>
          </cell>
        </row>
        <row r="729">
          <cell r="L729">
            <v>40744</v>
          </cell>
        </row>
        <row r="730">
          <cell r="L730">
            <v>40744</v>
          </cell>
        </row>
        <row r="731">
          <cell r="L731">
            <v>40744</v>
          </cell>
        </row>
        <row r="732">
          <cell r="L732">
            <v>40744</v>
          </cell>
        </row>
        <row r="733">
          <cell r="L733">
            <v>40744</v>
          </cell>
        </row>
        <row r="734">
          <cell r="L734">
            <v>40744</v>
          </cell>
        </row>
        <row r="735">
          <cell r="L735">
            <v>40744</v>
          </cell>
        </row>
        <row r="736">
          <cell r="L736">
            <v>40744</v>
          </cell>
        </row>
        <row r="737">
          <cell r="L737">
            <v>40744</v>
          </cell>
        </row>
        <row r="738">
          <cell r="L738">
            <v>40744</v>
          </cell>
        </row>
        <row r="739">
          <cell r="L739">
            <v>40744</v>
          </cell>
        </row>
        <row r="740">
          <cell r="L740">
            <v>40744</v>
          </cell>
        </row>
        <row r="741">
          <cell r="L741">
            <v>40744</v>
          </cell>
        </row>
        <row r="742">
          <cell r="L742">
            <v>40744</v>
          </cell>
        </row>
        <row r="743">
          <cell r="L743">
            <v>40744</v>
          </cell>
        </row>
        <row r="744">
          <cell r="L744">
            <v>40745</v>
          </cell>
        </row>
        <row r="745">
          <cell r="L745">
            <v>40745</v>
          </cell>
        </row>
        <row r="746">
          <cell r="L746">
            <v>40745</v>
          </cell>
        </row>
        <row r="747">
          <cell r="L747">
            <v>40745</v>
          </cell>
        </row>
        <row r="748">
          <cell r="L748">
            <v>40745</v>
          </cell>
        </row>
        <row r="749">
          <cell r="L749">
            <v>40745</v>
          </cell>
        </row>
        <row r="750">
          <cell r="L750">
            <v>40745</v>
          </cell>
        </row>
        <row r="751">
          <cell r="L751">
            <v>40745</v>
          </cell>
        </row>
        <row r="752">
          <cell r="L752">
            <v>40745</v>
          </cell>
        </row>
        <row r="753">
          <cell r="L753">
            <v>40745</v>
          </cell>
        </row>
        <row r="754">
          <cell r="L754">
            <v>40745</v>
          </cell>
        </row>
        <row r="755">
          <cell r="L755">
            <v>40745</v>
          </cell>
        </row>
        <row r="756">
          <cell r="L756">
            <v>40745</v>
          </cell>
        </row>
        <row r="757">
          <cell r="L757">
            <v>40745</v>
          </cell>
        </row>
        <row r="758">
          <cell r="L758">
            <v>40745</v>
          </cell>
        </row>
        <row r="759">
          <cell r="L759">
            <v>40745</v>
          </cell>
        </row>
        <row r="760">
          <cell r="L760">
            <v>40745</v>
          </cell>
        </row>
        <row r="761">
          <cell r="L761">
            <v>40745</v>
          </cell>
        </row>
        <row r="762">
          <cell r="L762">
            <v>40745</v>
          </cell>
        </row>
        <row r="763">
          <cell r="L763">
            <v>40745</v>
          </cell>
        </row>
        <row r="764">
          <cell r="L764">
            <v>40745</v>
          </cell>
        </row>
        <row r="765">
          <cell r="L765">
            <v>40745</v>
          </cell>
        </row>
        <row r="766">
          <cell r="L766">
            <v>40746</v>
          </cell>
        </row>
        <row r="767">
          <cell r="L767">
            <v>40746</v>
          </cell>
        </row>
        <row r="768">
          <cell r="L768">
            <v>40746</v>
          </cell>
        </row>
        <row r="769">
          <cell r="L769">
            <v>40746</v>
          </cell>
        </row>
        <row r="770">
          <cell r="L770">
            <v>40746</v>
          </cell>
        </row>
        <row r="771">
          <cell r="L771">
            <v>40746</v>
          </cell>
        </row>
        <row r="772">
          <cell r="L772">
            <v>40746</v>
          </cell>
        </row>
        <row r="773">
          <cell r="L773">
            <v>40746</v>
          </cell>
        </row>
        <row r="774">
          <cell r="L774">
            <v>40746</v>
          </cell>
        </row>
        <row r="775">
          <cell r="L775">
            <v>40746</v>
          </cell>
        </row>
        <row r="776">
          <cell r="L776">
            <v>40746</v>
          </cell>
        </row>
        <row r="777">
          <cell r="L777">
            <v>40746</v>
          </cell>
        </row>
        <row r="778">
          <cell r="L778">
            <v>40746</v>
          </cell>
        </row>
        <row r="779">
          <cell r="L779">
            <v>40746</v>
          </cell>
        </row>
        <row r="780">
          <cell r="L780">
            <v>40749</v>
          </cell>
        </row>
        <row r="781">
          <cell r="L781">
            <v>40749</v>
          </cell>
        </row>
        <row r="782">
          <cell r="L782">
            <v>40749</v>
          </cell>
        </row>
        <row r="783">
          <cell r="L783">
            <v>40749</v>
          </cell>
        </row>
        <row r="784">
          <cell r="L784">
            <v>40749</v>
          </cell>
        </row>
        <row r="785">
          <cell r="L785">
            <v>40749</v>
          </cell>
        </row>
        <row r="786">
          <cell r="L786">
            <v>40749</v>
          </cell>
        </row>
        <row r="787">
          <cell r="L787">
            <v>40750</v>
          </cell>
        </row>
        <row r="788">
          <cell r="L788">
            <v>40750</v>
          </cell>
        </row>
        <row r="789">
          <cell r="L789">
            <v>40750</v>
          </cell>
        </row>
        <row r="790">
          <cell r="L790">
            <v>40750</v>
          </cell>
        </row>
        <row r="791">
          <cell r="L791">
            <v>40750</v>
          </cell>
        </row>
        <row r="792">
          <cell r="L792">
            <v>40750</v>
          </cell>
        </row>
        <row r="793">
          <cell r="L793">
            <v>40750</v>
          </cell>
        </row>
        <row r="794">
          <cell r="L794">
            <v>40750</v>
          </cell>
        </row>
        <row r="795">
          <cell r="L795">
            <v>40750</v>
          </cell>
        </row>
        <row r="796">
          <cell r="L796">
            <v>40750</v>
          </cell>
        </row>
        <row r="797">
          <cell r="L797">
            <v>40750</v>
          </cell>
        </row>
        <row r="798">
          <cell r="L798">
            <v>40750</v>
          </cell>
        </row>
        <row r="799">
          <cell r="L799">
            <v>40750</v>
          </cell>
        </row>
        <row r="800">
          <cell r="L800">
            <v>40750</v>
          </cell>
        </row>
        <row r="801">
          <cell r="L801">
            <v>40750</v>
          </cell>
        </row>
        <row r="802">
          <cell r="L802">
            <v>40750</v>
          </cell>
        </row>
        <row r="803">
          <cell r="L803">
            <v>40750</v>
          </cell>
        </row>
        <row r="804">
          <cell r="L804">
            <v>40750</v>
          </cell>
        </row>
        <row r="805">
          <cell r="L805">
            <v>40750</v>
          </cell>
        </row>
        <row r="806">
          <cell r="L806">
            <v>40750</v>
          </cell>
        </row>
        <row r="807">
          <cell r="L807">
            <v>40750</v>
          </cell>
        </row>
        <row r="808">
          <cell r="L808">
            <v>40750</v>
          </cell>
        </row>
        <row r="809">
          <cell r="L809">
            <v>40750</v>
          </cell>
        </row>
        <row r="810">
          <cell r="L810">
            <v>40750</v>
          </cell>
        </row>
        <row r="811">
          <cell r="L811">
            <v>40750</v>
          </cell>
        </row>
        <row r="812">
          <cell r="L812">
            <v>40750</v>
          </cell>
        </row>
        <row r="813">
          <cell r="L813">
            <v>40750</v>
          </cell>
        </row>
        <row r="814">
          <cell r="L814">
            <v>40750</v>
          </cell>
        </row>
        <row r="815">
          <cell r="L815">
            <v>40750</v>
          </cell>
        </row>
        <row r="816">
          <cell r="L816">
            <v>40750</v>
          </cell>
        </row>
        <row r="817">
          <cell r="L817">
            <v>40750</v>
          </cell>
        </row>
        <row r="818">
          <cell r="L818">
            <v>40750</v>
          </cell>
        </row>
        <row r="819">
          <cell r="L819">
            <v>40750</v>
          </cell>
        </row>
        <row r="820">
          <cell r="L820">
            <v>40750</v>
          </cell>
        </row>
        <row r="821">
          <cell r="L821">
            <v>40750</v>
          </cell>
        </row>
        <row r="822">
          <cell r="L822">
            <v>40750</v>
          </cell>
        </row>
        <row r="823">
          <cell r="L823">
            <v>40750</v>
          </cell>
        </row>
        <row r="824">
          <cell r="L824">
            <v>40750</v>
          </cell>
        </row>
        <row r="825">
          <cell r="L825">
            <v>40750</v>
          </cell>
        </row>
        <row r="826">
          <cell r="L826">
            <v>40750</v>
          </cell>
        </row>
        <row r="827">
          <cell r="L827">
            <v>40750</v>
          </cell>
        </row>
        <row r="828">
          <cell r="L828">
            <v>40750</v>
          </cell>
        </row>
        <row r="829">
          <cell r="L829">
            <v>40750</v>
          </cell>
        </row>
        <row r="830">
          <cell r="L830">
            <v>40750</v>
          </cell>
        </row>
        <row r="831">
          <cell r="L831">
            <v>40751</v>
          </cell>
        </row>
        <row r="832">
          <cell r="L832">
            <v>40751</v>
          </cell>
        </row>
        <row r="833">
          <cell r="L833">
            <v>40751</v>
          </cell>
        </row>
        <row r="834">
          <cell r="L834">
            <v>40751</v>
          </cell>
        </row>
        <row r="835">
          <cell r="L835">
            <v>40751</v>
          </cell>
        </row>
        <row r="836">
          <cell r="L836">
            <v>40751</v>
          </cell>
        </row>
        <row r="837">
          <cell r="L837">
            <v>40751</v>
          </cell>
        </row>
        <row r="838">
          <cell r="L838">
            <v>40751</v>
          </cell>
        </row>
        <row r="839">
          <cell r="L839">
            <v>40751</v>
          </cell>
        </row>
        <row r="840">
          <cell r="L840">
            <v>40751</v>
          </cell>
        </row>
        <row r="841">
          <cell r="L841">
            <v>40751</v>
          </cell>
        </row>
        <row r="842">
          <cell r="L842">
            <v>40751</v>
          </cell>
        </row>
        <row r="843">
          <cell r="L843">
            <v>40751</v>
          </cell>
        </row>
        <row r="844">
          <cell r="L844">
            <v>40751</v>
          </cell>
        </row>
        <row r="845">
          <cell r="L845">
            <v>40751</v>
          </cell>
        </row>
        <row r="846">
          <cell r="L846">
            <v>40751</v>
          </cell>
        </row>
        <row r="847">
          <cell r="L847">
            <v>40751</v>
          </cell>
        </row>
        <row r="848">
          <cell r="L848">
            <v>40752</v>
          </cell>
        </row>
        <row r="849">
          <cell r="L849">
            <v>40752</v>
          </cell>
        </row>
        <row r="850">
          <cell r="L850">
            <v>40752</v>
          </cell>
        </row>
        <row r="851">
          <cell r="L851">
            <v>40752</v>
          </cell>
        </row>
        <row r="852">
          <cell r="L852">
            <v>40752</v>
          </cell>
        </row>
        <row r="853">
          <cell r="L853">
            <v>40752</v>
          </cell>
        </row>
        <row r="854">
          <cell r="L854">
            <v>40752</v>
          </cell>
        </row>
        <row r="855">
          <cell r="L855">
            <v>40752</v>
          </cell>
        </row>
        <row r="856">
          <cell r="L856">
            <v>40752</v>
          </cell>
        </row>
        <row r="857">
          <cell r="L857">
            <v>40753</v>
          </cell>
        </row>
        <row r="858">
          <cell r="L858">
            <v>40753</v>
          </cell>
        </row>
        <row r="859">
          <cell r="L859">
            <v>40753</v>
          </cell>
        </row>
        <row r="860">
          <cell r="L860">
            <v>40753</v>
          </cell>
        </row>
        <row r="861">
          <cell r="L861">
            <v>40753</v>
          </cell>
        </row>
        <row r="862">
          <cell r="L862">
            <v>40753</v>
          </cell>
        </row>
        <row r="863">
          <cell r="L863">
            <v>40753</v>
          </cell>
        </row>
        <row r="864">
          <cell r="L864">
            <v>40733</v>
          </cell>
        </row>
        <row r="865">
          <cell r="L865">
            <v>40731</v>
          </cell>
        </row>
        <row r="866">
          <cell r="L866">
            <v>40731</v>
          </cell>
        </row>
        <row r="867">
          <cell r="L867">
            <v>40731</v>
          </cell>
        </row>
        <row r="868">
          <cell r="L868">
            <v>40737</v>
          </cell>
        </row>
        <row r="869">
          <cell r="L869">
            <v>40736</v>
          </cell>
        </row>
        <row r="870">
          <cell r="L870">
            <v>40742</v>
          </cell>
        </row>
        <row r="871">
          <cell r="L871">
            <v>40743</v>
          </cell>
        </row>
        <row r="872">
          <cell r="L872">
            <v>40742</v>
          </cell>
        </row>
        <row r="873">
          <cell r="L873">
            <v>40725</v>
          </cell>
        </row>
        <row r="874">
          <cell r="L874">
            <v>40751</v>
          </cell>
        </row>
        <row r="875">
          <cell r="L875">
            <v>40751</v>
          </cell>
        </row>
        <row r="876">
          <cell r="L876">
            <v>40751</v>
          </cell>
        </row>
        <row r="877">
          <cell r="L877">
            <v>40751</v>
          </cell>
        </row>
        <row r="878">
          <cell r="L878">
            <v>40751</v>
          </cell>
        </row>
        <row r="879">
          <cell r="L879">
            <v>40752</v>
          </cell>
        </row>
        <row r="880">
          <cell r="L880">
            <v>40752</v>
          </cell>
        </row>
        <row r="881">
          <cell r="L881">
            <v>40754</v>
          </cell>
        </row>
        <row r="882">
          <cell r="L882">
            <v>40725</v>
          </cell>
        </row>
        <row r="883">
          <cell r="L883">
            <v>40725</v>
          </cell>
        </row>
        <row r="884">
          <cell r="L884">
            <v>40725</v>
          </cell>
        </row>
        <row r="885">
          <cell r="L885">
            <v>40725</v>
          </cell>
        </row>
        <row r="886">
          <cell r="L886">
            <v>40725</v>
          </cell>
        </row>
        <row r="887">
          <cell r="L887">
            <v>40729</v>
          </cell>
        </row>
        <row r="888">
          <cell r="L888">
            <v>40725</v>
          </cell>
        </row>
        <row r="889">
          <cell r="L889">
            <v>40729</v>
          </cell>
        </row>
        <row r="890">
          <cell r="L890">
            <v>40729</v>
          </cell>
        </row>
        <row r="891">
          <cell r="L891">
            <v>40729</v>
          </cell>
        </row>
        <row r="892">
          <cell r="L892">
            <v>40729</v>
          </cell>
        </row>
        <row r="893">
          <cell r="L893">
            <v>40729</v>
          </cell>
        </row>
        <row r="894">
          <cell r="L894">
            <v>40731</v>
          </cell>
        </row>
        <row r="895">
          <cell r="L895">
            <v>40731</v>
          </cell>
        </row>
        <row r="896">
          <cell r="L896">
            <v>40731</v>
          </cell>
        </row>
        <row r="897">
          <cell r="L897">
            <v>40731</v>
          </cell>
        </row>
        <row r="898">
          <cell r="L898">
            <v>40732</v>
          </cell>
        </row>
        <row r="899">
          <cell r="L899">
            <v>40732</v>
          </cell>
        </row>
        <row r="900">
          <cell r="L900">
            <v>40732</v>
          </cell>
        </row>
        <row r="901">
          <cell r="L901">
            <v>40732</v>
          </cell>
        </row>
        <row r="902">
          <cell r="L902">
            <v>40731</v>
          </cell>
        </row>
        <row r="903">
          <cell r="L903">
            <v>40732</v>
          </cell>
        </row>
        <row r="904">
          <cell r="L904">
            <v>40732</v>
          </cell>
        </row>
        <row r="905">
          <cell r="L905">
            <v>40735</v>
          </cell>
        </row>
        <row r="906">
          <cell r="L906">
            <v>40736</v>
          </cell>
        </row>
        <row r="907">
          <cell r="L907">
            <v>40736</v>
          </cell>
        </row>
        <row r="908">
          <cell r="L908">
            <v>40736</v>
          </cell>
        </row>
        <row r="909">
          <cell r="L909">
            <v>40736</v>
          </cell>
        </row>
        <row r="910">
          <cell r="L910">
            <v>40736</v>
          </cell>
        </row>
        <row r="911">
          <cell r="L911">
            <v>40736</v>
          </cell>
        </row>
        <row r="912">
          <cell r="L912">
            <v>40736</v>
          </cell>
        </row>
        <row r="913">
          <cell r="L913">
            <v>40736</v>
          </cell>
        </row>
        <row r="914">
          <cell r="L914">
            <v>40736</v>
          </cell>
        </row>
        <row r="915">
          <cell r="L915">
            <v>40736</v>
          </cell>
        </row>
        <row r="916">
          <cell r="L916">
            <v>40737</v>
          </cell>
        </row>
        <row r="917">
          <cell r="L917">
            <v>40737</v>
          </cell>
        </row>
        <row r="918">
          <cell r="L918">
            <v>40737</v>
          </cell>
        </row>
        <row r="919">
          <cell r="L919">
            <v>40737</v>
          </cell>
        </row>
        <row r="920">
          <cell r="L920">
            <v>40737</v>
          </cell>
        </row>
        <row r="921">
          <cell r="L921">
            <v>40737</v>
          </cell>
        </row>
        <row r="922">
          <cell r="L922">
            <v>40739</v>
          </cell>
        </row>
        <row r="923">
          <cell r="L923">
            <v>40739</v>
          </cell>
        </row>
        <row r="924">
          <cell r="L924">
            <v>40742</v>
          </cell>
        </row>
        <row r="925">
          <cell r="L925">
            <v>40742</v>
          </cell>
        </row>
        <row r="926">
          <cell r="L926">
            <v>40744</v>
          </cell>
        </row>
        <row r="927">
          <cell r="L927">
            <v>40746</v>
          </cell>
        </row>
        <row r="928">
          <cell r="L928">
            <v>40746</v>
          </cell>
        </row>
        <row r="929">
          <cell r="L929">
            <v>40746</v>
          </cell>
        </row>
        <row r="930">
          <cell r="L930">
            <v>40746</v>
          </cell>
        </row>
        <row r="931">
          <cell r="L931">
            <v>40746</v>
          </cell>
        </row>
        <row r="932">
          <cell r="L932">
            <v>40746</v>
          </cell>
        </row>
        <row r="933">
          <cell r="L933">
            <v>40749</v>
          </cell>
        </row>
        <row r="934">
          <cell r="L934">
            <v>40749</v>
          </cell>
        </row>
        <row r="935">
          <cell r="L935">
            <v>40750</v>
          </cell>
        </row>
        <row r="936">
          <cell r="L936">
            <v>40750</v>
          </cell>
        </row>
        <row r="937">
          <cell r="L937">
            <v>40750</v>
          </cell>
        </row>
        <row r="938">
          <cell r="L938">
            <v>40750</v>
          </cell>
        </row>
        <row r="939">
          <cell r="L939">
            <v>40750</v>
          </cell>
        </row>
        <row r="940">
          <cell r="L940">
            <v>40751</v>
          </cell>
        </row>
        <row r="941">
          <cell r="L941">
            <v>40725</v>
          </cell>
        </row>
        <row r="942">
          <cell r="L942">
            <v>40725</v>
          </cell>
        </row>
        <row r="943">
          <cell r="L943">
            <v>40731</v>
          </cell>
        </row>
        <row r="944">
          <cell r="L944">
            <v>40736</v>
          </cell>
        </row>
        <row r="945">
          <cell r="L945">
            <v>40736</v>
          </cell>
        </row>
        <row r="946">
          <cell r="L946">
            <v>40737</v>
          </cell>
        </row>
        <row r="947">
          <cell r="L947">
            <v>40737</v>
          </cell>
        </row>
        <row r="948">
          <cell r="L948">
            <v>40725</v>
          </cell>
        </row>
        <row r="949">
          <cell r="L949">
            <v>40725</v>
          </cell>
        </row>
        <row r="950">
          <cell r="L950">
            <v>40744</v>
          </cell>
        </row>
        <row r="951">
          <cell r="L951">
            <v>40744</v>
          </cell>
        </row>
        <row r="952">
          <cell r="L952">
            <v>40725</v>
          </cell>
        </row>
        <row r="953">
          <cell r="L953">
            <v>40725</v>
          </cell>
        </row>
        <row r="954">
          <cell r="L954">
            <v>40755</v>
          </cell>
        </row>
        <row r="955">
          <cell r="L955">
            <v>40725</v>
          </cell>
        </row>
        <row r="956">
          <cell r="L956">
            <v>40725</v>
          </cell>
        </row>
        <row r="957">
          <cell r="L957">
            <v>40725</v>
          </cell>
        </row>
        <row r="958">
          <cell r="L958">
            <v>40755</v>
          </cell>
        </row>
        <row r="959">
          <cell r="L959">
            <v>40755</v>
          </cell>
        </row>
        <row r="960">
          <cell r="L960">
            <v>40730</v>
          </cell>
        </row>
        <row r="961">
          <cell r="L961">
            <v>40730</v>
          </cell>
        </row>
        <row r="962">
          <cell r="L962">
            <v>40731</v>
          </cell>
        </row>
        <row r="963">
          <cell r="L963">
            <v>40731</v>
          </cell>
        </row>
        <row r="964">
          <cell r="L964">
            <v>40731</v>
          </cell>
        </row>
        <row r="965">
          <cell r="L965">
            <v>40731</v>
          </cell>
        </row>
        <row r="966">
          <cell r="L966">
            <v>40731</v>
          </cell>
        </row>
        <row r="967">
          <cell r="L967">
            <v>40731</v>
          </cell>
        </row>
        <row r="968">
          <cell r="L968">
            <v>40731</v>
          </cell>
        </row>
        <row r="969">
          <cell r="L969">
            <v>40731</v>
          </cell>
        </row>
        <row r="970">
          <cell r="L970">
            <v>40731</v>
          </cell>
        </row>
        <row r="971">
          <cell r="L971">
            <v>40731</v>
          </cell>
        </row>
        <row r="972">
          <cell r="L972">
            <v>40731</v>
          </cell>
        </row>
        <row r="973">
          <cell r="L973">
            <v>40731</v>
          </cell>
        </row>
        <row r="974">
          <cell r="L974">
            <v>40731</v>
          </cell>
        </row>
        <row r="975">
          <cell r="L975">
            <v>40731</v>
          </cell>
        </row>
        <row r="976">
          <cell r="L976">
            <v>40731</v>
          </cell>
        </row>
        <row r="977">
          <cell r="L977">
            <v>40735</v>
          </cell>
        </row>
        <row r="978">
          <cell r="L978">
            <v>40742</v>
          </cell>
        </row>
        <row r="979">
          <cell r="L979">
            <v>40742</v>
          </cell>
        </row>
        <row r="980">
          <cell r="L980">
            <v>40742</v>
          </cell>
        </row>
        <row r="981">
          <cell r="L981">
            <v>40743</v>
          </cell>
        </row>
        <row r="982">
          <cell r="L982">
            <v>40743</v>
          </cell>
        </row>
        <row r="983">
          <cell r="L983">
            <v>40743</v>
          </cell>
        </row>
        <row r="984">
          <cell r="L984">
            <v>40743</v>
          </cell>
        </row>
        <row r="985">
          <cell r="L985">
            <v>40743</v>
          </cell>
        </row>
        <row r="986">
          <cell r="L986">
            <v>40743</v>
          </cell>
        </row>
        <row r="987">
          <cell r="L987">
            <v>40743</v>
          </cell>
        </row>
        <row r="988">
          <cell r="L988">
            <v>40743</v>
          </cell>
        </row>
        <row r="989">
          <cell r="L989">
            <v>40743</v>
          </cell>
        </row>
        <row r="990">
          <cell r="L990">
            <v>40743</v>
          </cell>
        </row>
        <row r="991">
          <cell r="L991">
            <v>40743</v>
          </cell>
        </row>
        <row r="992">
          <cell r="L992">
            <v>40743</v>
          </cell>
        </row>
        <row r="993">
          <cell r="L993">
            <v>40743</v>
          </cell>
        </row>
        <row r="994">
          <cell r="L994">
            <v>40743</v>
          </cell>
        </row>
        <row r="995">
          <cell r="L995">
            <v>40743</v>
          </cell>
        </row>
        <row r="996">
          <cell r="L996">
            <v>40743</v>
          </cell>
        </row>
        <row r="997">
          <cell r="L997">
            <v>40743</v>
          </cell>
        </row>
        <row r="998">
          <cell r="L998">
            <v>40725</v>
          </cell>
        </row>
        <row r="999">
          <cell r="L999">
            <v>40725</v>
          </cell>
        </row>
        <row r="1000">
          <cell r="L1000">
            <v>40725</v>
          </cell>
        </row>
        <row r="1001">
          <cell r="L1001">
            <v>40725</v>
          </cell>
        </row>
        <row r="1002">
          <cell r="L1002">
            <v>40728</v>
          </cell>
        </row>
        <row r="1003">
          <cell r="L1003">
            <v>40728</v>
          </cell>
        </row>
        <row r="1004">
          <cell r="L1004">
            <v>40728</v>
          </cell>
        </row>
        <row r="1005">
          <cell r="L1005">
            <v>40728</v>
          </cell>
        </row>
        <row r="1006">
          <cell r="L1006">
            <v>40728</v>
          </cell>
        </row>
        <row r="1007">
          <cell r="L1007">
            <v>40728</v>
          </cell>
        </row>
        <row r="1008">
          <cell r="L1008">
            <v>40728</v>
          </cell>
        </row>
        <row r="1009">
          <cell r="L1009">
            <v>40728</v>
          </cell>
        </row>
        <row r="1010">
          <cell r="L1010">
            <v>40728</v>
          </cell>
        </row>
        <row r="1011">
          <cell r="L1011">
            <v>40728</v>
          </cell>
        </row>
        <row r="1012">
          <cell r="L1012">
            <v>40728</v>
          </cell>
        </row>
        <row r="1013">
          <cell r="L1013">
            <v>40728</v>
          </cell>
        </row>
        <row r="1014">
          <cell r="L1014">
            <v>40728</v>
          </cell>
        </row>
        <row r="1015">
          <cell r="L1015">
            <v>40728</v>
          </cell>
        </row>
        <row r="1016">
          <cell r="L1016">
            <v>40728</v>
          </cell>
        </row>
        <row r="1017">
          <cell r="L1017">
            <v>40728</v>
          </cell>
        </row>
        <row r="1018">
          <cell r="L1018">
            <v>40728</v>
          </cell>
        </row>
        <row r="1019">
          <cell r="L1019">
            <v>40728</v>
          </cell>
        </row>
        <row r="1020">
          <cell r="L1020">
            <v>40728</v>
          </cell>
        </row>
        <row r="1021">
          <cell r="L1021">
            <v>40728</v>
          </cell>
        </row>
        <row r="1022">
          <cell r="L1022">
            <v>40728</v>
          </cell>
        </row>
        <row r="1023">
          <cell r="L1023">
            <v>40728</v>
          </cell>
        </row>
        <row r="1024">
          <cell r="L1024">
            <v>40728</v>
          </cell>
        </row>
        <row r="1025">
          <cell r="L1025">
            <v>40728</v>
          </cell>
        </row>
        <row r="1026">
          <cell r="L1026">
            <v>40728</v>
          </cell>
        </row>
        <row r="1027">
          <cell r="L1027">
            <v>40729</v>
          </cell>
        </row>
        <row r="1028">
          <cell r="L1028">
            <v>40729</v>
          </cell>
        </row>
        <row r="1029">
          <cell r="L1029">
            <v>40729</v>
          </cell>
        </row>
        <row r="1030">
          <cell r="L1030">
            <v>40729</v>
          </cell>
        </row>
        <row r="1031">
          <cell r="L1031">
            <v>40729</v>
          </cell>
        </row>
        <row r="1032">
          <cell r="L1032">
            <v>40729</v>
          </cell>
        </row>
        <row r="1033">
          <cell r="L1033">
            <v>40729</v>
          </cell>
        </row>
        <row r="1034">
          <cell r="L1034">
            <v>40729</v>
          </cell>
        </row>
        <row r="1035">
          <cell r="L1035">
            <v>40729</v>
          </cell>
        </row>
        <row r="1036">
          <cell r="L1036">
            <v>40729</v>
          </cell>
        </row>
        <row r="1037">
          <cell r="L1037">
            <v>40730</v>
          </cell>
        </row>
        <row r="1038">
          <cell r="L1038">
            <v>40730</v>
          </cell>
        </row>
        <row r="1039">
          <cell r="L1039">
            <v>40730</v>
          </cell>
        </row>
        <row r="1040">
          <cell r="L1040">
            <v>40730</v>
          </cell>
        </row>
        <row r="1041">
          <cell r="L1041">
            <v>40730</v>
          </cell>
        </row>
        <row r="1042">
          <cell r="L1042">
            <v>40730</v>
          </cell>
        </row>
        <row r="1043">
          <cell r="L1043">
            <v>40730</v>
          </cell>
        </row>
        <row r="1044">
          <cell r="L1044">
            <v>40730</v>
          </cell>
        </row>
        <row r="1045">
          <cell r="L1045">
            <v>40730</v>
          </cell>
        </row>
        <row r="1046">
          <cell r="L1046">
            <v>40730</v>
          </cell>
        </row>
        <row r="1047">
          <cell r="L1047">
            <v>40730</v>
          </cell>
        </row>
        <row r="1048">
          <cell r="L1048">
            <v>40730</v>
          </cell>
        </row>
        <row r="1049">
          <cell r="L1049">
            <v>40730</v>
          </cell>
        </row>
        <row r="1050">
          <cell r="L1050">
            <v>40730</v>
          </cell>
        </row>
        <row r="1051">
          <cell r="L1051">
            <v>40730</v>
          </cell>
        </row>
        <row r="1052">
          <cell r="L1052">
            <v>40730</v>
          </cell>
        </row>
        <row r="1053">
          <cell r="L1053">
            <v>40730</v>
          </cell>
        </row>
        <row r="1054">
          <cell r="L1054">
            <v>40730</v>
          </cell>
        </row>
        <row r="1055">
          <cell r="L1055">
            <v>40730</v>
          </cell>
        </row>
        <row r="1056">
          <cell r="L1056">
            <v>40730</v>
          </cell>
        </row>
        <row r="1057">
          <cell r="L1057">
            <v>40730</v>
          </cell>
        </row>
        <row r="1058">
          <cell r="L1058">
            <v>40730</v>
          </cell>
        </row>
        <row r="1059">
          <cell r="L1059">
            <v>40730</v>
          </cell>
        </row>
        <row r="1060">
          <cell r="L1060">
            <v>40730</v>
          </cell>
        </row>
        <row r="1061">
          <cell r="L1061">
            <v>40730</v>
          </cell>
        </row>
        <row r="1062">
          <cell r="L1062">
            <v>40730</v>
          </cell>
        </row>
        <row r="1063">
          <cell r="L1063">
            <v>40730</v>
          </cell>
        </row>
        <row r="1064">
          <cell r="L1064">
            <v>40730</v>
          </cell>
        </row>
        <row r="1065">
          <cell r="L1065">
            <v>40730</v>
          </cell>
        </row>
        <row r="1066">
          <cell r="L1066">
            <v>40730</v>
          </cell>
        </row>
        <row r="1067">
          <cell r="L1067">
            <v>40730</v>
          </cell>
        </row>
        <row r="1068">
          <cell r="L1068">
            <v>40730</v>
          </cell>
        </row>
        <row r="1069">
          <cell r="L1069">
            <v>40730</v>
          </cell>
        </row>
        <row r="1070">
          <cell r="L1070">
            <v>40731</v>
          </cell>
        </row>
        <row r="1071">
          <cell r="L1071">
            <v>40731</v>
          </cell>
        </row>
        <row r="1072">
          <cell r="L1072">
            <v>40731</v>
          </cell>
        </row>
        <row r="1073">
          <cell r="L1073">
            <v>40731</v>
          </cell>
        </row>
        <row r="1074">
          <cell r="L1074">
            <v>40731</v>
          </cell>
        </row>
        <row r="1075">
          <cell r="L1075">
            <v>40731</v>
          </cell>
        </row>
        <row r="1076">
          <cell r="L1076">
            <v>40731</v>
          </cell>
        </row>
        <row r="1077">
          <cell r="L1077">
            <v>40731</v>
          </cell>
        </row>
        <row r="1078">
          <cell r="L1078">
            <v>40731</v>
          </cell>
        </row>
        <row r="1079">
          <cell r="L1079">
            <v>40731</v>
          </cell>
        </row>
        <row r="1080">
          <cell r="L1080">
            <v>40731</v>
          </cell>
        </row>
        <row r="1081">
          <cell r="L1081">
            <v>40731</v>
          </cell>
        </row>
        <row r="1082">
          <cell r="L1082">
            <v>40731</v>
          </cell>
        </row>
        <row r="1083">
          <cell r="L1083">
            <v>40731</v>
          </cell>
        </row>
        <row r="1084">
          <cell r="L1084">
            <v>40731</v>
          </cell>
        </row>
        <row r="1085">
          <cell r="L1085">
            <v>40731</v>
          </cell>
        </row>
        <row r="1086">
          <cell r="L1086">
            <v>40731</v>
          </cell>
        </row>
        <row r="1087">
          <cell r="L1087">
            <v>40731</v>
          </cell>
        </row>
        <row r="1088">
          <cell r="L1088">
            <v>40731</v>
          </cell>
        </row>
        <row r="1089">
          <cell r="L1089">
            <v>40731</v>
          </cell>
        </row>
        <row r="1090">
          <cell r="L1090">
            <v>40731</v>
          </cell>
        </row>
        <row r="1091">
          <cell r="L1091">
            <v>40731</v>
          </cell>
        </row>
        <row r="1092">
          <cell r="L1092">
            <v>40731</v>
          </cell>
        </row>
        <row r="1093">
          <cell r="L1093">
            <v>40731</v>
          </cell>
        </row>
        <row r="1094">
          <cell r="L1094">
            <v>40731</v>
          </cell>
        </row>
        <row r="1095">
          <cell r="L1095">
            <v>40731</v>
          </cell>
        </row>
        <row r="1096">
          <cell r="L1096">
            <v>40731</v>
          </cell>
        </row>
        <row r="1097">
          <cell r="L1097">
            <v>40732</v>
          </cell>
        </row>
        <row r="1098">
          <cell r="L1098">
            <v>40732</v>
          </cell>
        </row>
        <row r="1099">
          <cell r="L1099">
            <v>40732</v>
          </cell>
        </row>
        <row r="1100">
          <cell r="L1100">
            <v>40732</v>
          </cell>
        </row>
        <row r="1101">
          <cell r="L1101">
            <v>40732</v>
          </cell>
        </row>
        <row r="1102">
          <cell r="L1102">
            <v>40732</v>
          </cell>
        </row>
        <row r="1103">
          <cell r="L1103">
            <v>40732</v>
          </cell>
        </row>
        <row r="1104">
          <cell r="L1104">
            <v>40732</v>
          </cell>
        </row>
        <row r="1105">
          <cell r="L1105">
            <v>40732</v>
          </cell>
        </row>
        <row r="1106">
          <cell r="L1106">
            <v>40732</v>
          </cell>
        </row>
        <row r="1107">
          <cell r="L1107">
            <v>40732</v>
          </cell>
        </row>
        <row r="1108">
          <cell r="L1108">
            <v>40735</v>
          </cell>
        </row>
        <row r="1109">
          <cell r="L1109">
            <v>40735</v>
          </cell>
        </row>
        <row r="1110">
          <cell r="L1110">
            <v>40735</v>
          </cell>
        </row>
        <row r="1111">
          <cell r="L1111">
            <v>40735</v>
          </cell>
        </row>
        <row r="1112">
          <cell r="L1112">
            <v>40735</v>
          </cell>
        </row>
        <row r="1113">
          <cell r="L1113">
            <v>40735</v>
          </cell>
        </row>
        <row r="1114">
          <cell r="L1114">
            <v>40735</v>
          </cell>
        </row>
        <row r="1115">
          <cell r="L1115">
            <v>40735</v>
          </cell>
        </row>
        <row r="1116">
          <cell r="L1116">
            <v>40735</v>
          </cell>
        </row>
        <row r="1117">
          <cell r="L1117">
            <v>40735</v>
          </cell>
        </row>
        <row r="1118">
          <cell r="L1118">
            <v>40735</v>
          </cell>
        </row>
        <row r="1119">
          <cell r="L1119">
            <v>40735</v>
          </cell>
        </row>
        <row r="1120">
          <cell r="L1120">
            <v>40735</v>
          </cell>
        </row>
        <row r="1121">
          <cell r="L1121">
            <v>40735</v>
          </cell>
        </row>
        <row r="1122">
          <cell r="L1122">
            <v>40735</v>
          </cell>
        </row>
        <row r="1123">
          <cell r="L1123">
            <v>40735</v>
          </cell>
        </row>
        <row r="1124">
          <cell r="L1124">
            <v>40735</v>
          </cell>
        </row>
        <row r="1125">
          <cell r="L1125">
            <v>40735</v>
          </cell>
        </row>
        <row r="1126">
          <cell r="L1126">
            <v>40735</v>
          </cell>
        </row>
        <row r="1127">
          <cell r="L1127">
            <v>40735</v>
          </cell>
        </row>
        <row r="1128">
          <cell r="L1128">
            <v>40735</v>
          </cell>
        </row>
        <row r="1129">
          <cell r="L1129">
            <v>40735</v>
          </cell>
        </row>
        <row r="1130">
          <cell r="L1130">
            <v>40735</v>
          </cell>
        </row>
        <row r="1131">
          <cell r="L1131">
            <v>40735</v>
          </cell>
        </row>
        <row r="1132">
          <cell r="L1132">
            <v>40735</v>
          </cell>
        </row>
        <row r="1133">
          <cell r="L1133">
            <v>40735</v>
          </cell>
        </row>
        <row r="1134">
          <cell r="L1134">
            <v>40735</v>
          </cell>
        </row>
        <row r="1135">
          <cell r="L1135">
            <v>40735</v>
          </cell>
        </row>
        <row r="1136">
          <cell r="L1136">
            <v>40735</v>
          </cell>
        </row>
        <row r="1137">
          <cell r="L1137">
            <v>40735</v>
          </cell>
        </row>
        <row r="1138">
          <cell r="L1138">
            <v>40735</v>
          </cell>
        </row>
        <row r="1139">
          <cell r="L1139">
            <v>40735</v>
          </cell>
        </row>
        <row r="1140">
          <cell r="L1140">
            <v>40735</v>
          </cell>
        </row>
        <row r="1141">
          <cell r="L1141">
            <v>40735</v>
          </cell>
        </row>
        <row r="1142">
          <cell r="L1142">
            <v>40735</v>
          </cell>
        </row>
        <row r="1143">
          <cell r="L1143">
            <v>40735</v>
          </cell>
        </row>
        <row r="1144">
          <cell r="L1144">
            <v>40735</v>
          </cell>
        </row>
        <row r="1145">
          <cell r="L1145">
            <v>40735</v>
          </cell>
        </row>
        <row r="1146">
          <cell r="L1146">
            <v>40736</v>
          </cell>
        </row>
        <row r="1147">
          <cell r="L1147">
            <v>40736</v>
          </cell>
        </row>
        <row r="1148">
          <cell r="L1148">
            <v>40736</v>
          </cell>
        </row>
        <row r="1149">
          <cell r="L1149">
            <v>40736</v>
          </cell>
        </row>
        <row r="1150">
          <cell r="L1150">
            <v>40736</v>
          </cell>
        </row>
        <row r="1151">
          <cell r="L1151">
            <v>40736</v>
          </cell>
        </row>
        <row r="1152">
          <cell r="L1152">
            <v>40736</v>
          </cell>
        </row>
        <row r="1153">
          <cell r="L1153">
            <v>40736</v>
          </cell>
        </row>
        <row r="1154">
          <cell r="L1154">
            <v>40736</v>
          </cell>
        </row>
        <row r="1155">
          <cell r="L1155">
            <v>40736</v>
          </cell>
        </row>
        <row r="1156">
          <cell r="L1156">
            <v>40736</v>
          </cell>
        </row>
        <row r="1157">
          <cell r="L1157">
            <v>40736</v>
          </cell>
        </row>
        <row r="1158">
          <cell r="L1158">
            <v>40736</v>
          </cell>
        </row>
        <row r="1159">
          <cell r="L1159">
            <v>40736</v>
          </cell>
        </row>
        <row r="1160">
          <cell r="L1160">
            <v>40736</v>
          </cell>
        </row>
        <row r="1161">
          <cell r="L1161">
            <v>40736</v>
          </cell>
        </row>
        <row r="1162">
          <cell r="L1162">
            <v>40736</v>
          </cell>
        </row>
        <row r="1163">
          <cell r="L1163">
            <v>40736</v>
          </cell>
        </row>
        <row r="1164">
          <cell r="L1164">
            <v>40736</v>
          </cell>
        </row>
        <row r="1165">
          <cell r="L1165">
            <v>40732</v>
          </cell>
        </row>
        <row r="1166">
          <cell r="L1166">
            <v>40732</v>
          </cell>
        </row>
        <row r="1167">
          <cell r="L1167">
            <v>40732</v>
          </cell>
        </row>
        <row r="1168">
          <cell r="L1168">
            <v>40732</v>
          </cell>
        </row>
        <row r="1169">
          <cell r="L1169">
            <v>40732</v>
          </cell>
        </row>
        <row r="1170">
          <cell r="L1170">
            <v>40737</v>
          </cell>
        </row>
        <row r="1171">
          <cell r="L1171">
            <v>40737</v>
          </cell>
        </row>
        <row r="1172">
          <cell r="L1172">
            <v>40737</v>
          </cell>
        </row>
        <row r="1173">
          <cell r="L1173">
            <v>40737</v>
          </cell>
        </row>
        <row r="1174">
          <cell r="L1174">
            <v>40737</v>
          </cell>
        </row>
        <row r="1175">
          <cell r="L1175">
            <v>40737</v>
          </cell>
        </row>
        <row r="1176">
          <cell r="L1176">
            <v>40737</v>
          </cell>
        </row>
        <row r="1177">
          <cell r="L1177">
            <v>40737</v>
          </cell>
        </row>
        <row r="1178">
          <cell r="L1178">
            <v>40737</v>
          </cell>
        </row>
        <row r="1179">
          <cell r="L1179">
            <v>40737</v>
          </cell>
        </row>
        <row r="1180">
          <cell r="L1180">
            <v>40737</v>
          </cell>
        </row>
        <row r="1181">
          <cell r="L1181">
            <v>40737</v>
          </cell>
        </row>
        <row r="1182">
          <cell r="L1182">
            <v>40737</v>
          </cell>
        </row>
        <row r="1183">
          <cell r="L1183">
            <v>40737</v>
          </cell>
        </row>
        <row r="1184">
          <cell r="L1184">
            <v>40737</v>
          </cell>
        </row>
        <row r="1185">
          <cell r="L1185">
            <v>40737</v>
          </cell>
        </row>
        <row r="1186">
          <cell r="L1186">
            <v>40737</v>
          </cell>
        </row>
        <row r="1187">
          <cell r="L1187">
            <v>40737</v>
          </cell>
        </row>
        <row r="1188">
          <cell r="L1188">
            <v>40737</v>
          </cell>
        </row>
        <row r="1189">
          <cell r="L1189">
            <v>40737</v>
          </cell>
        </row>
        <row r="1190">
          <cell r="L1190">
            <v>40737</v>
          </cell>
        </row>
        <row r="1191">
          <cell r="L1191">
            <v>40737</v>
          </cell>
        </row>
        <row r="1192">
          <cell r="L1192">
            <v>40737</v>
          </cell>
        </row>
        <row r="1193">
          <cell r="L1193">
            <v>40737</v>
          </cell>
        </row>
        <row r="1194">
          <cell r="L1194">
            <v>40737</v>
          </cell>
        </row>
        <row r="1195">
          <cell r="L1195">
            <v>40737</v>
          </cell>
        </row>
        <row r="1196">
          <cell r="L1196">
            <v>40737</v>
          </cell>
        </row>
        <row r="1197">
          <cell r="L1197">
            <v>40737</v>
          </cell>
        </row>
        <row r="1198">
          <cell r="L1198">
            <v>40737</v>
          </cell>
        </row>
        <row r="1199">
          <cell r="L1199">
            <v>40737</v>
          </cell>
        </row>
        <row r="1200">
          <cell r="L1200">
            <v>40737</v>
          </cell>
        </row>
        <row r="1201">
          <cell r="L1201">
            <v>40737</v>
          </cell>
        </row>
        <row r="1202">
          <cell r="L1202">
            <v>40737</v>
          </cell>
        </row>
        <row r="1203">
          <cell r="L1203">
            <v>40737</v>
          </cell>
        </row>
        <row r="1204">
          <cell r="L1204">
            <v>40737</v>
          </cell>
        </row>
        <row r="1205">
          <cell r="L1205">
            <v>40737</v>
          </cell>
        </row>
        <row r="1206">
          <cell r="L1206">
            <v>40737</v>
          </cell>
        </row>
        <row r="1207">
          <cell r="L1207">
            <v>40737</v>
          </cell>
        </row>
        <row r="1208">
          <cell r="L1208">
            <v>40737</v>
          </cell>
        </row>
        <row r="1209">
          <cell r="L1209">
            <v>40737</v>
          </cell>
        </row>
        <row r="1210">
          <cell r="L1210">
            <v>40737</v>
          </cell>
        </row>
        <row r="1211">
          <cell r="L1211">
            <v>40737</v>
          </cell>
        </row>
        <row r="1212">
          <cell r="L1212">
            <v>40737</v>
          </cell>
        </row>
        <row r="1213">
          <cell r="L1213">
            <v>40737</v>
          </cell>
        </row>
        <row r="1214">
          <cell r="L1214">
            <v>40737</v>
          </cell>
        </row>
        <row r="1215">
          <cell r="L1215">
            <v>40737</v>
          </cell>
        </row>
        <row r="1216">
          <cell r="L1216">
            <v>40737</v>
          </cell>
        </row>
        <row r="1217">
          <cell r="L1217">
            <v>40737</v>
          </cell>
        </row>
        <row r="1218">
          <cell r="L1218">
            <v>40737</v>
          </cell>
        </row>
        <row r="1219">
          <cell r="L1219">
            <v>40737</v>
          </cell>
        </row>
        <row r="1220">
          <cell r="L1220">
            <v>40737</v>
          </cell>
        </row>
        <row r="1221">
          <cell r="L1221">
            <v>40737</v>
          </cell>
        </row>
        <row r="1222">
          <cell r="L1222">
            <v>40737</v>
          </cell>
        </row>
        <row r="1223">
          <cell r="L1223">
            <v>40737</v>
          </cell>
        </row>
        <row r="1224">
          <cell r="L1224">
            <v>40737</v>
          </cell>
        </row>
        <row r="1225">
          <cell r="L1225">
            <v>40737</v>
          </cell>
        </row>
        <row r="1226">
          <cell r="L1226">
            <v>40737</v>
          </cell>
        </row>
        <row r="1227">
          <cell r="L1227">
            <v>40737</v>
          </cell>
        </row>
        <row r="1228">
          <cell r="L1228">
            <v>40737</v>
          </cell>
        </row>
        <row r="1229">
          <cell r="L1229">
            <v>40737</v>
          </cell>
        </row>
        <row r="1230">
          <cell r="L1230">
            <v>40737</v>
          </cell>
        </row>
        <row r="1231">
          <cell r="L1231">
            <v>40737</v>
          </cell>
        </row>
        <row r="1232">
          <cell r="L1232">
            <v>40737</v>
          </cell>
        </row>
        <row r="1233">
          <cell r="L1233">
            <v>40737</v>
          </cell>
        </row>
        <row r="1234">
          <cell r="L1234">
            <v>40737</v>
          </cell>
        </row>
        <row r="1235">
          <cell r="L1235">
            <v>40737</v>
          </cell>
        </row>
        <row r="1236">
          <cell r="L1236">
            <v>40737</v>
          </cell>
        </row>
        <row r="1237">
          <cell r="L1237">
            <v>40737</v>
          </cell>
        </row>
        <row r="1238">
          <cell r="L1238">
            <v>40737</v>
          </cell>
        </row>
        <row r="1239">
          <cell r="L1239">
            <v>40737</v>
          </cell>
        </row>
        <row r="1240">
          <cell r="L1240">
            <v>40737</v>
          </cell>
        </row>
        <row r="1241">
          <cell r="L1241">
            <v>40737</v>
          </cell>
        </row>
        <row r="1242">
          <cell r="L1242">
            <v>40737</v>
          </cell>
        </row>
        <row r="1243">
          <cell r="L1243">
            <v>40737</v>
          </cell>
        </row>
        <row r="1244">
          <cell r="L1244">
            <v>40737</v>
          </cell>
        </row>
        <row r="1245">
          <cell r="L1245">
            <v>40737</v>
          </cell>
        </row>
        <row r="1246">
          <cell r="L1246">
            <v>40737</v>
          </cell>
        </row>
        <row r="1247">
          <cell r="L1247">
            <v>40737</v>
          </cell>
        </row>
        <row r="1248">
          <cell r="L1248">
            <v>40737</v>
          </cell>
        </row>
        <row r="1249">
          <cell r="L1249">
            <v>40737</v>
          </cell>
        </row>
        <row r="1250">
          <cell r="L1250">
            <v>40737</v>
          </cell>
        </row>
        <row r="1251">
          <cell r="L1251">
            <v>40737</v>
          </cell>
        </row>
        <row r="1252">
          <cell r="L1252">
            <v>40738</v>
          </cell>
        </row>
        <row r="1253">
          <cell r="L1253">
            <v>40739</v>
          </cell>
        </row>
        <row r="1254">
          <cell r="L1254">
            <v>40739</v>
          </cell>
        </row>
        <row r="1255">
          <cell r="L1255">
            <v>40739</v>
          </cell>
        </row>
        <row r="1256">
          <cell r="L1256">
            <v>40739</v>
          </cell>
        </row>
        <row r="1257">
          <cell r="L1257">
            <v>40739</v>
          </cell>
        </row>
        <row r="1258">
          <cell r="L1258">
            <v>40739</v>
          </cell>
        </row>
        <row r="1259">
          <cell r="L1259">
            <v>40739</v>
          </cell>
        </row>
        <row r="1260">
          <cell r="L1260">
            <v>40739</v>
          </cell>
        </row>
        <row r="1261">
          <cell r="L1261">
            <v>40739</v>
          </cell>
        </row>
        <row r="1262">
          <cell r="L1262">
            <v>40739</v>
          </cell>
        </row>
        <row r="1263">
          <cell r="L1263">
            <v>40739</v>
          </cell>
        </row>
        <row r="1264">
          <cell r="L1264">
            <v>40739</v>
          </cell>
        </row>
        <row r="1265">
          <cell r="L1265">
            <v>40739</v>
          </cell>
        </row>
        <row r="1266">
          <cell r="L1266">
            <v>40739</v>
          </cell>
        </row>
        <row r="1267">
          <cell r="L1267">
            <v>40739</v>
          </cell>
        </row>
        <row r="1268">
          <cell r="L1268">
            <v>40739</v>
          </cell>
        </row>
        <row r="1269">
          <cell r="L1269">
            <v>40739</v>
          </cell>
        </row>
        <row r="1270">
          <cell r="L1270">
            <v>40739</v>
          </cell>
        </row>
        <row r="1271">
          <cell r="L1271">
            <v>40739</v>
          </cell>
        </row>
        <row r="1272">
          <cell r="L1272">
            <v>40739</v>
          </cell>
        </row>
        <row r="1273">
          <cell r="L1273">
            <v>40739</v>
          </cell>
        </row>
        <row r="1274">
          <cell r="L1274">
            <v>40739</v>
          </cell>
        </row>
        <row r="1275">
          <cell r="L1275">
            <v>40739</v>
          </cell>
        </row>
        <row r="1276">
          <cell r="L1276">
            <v>40739</v>
          </cell>
        </row>
        <row r="1277">
          <cell r="L1277">
            <v>40739</v>
          </cell>
        </row>
        <row r="1278">
          <cell r="L1278">
            <v>40739</v>
          </cell>
        </row>
        <row r="1279">
          <cell r="L1279">
            <v>40739</v>
          </cell>
        </row>
        <row r="1280">
          <cell r="L1280">
            <v>40739</v>
          </cell>
        </row>
        <row r="1281">
          <cell r="L1281">
            <v>40739</v>
          </cell>
        </row>
        <row r="1282">
          <cell r="L1282">
            <v>40739</v>
          </cell>
        </row>
        <row r="1283">
          <cell r="L1283">
            <v>40739</v>
          </cell>
        </row>
        <row r="1284">
          <cell r="L1284">
            <v>40739</v>
          </cell>
        </row>
        <row r="1285">
          <cell r="L1285">
            <v>40739</v>
          </cell>
        </row>
        <row r="1286">
          <cell r="L1286">
            <v>40739</v>
          </cell>
        </row>
        <row r="1287">
          <cell r="L1287">
            <v>40739</v>
          </cell>
        </row>
        <row r="1288">
          <cell r="L1288">
            <v>40739</v>
          </cell>
        </row>
        <row r="1289">
          <cell r="L1289">
            <v>40739</v>
          </cell>
        </row>
        <row r="1290">
          <cell r="L1290">
            <v>40739</v>
          </cell>
        </row>
        <row r="1291">
          <cell r="L1291">
            <v>40728</v>
          </cell>
        </row>
        <row r="1292">
          <cell r="L1292">
            <v>40728</v>
          </cell>
        </row>
        <row r="1293">
          <cell r="L1293">
            <v>40742</v>
          </cell>
        </row>
        <row r="1294">
          <cell r="L1294">
            <v>40742</v>
          </cell>
        </row>
        <row r="1295">
          <cell r="L1295">
            <v>40742</v>
          </cell>
        </row>
        <row r="1296">
          <cell r="L1296">
            <v>40742</v>
          </cell>
        </row>
        <row r="1297">
          <cell r="L1297">
            <v>40742</v>
          </cell>
        </row>
        <row r="1298">
          <cell r="L1298">
            <v>40742</v>
          </cell>
        </row>
        <row r="1299">
          <cell r="L1299">
            <v>40742</v>
          </cell>
        </row>
        <row r="1300">
          <cell r="L1300">
            <v>40742</v>
          </cell>
        </row>
        <row r="1301">
          <cell r="L1301">
            <v>40742</v>
          </cell>
        </row>
        <row r="1302">
          <cell r="L1302">
            <v>40742</v>
          </cell>
        </row>
        <row r="1303">
          <cell r="L1303">
            <v>40742</v>
          </cell>
        </row>
        <row r="1304">
          <cell r="L1304">
            <v>40742</v>
          </cell>
        </row>
        <row r="1305">
          <cell r="L1305">
            <v>40742</v>
          </cell>
        </row>
        <row r="1306">
          <cell r="L1306">
            <v>40742</v>
          </cell>
        </row>
        <row r="1307">
          <cell r="L1307">
            <v>40742</v>
          </cell>
        </row>
        <row r="1308">
          <cell r="L1308">
            <v>40742</v>
          </cell>
        </row>
        <row r="1309">
          <cell r="L1309">
            <v>40742</v>
          </cell>
        </row>
        <row r="1310">
          <cell r="L1310">
            <v>40742</v>
          </cell>
        </row>
        <row r="1311">
          <cell r="L1311">
            <v>40742</v>
          </cell>
        </row>
        <row r="1312">
          <cell r="L1312">
            <v>40742</v>
          </cell>
        </row>
        <row r="1313">
          <cell r="L1313">
            <v>40742</v>
          </cell>
        </row>
        <row r="1314">
          <cell r="L1314">
            <v>40742</v>
          </cell>
        </row>
        <row r="1315">
          <cell r="L1315">
            <v>40742</v>
          </cell>
        </row>
        <row r="1316">
          <cell r="L1316">
            <v>40742</v>
          </cell>
        </row>
        <row r="1317">
          <cell r="L1317">
            <v>40742</v>
          </cell>
        </row>
        <row r="1318">
          <cell r="L1318">
            <v>40742</v>
          </cell>
        </row>
        <row r="1319">
          <cell r="L1319">
            <v>40742</v>
          </cell>
        </row>
        <row r="1320">
          <cell r="L1320">
            <v>40742</v>
          </cell>
        </row>
        <row r="1321">
          <cell r="L1321">
            <v>40742</v>
          </cell>
        </row>
        <row r="1322">
          <cell r="L1322">
            <v>40742</v>
          </cell>
        </row>
        <row r="1323">
          <cell r="L1323">
            <v>40742</v>
          </cell>
        </row>
        <row r="1324">
          <cell r="L1324">
            <v>40742</v>
          </cell>
        </row>
        <row r="1325">
          <cell r="L1325">
            <v>40742</v>
          </cell>
        </row>
        <row r="1326">
          <cell r="L1326">
            <v>40742</v>
          </cell>
        </row>
        <row r="1327">
          <cell r="L1327">
            <v>40742</v>
          </cell>
        </row>
        <row r="1328">
          <cell r="L1328">
            <v>40742</v>
          </cell>
        </row>
        <row r="1329">
          <cell r="L1329">
            <v>40743</v>
          </cell>
        </row>
        <row r="1330">
          <cell r="L1330">
            <v>40743</v>
          </cell>
        </row>
        <row r="1331">
          <cell r="L1331">
            <v>40743</v>
          </cell>
        </row>
        <row r="1332">
          <cell r="L1332">
            <v>40743</v>
          </cell>
        </row>
        <row r="1333">
          <cell r="L1333">
            <v>40743</v>
          </cell>
        </row>
        <row r="1334">
          <cell r="L1334">
            <v>40743</v>
          </cell>
        </row>
        <row r="1335">
          <cell r="L1335">
            <v>40743</v>
          </cell>
        </row>
        <row r="1336">
          <cell r="L1336">
            <v>40743</v>
          </cell>
        </row>
        <row r="1337">
          <cell r="L1337">
            <v>40743</v>
          </cell>
        </row>
        <row r="1338">
          <cell r="L1338">
            <v>40743</v>
          </cell>
        </row>
        <row r="1339">
          <cell r="L1339">
            <v>40743</v>
          </cell>
        </row>
        <row r="1340">
          <cell r="L1340">
            <v>40743</v>
          </cell>
        </row>
        <row r="1341">
          <cell r="L1341">
            <v>40743</v>
          </cell>
        </row>
        <row r="1342">
          <cell r="L1342">
            <v>40743</v>
          </cell>
        </row>
        <row r="1343">
          <cell r="L1343">
            <v>40743</v>
          </cell>
        </row>
        <row r="1344">
          <cell r="L1344">
            <v>40743</v>
          </cell>
        </row>
        <row r="1345">
          <cell r="L1345">
            <v>40743</v>
          </cell>
        </row>
        <row r="1346">
          <cell r="L1346">
            <v>40743</v>
          </cell>
        </row>
        <row r="1347">
          <cell r="L1347">
            <v>40743</v>
          </cell>
        </row>
        <row r="1348">
          <cell r="L1348">
            <v>40743</v>
          </cell>
        </row>
        <row r="1349">
          <cell r="L1349">
            <v>40743</v>
          </cell>
        </row>
        <row r="1350">
          <cell r="L1350">
            <v>40743</v>
          </cell>
        </row>
        <row r="1351">
          <cell r="L1351">
            <v>40743</v>
          </cell>
        </row>
        <row r="1352">
          <cell r="L1352">
            <v>40743</v>
          </cell>
        </row>
        <row r="1353">
          <cell r="L1353">
            <v>40743</v>
          </cell>
        </row>
        <row r="1354">
          <cell r="L1354">
            <v>40743</v>
          </cell>
        </row>
        <row r="1355">
          <cell r="L1355">
            <v>40743</v>
          </cell>
        </row>
        <row r="1356">
          <cell r="L1356">
            <v>40743</v>
          </cell>
        </row>
        <row r="1357">
          <cell r="L1357">
            <v>40743</v>
          </cell>
        </row>
        <row r="1358">
          <cell r="L1358">
            <v>40743</v>
          </cell>
        </row>
        <row r="1359">
          <cell r="L1359">
            <v>40743</v>
          </cell>
        </row>
        <row r="1360">
          <cell r="L1360">
            <v>40743</v>
          </cell>
        </row>
        <row r="1361">
          <cell r="L1361">
            <v>40743</v>
          </cell>
        </row>
        <row r="1362">
          <cell r="L1362">
            <v>40743</v>
          </cell>
        </row>
        <row r="1363">
          <cell r="L1363">
            <v>40743</v>
          </cell>
        </row>
        <row r="1364">
          <cell r="L1364">
            <v>40743</v>
          </cell>
        </row>
        <row r="1365">
          <cell r="L1365">
            <v>40743</v>
          </cell>
        </row>
        <row r="1366">
          <cell r="L1366">
            <v>40743</v>
          </cell>
        </row>
        <row r="1367">
          <cell r="L1367">
            <v>40743</v>
          </cell>
        </row>
        <row r="1368">
          <cell r="L1368">
            <v>40743</v>
          </cell>
        </row>
        <row r="1369">
          <cell r="L1369">
            <v>40743</v>
          </cell>
        </row>
        <row r="1370">
          <cell r="L1370">
            <v>40743</v>
          </cell>
        </row>
        <row r="1371">
          <cell r="L1371">
            <v>40743</v>
          </cell>
        </row>
        <row r="1372">
          <cell r="L1372">
            <v>40743</v>
          </cell>
        </row>
        <row r="1373">
          <cell r="L1373">
            <v>40743</v>
          </cell>
        </row>
        <row r="1374">
          <cell r="L1374">
            <v>40743</v>
          </cell>
        </row>
        <row r="1375">
          <cell r="L1375">
            <v>40743</v>
          </cell>
        </row>
        <row r="1376">
          <cell r="L1376">
            <v>40743</v>
          </cell>
        </row>
        <row r="1377">
          <cell r="L1377">
            <v>40743</v>
          </cell>
        </row>
        <row r="1378">
          <cell r="L1378">
            <v>40743</v>
          </cell>
        </row>
        <row r="1379">
          <cell r="L1379">
            <v>40743</v>
          </cell>
        </row>
        <row r="1380">
          <cell r="L1380">
            <v>40743</v>
          </cell>
        </row>
        <row r="1381">
          <cell r="L1381">
            <v>40743</v>
          </cell>
        </row>
        <row r="1382">
          <cell r="L1382">
            <v>40743</v>
          </cell>
        </row>
        <row r="1383">
          <cell r="L1383">
            <v>40743</v>
          </cell>
        </row>
        <row r="1384">
          <cell r="L1384">
            <v>40743</v>
          </cell>
        </row>
        <row r="1385">
          <cell r="L1385">
            <v>40743</v>
          </cell>
        </row>
        <row r="1386">
          <cell r="L1386">
            <v>40743</v>
          </cell>
        </row>
        <row r="1387">
          <cell r="L1387">
            <v>40743</v>
          </cell>
        </row>
        <row r="1388">
          <cell r="L1388">
            <v>40743</v>
          </cell>
        </row>
        <row r="1389">
          <cell r="L1389">
            <v>40743</v>
          </cell>
        </row>
        <row r="1390">
          <cell r="L1390">
            <v>40743</v>
          </cell>
        </row>
        <row r="1391">
          <cell r="L1391">
            <v>40743</v>
          </cell>
        </row>
        <row r="1392">
          <cell r="L1392">
            <v>40743</v>
          </cell>
        </row>
        <row r="1393">
          <cell r="L1393">
            <v>40743</v>
          </cell>
        </row>
        <row r="1394">
          <cell r="L1394">
            <v>40744</v>
          </cell>
        </row>
        <row r="1395">
          <cell r="L1395">
            <v>40744</v>
          </cell>
        </row>
        <row r="1396">
          <cell r="L1396">
            <v>40744</v>
          </cell>
        </row>
        <row r="1397">
          <cell r="L1397">
            <v>40744</v>
          </cell>
        </row>
        <row r="1398">
          <cell r="L1398">
            <v>40744</v>
          </cell>
        </row>
        <row r="1399">
          <cell r="L1399">
            <v>40744</v>
          </cell>
        </row>
        <row r="1400">
          <cell r="L1400">
            <v>40745</v>
          </cell>
        </row>
        <row r="1401">
          <cell r="L1401">
            <v>40745</v>
          </cell>
        </row>
        <row r="1402">
          <cell r="L1402">
            <v>40745</v>
          </cell>
        </row>
        <row r="1403">
          <cell r="L1403">
            <v>40745</v>
          </cell>
        </row>
        <row r="1404">
          <cell r="L1404">
            <v>40745</v>
          </cell>
        </row>
        <row r="1405">
          <cell r="L1405">
            <v>40745</v>
          </cell>
        </row>
        <row r="1406">
          <cell r="L1406">
            <v>40745</v>
          </cell>
        </row>
        <row r="1407">
          <cell r="L1407">
            <v>40745</v>
          </cell>
        </row>
        <row r="1408">
          <cell r="L1408">
            <v>40745</v>
          </cell>
        </row>
        <row r="1409">
          <cell r="L1409">
            <v>40745</v>
          </cell>
        </row>
        <row r="1410">
          <cell r="L1410">
            <v>40745</v>
          </cell>
        </row>
        <row r="1411">
          <cell r="L1411">
            <v>40745</v>
          </cell>
        </row>
        <row r="1412">
          <cell r="L1412">
            <v>40745</v>
          </cell>
        </row>
        <row r="1413">
          <cell r="L1413">
            <v>40745</v>
          </cell>
        </row>
        <row r="1414">
          <cell r="L1414">
            <v>40745</v>
          </cell>
        </row>
        <row r="1415">
          <cell r="L1415">
            <v>40745</v>
          </cell>
        </row>
        <row r="1416">
          <cell r="L1416">
            <v>40745</v>
          </cell>
        </row>
        <row r="1417">
          <cell r="L1417">
            <v>40745</v>
          </cell>
        </row>
        <row r="1418">
          <cell r="L1418">
            <v>40746</v>
          </cell>
        </row>
        <row r="1419">
          <cell r="L1419">
            <v>40746</v>
          </cell>
        </row>
        <row r="1420">
          <cell r="L1420">
            <v>40746</v>
          </cell>
        </row>
        <row r="1421">
          <cell r="L1421">
            <v>40746</v>
          </cell>
        </row>
        <row r="1422">
          <cell r="L1422">
            <v>40746</v>
          </cell>
        </row>
        <row r="1423">
          <cell r="L1423">
            <v>40746</v>
          </cell>
        </row>
        <row r="1424">
          <cell r="L1424">
            <v>40746</v>
          </cell>
        </row>
        <row r="1425">
          <cell r="L1425">
            <v>40746</v>
          </cell>
        </row>
        <row r="1426">
          <cell r="L1426">
            <v>40746</v>
          </cell>
        </row>
        <row r="1427">
          <cell r="L1427">
            <v>40746</v>
          </cell>
        </row>
        <row r="1428">
          <cell r="L1428">
            <v>40746</v>
          </cell>
        </row>
        <row r="1429">
          <cell r="L1429">
            <v>40746</v>
          </cell>
        </row>
        <row r="1430">
          <cell r="L1430">
            <v>40746</v>
          </cell>
        </row>
        <row r="1431">
          <cell r="L1431">
            <v>40746</v>
          </cell>
        </row>
        <row r="1432">
          <cell r="L1432">
            <v>40746</v>
          </cell>
        </row>
        <row r="1433">
          <cell r="L1433">
            <v>40747</v>
          </cell>
        </row>
        <row r="1434">
          <cell r="L1434">
            <v>40749</v>
          </cell>
        </row>
        <row r="1435">
          <cell r="L1435">
            <v>40749</v>
          </cell>
        </row>
        <row r="1436">
          <cell r="L1436">
            <v>40749</v>
          </cell>
        </row>
        <row r="1437">
          <cell r="L1437">
            <v>40749</v>
          </cell>
        </row>
        <row r="1438">
          <cell r="L1438">
            <v>40749</v>
          </cell>
        </row>
        <row r="1439">
          <cell r="L1439">
            <v>40749</v>
          </cell>
        </row>
        <row r="1440">
          <cell r="L1440">
            <v>40749</v>
          </cell>
        </row>
        <row r="1441">
          <cell r="L1441">
            <v>40749</v>
          </cell>
        </row>
        <row r="1442">
          <cell r="L1442">
            <v>40749</v>
          </cell>
        </row>
        <row r="1443">
          <cell r="L1443">
            <v>40749</v>
          </cell>
        </row>
        <row r="1444">
          <cell r="L1444">
            <v>40749</v>
          </cell>
        </row>
        <row r="1445">
          <cell r="L1445">
            <v>40749</v>
          </cell>
        </row>
        <row r="1446">
          <cell r="L1446">
            <v>40749</v>
          </cell>
        </row>
        <row r="1447">
          <cell r="L1447">
            <v>40749</v>
          </cell>
        </row>
        <row r="1448">
          <cell r="L1448">
            <v>40749</v>
          </cell>
        </row>
        <row r="1449">
          <cell r="L1449">
            <v>40749</v>
          </cell>
        </row>
        <row r="1450">
          <cell r="L1450">
            <v>40749</v>
          </cell>
        </row>
        <row r="1451">
          <cell r="L1451">
            <v>40749</v>
          </cell>
        </row>
        <row r="1452">
          <cell r="L1452">
            <v>40749</v>
          </cell>
        </row>
        <row r="1453">
          <cell r="L1453">
            <v>40749</v>
          </cell>
        </row>
        <row r="1454">
          <cell r="L1454">
            <v>40749</v>
          </cell>
        </row>
        <row r="1455">
          <cell r="L1455">
            <v>40749</v>
          </cell>
        </row>
        <row r="1456">
          <cell r="L1456">
            <v>40749</v>
          </cell>
        </row>
        <row r="1457">
          <cell r="L1457">
            <v>40749</v>
          </cell>
        </row>
        <row r="1458">
          <cell r="L1458">
            <v>40749</v>
          </cell>
        </row>
        <row r="1459">
          <cell r="L1459">
            <v>40749</v>
          </cell>
        </row>
        <row r="1460">
          <cell r="L1460">
            <v>40749</v>
          </cell>
        </row>
        <row r="1461">
          <cell r="L1461">
            <v>40749</v>
          </cell>
        </row>
        <row r="1462">
          <cell r="L1462">
            <v>40749</v>
          </cell>
        </row>
        <row r="1463">
          <cell r="L1463">
            <v>40749</v>
          </cell>
        </row>
        <row r="1464">
          <cell r="L1464">
            <v>40749</v>
          </cell>
        </row>
        <row r="1465">
          <cell r="L1465">
            <v>40749</v>
          </cell>
        </row>
        <row r="1466">
          <cell r="L1466">
            <v>40749</v>
          </cell>
        </row>
        <row r="1467">
          <cell r="L1467">
            <v>40749</v>
          </cell>
        </row>
        <row r="1468">
          <cell r="L1468">
            <v>40749</v>
          </cell>
        </row>
        <row r="1469">
          <cell r="L1469">
            <v>40749</v>
          </cell>
        </row>
        <row r="1470">
          <cell r="L1470">
            <v>40749</v>
          </cell>
        </row>
        <row r="1471">
          <cell r="L1471">
            <v>40749</v>
          </cell>
        </row>
        <row r="1472">
          <cell r="L1472">
            <v>40749</v>
          </cell>
        </row>
        <row r="1473">
          <cell r="L1473">
            <v>40749</v>
          </cell>
        </row>
        <row r="1474">
          <cell r="L1474">
            <v>40749</v>
          </cell>
        </row>
        <row r="1475">
          <cell r="L1475">
            <v>40749</v>
          </cell>
        </row>
        <row r="1476">
          <cell r="L1476">
            <v>40749</v>
          </cell>
        </row>
        <row r="1477">
          <cell r="L1477">
            <v>40749</v>
          </cell>
        </row>
        <row r="1478">
          <cell r="L1478">
            <v>40749</v>
          </cell>
        </row>
        <row r="1479">
          <cell r="L1479">
            <v>40749</v>
          </cell>
        </row>
        <row r="1480">
          <cell r="L1480">
            <v>40749</v>
          </cell>
        </row>
        <row r="1481">
          <cell r="L1481">
            <v>40749</v>
          </cell>
        </row>
        <row r="1482">
          <cell r="L1482">
            <v>40749</v>
          </cell>
        </row>
        <row r="1483">
          <cell r="L1483">
            <v>40749</v>
          </cell>
        </row>
        <row r="1484">
          <cell r="L1484">
            <v>40749</v>
          </cell>
        </row>
        <row r="1485">
          <cell r="L1485">
            <v>40749</v>
          </cell>
        </row>
        <row r="1486">
          <cell r="L1486">
            <v>40749</v>
          </cell>
        </row>
        <row r="1487">
          <cell r="L1487">
            <v>40749</v>
          </cell>
        </row>
        <row r="1488">
          <cell r="L1488">
            <v>40749</v>
          </cell>
        </row>
        <row r="1489">
          <cell r="L1489">
            <v>40749</v>
          </cell>
        </row>
        <row r="1490">
          <cell r="L1490">
            <v>40749</v>
          </cell>
        </row>
        <row r="1491">
          <cell r="L1491">
            <v>40749</v>
          </cell>
        </row>
        <row r="1492">
          <cell r="L1492">
            <v>40749</v>
          </cell>
        </row>
        <row r="1493">
          <cell r="L1493">
            <v>40749</v>
          </cell>
        </row>
        <row r="1494">
          <cell r="L1494">
            <v>40749</v>
          </cell>
        </row>
        <row r="1495">
          <cell r="L1495">
            <v>40749</v>
          </cell>
        </row>
        <row r="1496">
          <cell r="L1496">
            <v>40749</v>
          </cell>
        </row>
        <row r="1497">
          <cell r="L1497">
            <v>40749</v>
          </cell>
        </row>
        <row r="1498">
          <cell r="L1498">
            <v>40749</v>
          </cell>
        </row>
        <row r="1499">
          <cell r="L1499">
            <v>40749</v>
          </cell>
        </row>
        <row r="1500">
          <cell r="L1500">
            <v>40749</v>
          </cell>
        </row>
        <row r="1501">
          <cell r="L1501">
            <v>40749</v>
          </cell>
        </row>
        <row r="1502">
          <cell r="L1502">
            <v>40749</v>
          </cell>
        </row>
        <row r="1503">
          <cell r="L1503">
            <v>40749</v>
          </cell>
        </row>
        <row r="1504">
          <cell r="L1504">
            <v>40749</v>
          </cell>
        </row>
        <row r="1505">
          <cell r="L1505">
            <v>40749</v>
          </cell>
        </row>
        <row r="1506">
          <cell r="L1506">
            <v>40749</v>
          </cell>
        </row>
        <row r="1507">
          <cell r="L1507">
            <v>40749</v>
          </cell>
        </row>
        <row r="1508">
          <cell r="L1508">
            <v>40749</v>
          </cell>
        </row>
        <row r="1509">
          <cell r="L1509">
            <v>40749</v>
          </cell>
        </row>
        <row r="1510">
          <cell r="L1510">
            <v>40749</v>
          </cell>
        </row>
        <row r="1511">
          <cell r="L1511">
            <v>40749</v>
          </cell>
        </row>
        <row r="1512">
          <cell r="L1512">
            <v>40749</v>
          </cell>
        </row>
        <row r="1513">
          <cell r="L1513">
            <v>40749</v>
          </cell>
        </row>
        <row r="1514">
          <cell r="L1514">
            <v>40749</v>
          </cell>
        </row>
        <row r="1515">
          <cell r="L1515">
            <v>40749</v>
          </cell>
        </row>
        <row r="1516">
          <cell r="L1516">
            <v>40750</v>
          </cell>
        </row>
        <row r="1517">
          <cell r="L1517">
            <v>40750</v>
          </cell>
        </row>
        <row r="1518">
          <cell r="L1518">
            <v>40750</v>
          </cell>
        </row>
        <row r="1519">
          <cell r="L1519">
            <v>40750</v>
          </cell>
        </row>
        <row r="1520">
          <cell r="L1520">
            <v>40750</v>
          </cell>
        </row>
        <row r="1521">
          <cell r="L1521">
            <v>40750</v>
          </cell>
        </row>
        <row r="1522">
          <cell r="L1522">
            <v>40750</v>
          </cell>
        </row>
        <row r="1523">
          <cell r="L1523">
            <v>40750</v>
          </cell>
        </row>
        <row r="1524">
          <cell r="L1524">
            <v>40750</v>
          </cell>
        </row>
        <row r="1525">
          <cell r="L1525">
            <v>40750</v>
          </cell>
        </row>
        <row r="1526">
          <cell r="L1526">
            <v>40750</v>
          </cell>
        </row>
        <row r="1527">
          <cell r="L1527">
            <v>40750</v>
          </cell>
        </row>
        <row r="1528">
          <cell r="L1528">
            <v>40750</v>
          </cell>
        </row>
        <row r="1529">
          <cell r="L1529">
            <v>40750</v>
          </cell>
        </row>
        <row r="1530">
          <cell r="L1530">
            <v>40750</v>
          </cell>
        </row>
        <row r="1531">
          <cell r="L1531">
            <v>40750</v>
          </cell>
        </row>
        <row r="1532">
          <cell r="L1532">
            <v>40750</v>
          </cell>
        </row>
        <row r="1533">
          <cell r="L1533">
            <v>40750</v>
          </cell>
        </row>
        <row r="1534">
          <cell r="L1534">
            <v>40750</v>
          </cell>
        </row>
        <row r="1535">
          <cell r="L1535">
            <v>40750</v>
          </cell>
        </row>
        <row r="1536">
          <cell r="L1536">
            <v>40750</v>
          </cell>
        </row>
        <row r="1537">
          <cell r="L1537">
            <v>40750</v>
          </cell>
        </row>
        <row r="1538">
          <cell r="L1538">
            <v>40750</v>
          </cell>
        </row>
        <row r="1539">
          <cell r="L1539">
            <v>40750</v>
          </cell>
        </row>
        <row r="1540">
          <cell r="L1540">
            <v>40750</v>
          </cell>
        </row>
        <row r="1541">
          <cell r="L1541">
            <v>40750</v>
          </cell>
        </row>
        <row r="1542">
          <cell r="L1542">
            <v>40750</v>
          </cell>
        </row>
        <row r="1543">
          <cell r="L1543">
            <v>40750</v>
          </cell>
        </row>
        <row r="1544">
          <cell r="L1544">
            <v>40750</v>
          </cell>
        </row>
        <row r="1545">
          <cell r="L1545">
            <v>40750</v>
          </cell>
        </row>
        <row r="1546">
          <cell r="L1546">
            <v>40750</v>
          </cell>
        </row>
        <row r="1547">
          <cell r="L1547">
            <v>40750</v>
          </cell>
        </row>
        <row r="1548">
          <cell r="L1548">
            <v>40750</v>
          </cell>
        </row>
        <row r="1549">
          <cell r="L1549">
            <v>40750</v>
          </cell>
        </row>
        <row r="1550">
          <cell r="L1550">
            <v>40750</v>
          </cell>
        </row>
        <row r="1551">
          <cell r="L1551">
            <v>40750</v>
          </cell>
        </row>
        <row r="1552">
          <cell r="L1552">
            <v>40750</v>
          </cell>
        </row>
        <row r="1553">
          <cell r="L1553">
            <v>40750</v>
          </cell>
        </row>
        <row r="1554">
          <cell r="L1554">
            <v>40750</v>
          </cell>
        </row>
        <row r="1555">
          <cell r="L1555">
            <v>40750</v>
          </cell>
        </row>
        <row r="1556">
          <cell r="L1556">
            <v>40750</v>
          </cell>
        </row>
        <row r="1557">
          <cell r="L1557">
            <v>40751</v>
          </cell>
        </row>
        <row r="1558">
          <cell r="L1558">
            <v>40751</v>
          </cell>
        </row>
        <row r="1559">
          <cell r="L1559">
            <v>40751</v>
          </cell>
        </row>
        <row r="1560">
          <cell r="L1560">
            <v>40751</v>
          </cell>
        </row>
        <row r="1561">
          <cell r="L1561">
            <v>40751</v>
          </cell>
        </row>
        <row r="1562">
          <cell r="L1562">
            <v>40751</v>
          </cell>
        </row>
        <row r="1563">
          <cell r="L1563">
            <v>40751</v>
          </cell>
        </row>
        <row r="1564">
          <cell r="L1564">
            <v>40751</v>
          </cell>
        </row>
        <row r="1565">
          <cell r="L1565">
            <v>40751</v>
          </cell>
        </row>
        <row r="1566">
          <cell r="L1566">
            <v>40751</v>
          </cell>
        </row>
        <row r="1567">
          <cell r="L1567">
            <v>40751</v>
          </cell>
        </row>
        <row r="1568">
          <cell r="L1568">
            <v>40751</v>
          </cell>
        </row>
        <row r="1569">
          <cell r="L1569">
            <v>40751</v>
          </cell>
        </row>
        <row r="1570">
          <cell r="L1570">
            <v>40751</v>
          </cell>
        </row>
        <row r="1571">
          <cell r="L1571">
            <v>40751</v>
          </cell>
        </row>
        <row r="1572">
          <cell r="L1572">
            <v>40751</v>
          </cell>
        </row>
        <row r="1573">
          <cell r="L1573">
            <v>40751</v>
          </cell>
        </row>
        <row r="1574">
          <cell r="L1574">
            <v>40751</v>
          </cell>
        </row>
        <row r="1575">
          <cell r="L1575">
            <v>40751</v>
          </cell>
        </row>
        <row r="1576">
          <cell r="L1576">
            <v>40751</v>
          </cell>
        </row>
        <row r="1577">
          <cell r="L1577">
            <v>40751</v>
          </cell>
        </row>
        <row r="1578">
          <cell r="L1578">
            <v>40751</v>
          </cell>
        </row>
        <row r="1579">
          <cell r="L1579">
            <v>40751</v>
          </cell>
        </row>
        <row r="1580">
          <cell r="L1580">
            <v>40751</v>
          </cell>
        </row>
        <row r="1581">
          <cell r="L1581">
            <v>40751</v>
          </cell>
        </row>
        <row r="1582">
          <cell r="L1582">
            <v>40751</v>
          </cell>
        </row>
        <row r="1583">
          <cell r="L1583">
            <v>40751</v>
          </cell>
        </row>
        <row r="1584">
          <cell r="L1584">
            <v>40751</v>
          </cell>
        </row>
        <row r="1585">
          <cell r="L1585">
            <v>40753</v>
          </cell>
        </row>
        <row r="1586">
          <cell r="L1586">
            <v>40753</v>
          </cell>
        </row>
        <row r="1587">
          <cell r="L1587">
            <v>40753</v>
          </cell>
        </row>
        <row r="1588">
          <cell r="L1588">
            <v>40753</v>
          </cell>
        </row>
        <row r="1589">
          <cell r="L1589">
            <v>40753</v>
          </cell>
        </row>
        <row r="1590">
          <cell r="L1590">
            <v>40753</v>
          </cell>
        </row>
        <row r="1591">
          <cell r="L1591">
            <v>40753</v>
          </cell>
        </row>
        <row r="1592">
          <cell r="L1592">
            <v>40753</v>
          </cell>
        </row>
        <row r="1593">
          <cell r="L1593">
            <v>40753</v>
          </cell>
        </row>
        <row r="1594">
          <cell r="L1594">
            <v>40753</v>
          </cell>
        </row>
        <row r="1595">
          <cell r="L1595">
            <v>40753</v>
          </cell>
        </row>
        <row r="1596">
          <cell r="L1596">
            <v>40753</v>
          </cell>
        </row>
        <row r="1597">
          <cell r="L1597">
            <v>40753</v>
          </cell>
        </row>
        <row r="1598">
          <cell r="L1598">
            <v>40753</v>
          </cell>
        </row>
        <row r="1599">
          <cell r="L1599">
            <v>40753</v>
          </cell>
        </row>
        <row r="1600">
          <cell r="L1600">
            <v>40753</v>
          </cell>
        </row>
        <row r="1601">
          <cell r="L1601">
            <v>40753</v>
          </cell>
        </row>
        <row r="1602">
          <cell r="L1602">
            <v>40753</v>
          </cell>
        </row>
        <row r="1603">
          <cell r="L1603">
            <v>40753</v>
          </cell>
        </row>
        <row r="1604">
          <cell r="L1604">
            <v>40753</v>
          </cell>
        </row>
        <row r="1605">
          <cell r="L1605">
            <v>40753</v>
          </cell>
        </row>
        <row r="1606">
          <cell r="L1606">
            <v>40753</v>
          </cell>
        </row>
        <row r="1607">
          <cell r="L1607">
            <v>40753</v>
          </cell>
        </row>
        <row r="1608">
          <cell r="L1608">
            <v>40753</v>
          </cell>
        </row>
        <row r="1609">
          <cell r="L1609">
            <v>40754</v>
          </cell>
        </row>
        <row r="1610">
          <cell r="L1610">
            <v>40755</v>
          </cell>
        </row>
        <row r="1611">
          <cell r="L1611">
            <v>40755</v>
          </cell>
        </row>
        <row r="1612">
          <cell r="L1612">
            <v>40755</v>
          </cell>
        </row>
        <row r="1613">
          <cell r="L1613">
            <v>40755</v>
          </cell>
        </row>
        <row r="1614">
          <cell r="L1614">
            <v>40755</v>
          </cell>
        </row>
        <row r="1615">
          <cell r="L1615">
            <v>40755</v>
          </cell>
        </row>
        <row r="1616">
          <cell r="L1616">
            <v>40746</v>
          </cell>
        </row>
        <row r="1617">
          <cell r="L1617">
            <v>40746</v>
          </cell>
        </row>
        <row r="1618">
          <cell r="L1618">
            <v>40725</v>
          </cell>
        </row>
        <row r="1619">
          <cell r="L1619">
            <v>40725</v>
          </cell>
        </row>
        <row r="1620">
          <cell r="L1620">
            <v>40725</v>
          </cell>
        </row>
        <row r="1621">
          <cell r="L1621">
            <v>40725</v>
          </cell>
        </row>
        <row r="1622">
          <cell r="L1622">
            <v>40725</v>
          </cell>
        </row>
        <row r="1623">
          <cell r="L1623">
            <v>40725</v>
          </cell>
        </row>
        <row r="1624">
          <cell r="L1624">
            <v>40725</v>
          </cell>
        </row>
        <row r="1625">
          <cell r="L1625">
            <v>40725</v>
          </cell>
        </row>
        <row r="1626">
          <cell r="L1626">
            <v>40725</v>
          </cell>
        </row>
        <row r="1627">
          <cell r="L1627">
            <v>40725</v>
          </cell>
        </row>
        <row r="1628">
          <cell r="L1628">
            <v>40725</v>
          </cell>
        </row>
        <row r="1629">
          <cell r="L1629">
            <v>40725</v>
          </cell>
        </row>
        <row r="1630">
          <cell r="L1630">
            <v>40725</v>
          </cell>
        </row>
        <row r="1631">
          <cell r="L1631">
            <v>40725</v>
          </cell>
        </row>
        <row r="1632">
          <cell r="L1632">
            <v>40725</v>
          </cell>
        </row>
        <row r="1633">
          <cell r="L1633">
            <v>40725</v>
          </cell>
        </row>
        <row r="1634">
          <cell r="L1634">
            <v>40725</v>
          </cell>
        </row>
        <row r="1635">
          <cell r="L1635">
            <v>40725</v>
          </cell>
        </row>
        <row r="1636">
          <cell r="L1636">
            <v>40725</v>
          </cell>
        </row>
        <row r="1637">
          <cell r="L1637">
            <v>40725</v>
          </cell>
        </row>
        <row r="1638">
          <cell r="L1638">
            <v>40725</v>
          </cell>
        </row>
        <row r="1639">
          <cell r="L1639">
            <v>40725</v>
          </cell>
        </row>
        <row r="1640">
          <cell r="L1640">
            <v>40725</v>
          </cell>
        </row>
        <row r="1641">
          <cell r="L1641">
            <v>40725</v>
          </cell>
        </row>
        <row r="1642">
          <cell r="L1642">
            <v>40725</v>
          </cell>
        </row>
        <row r="1643">
          <cell r="L1643">
            <v>40725</v>
          </cell>
        </row>
        <row r="1644">
          <cell r="L1644">
            <v>40725</v>
          </cell>
        </row>
        <row r="1645">
          <cell r="L1645">
            <v>40726</v>
          </cell>
        </row>
        <row r="1646">
          <cell r="L1646">
            <v>40726</v>
          </cell>
        </row>
        <row r="1647">
          <cell r="L1647">
            <v>40726</v>
          </cell>
        </row>
        <row r="1648">
          <cell r="L1648">
            <v>40726</v>
          </cell>
        </row>
        <row r="1649">
          <cell r="L1649">
            <v>40726</v>
          </cell>
        </row>
        <row r="1650">
          <cell r="L1650">
            <v>40726</v>
          </cell>
        </row>
        <row r="1651">
          <cell r="L1651">
            <v>40726</v>
          </cell>
        </row>
        <row r="1652">
          <cell r="L1652">
            <v>40726</v>
          </cell>
        </row>
        <row r="1653">
          <cell r="L1653">
            <v>40726</v>
          </cell>
        </row>
        <row r="1654">
          <cell r="L1654">
            <v>40726</v>
          </cell>
        </row>
        <row r="1655">
          <cell r="L1655">
            <v>40726</v>
          </cell>
        </row>
        <row r="1656">
          <cell r="L1656">
            <v>40726</v>
          </cell>
        </row>
        <row r="1657">
          <cell r="L1657">
            <v>40726</v>
          </cell>
        </row>
        <row r="1658">
          <cell r="L1658">
            <v>40726</v>
          </cell>
        </row>
        <row r="1659">
          <cell r="L1659">
            <v>40726</v>
          </cell>
        </row>
        <row r="1660">
          <cell r="L1660">
            <v>40726</v>
          </cell>
        </row>
        <row r="1661">
          <cell r="L1661">
            <v>40726</v>
          </cell>
        </row>
        <row r="1662">
          <cell r="L1662">
            <v>40726</v>
          </cell>
        </row>
        <row r="1663">
          <cell r="L1663">
            <v>40726</v>
          </cell>
        </row>
        <row r="1664">
          <cell r="L1664">
            <v>40726</v>
          </cell>
        </row>
        <row r="1665">
          <cell r="L1665">
            <v>40726</v>
          </cell>
        </row>
        <row r="1666">
          <cell r="L1666">
            <v>40726</v>
          </cell>
        </row>
        <row r="1667">
          <cell r="L1667">
            <v>40726</v>
          </cell>
        </row>
        <row r="1668">
          <cell r="L1668">
            <v>40726</v>
          </cell>
        </row>
        <row r="1669">
          <cell r="L1669">
            <v>40726</v>
          </cell>
        </row>
        <row r="1670">
          <cell r="L1670">
            <v>40728</v>
          </cell>
        </row>
        <row r="1671">
          <cell r="L1671">
            <v>40728</v>
          </cell>
        </row>
        <row r="1672">
          <cell r="L1672">
            <v>40728</v>
          </cell>
        </row>
        <row r="1673">
          <cell r="L1673">
            <v>40728</v>
          </cell>
        </row>
        <row r="1674">
          <cell r="L1674">
            <v>40728</v>
          </cell>
        </row>
        <row r="1675">
          <cell r="L1675">
            <v>40728</v>
          </cell>
        </row>
        <row r="1676">
          <cell r="L1676">
            <v>40728</v>
          </cell>
        </row>
        <row r="1677">
          <cell r="L1677">
            <v>40728</v>
          </cell>
        </row>
        <row r="1678">
          <cell r="L1678">
            <v>40728</v>
          </cell>
        </row>
        <row r="1679">
          <cell r="L1679">
            <v>40728</v>
          </cell>
        </row>
        <row r="1680">
          <cell r="L1680">
            <v>40728</v>
          </cell>
        </row>
        <row r="1681">
          <cell r="L1681">
            <v>40728</v>
          </cell>
        </row>
        <row r="1682">
          <cell r="L1682">
            <v>40728</v>
          </cell>
        </row>
        <row r="1683">
          <cell r="L1683">
            <v>40728</v>
          </cell>
        </row>
        <row r="1684">
          <cell r="L1684">
            <v>40728</v>
          </cell>
        </row>
        <row r="1685">
          <cell r="L1685">
            <v>40728</v>
          </cell>
        </row>
        <row r="1686">
          <cell r="L1686">
            <v>40728</v>
          </cell>
        </row>
        <row r="1687">
          <cell r="L1687">
            <v>40728</v>
          </cell>
        </row>
        <row r="1688">
          <cell r="L1688">
            <v>40728</v>
          </cell>
        </row>
        <row r="1689">
          <cell r="L1689">
            <v>40728</v>
          </cell>
        </row>
        <row r="1690">
          <cell r="L1690">
            <v>40728</v>
          </cell>
        </row>
        <row r="1691">
          <cell r="L1691">
            <v>40728</v>
          </cell>
        </row>
        <row r="1692">
          <cell r="L1692">
            <v>40728</v>
          </cell>
        </row>
        <row r="1693">
          <cell r="L1693">
            <v>40728</v>
          </cell>
        </row>
        <row r="1694">
          <cell r="L1694">
            <v>40728</v>
          </cell>
        </row>
        <row r="1695">
          <cell r="L1695">
            <v>40728</v>
          </cell>
        </row>
        <row r="1696">
          <cell r="L1696">
            <v>40728</v>
          </cell>
        </row>
        <row r="1697">
          <cell r="L1697">
            <v>40728</v>
          </cell>
        </row>
        <row r="1698">
          <cell r="L1698">
            <v>40728</v>
          </cell>
        </row>
        <row r="1699">
          <cell r="L1699">
            <v>40728</v>
          </cell>
        </row>
        <row r="1700">
          <cell r="L1700">
            <v>40728</v>
          </cell>
        </row>
        <row r="1701">
          <cell r="L1701">
            <v>40728</v>
          </cell>
        </row>
        <row r="1702">
          <cell r="L1702">
            <v>40728</v>
          </cell>
        </row>
        <row r="1703">
          <cell r="L1703">
            <v>40728</v>
          </cell>
        </row>
        <row r="1704">
          <cell r="L1704">
            <v>40728</v>
          </cell>
        </row>
        <row r="1705">
          <cell r="L1705">
            <v>40728</v>
          </cell>
        </row>
        <row r="1706">
          <cell r="L1706">
            <v>40728</v>
          </cell>
        </row>
        <row r="1707">
          <cell r="L1707">
            <v>40728</v>
          </cell>
        </row>
        <row r="1708">
          <cell r="L1708">
            <v>40728</v>
          </cell>
        </row>
        <row r="1709">
          <cell r="L1709">
            <v>40728</v>
          </cell>
        </row>
        <row r="1710">
          <cell r="L1710">
            <v>40728</v>
          </cell>
        </row>
        <row r="1711">
          <cell r="L1711">
            <v>40728</v>
          </cell>
        </row>
        <row r="1712">
          <cell r="L1712">
            <v>40728</v>
          </cell>
        </row>
        <row r="1713">
          <cell r="L1713">
            <v>40728</v>
          </cell>
        </row>
        <row r="1714">
          <cell r="L1714">
            <v>40728</v>
          </cell>
        </row>
        <row r="1715">
          <cell r="L1715">
            <v>40728</v>
          </cell>
        </row>
        <row r="1716">
          <cell r="L1716">
            <v>40728</v>
          </cell>
        </row>
        <row r="1717">
          <cell r="L1717">
            <v>40728</v>
          </cell>
        </row>
        <row r="1718">
          <cell r="L1718">
            <v>40728</v>
          </cell>
        </row>
        <row r="1719">
          <cell r="L1719">
            <v>40728</v>
          </cell>
        </row>
        <row r="1720">
          <cell r="L1720">
            <v>40728</v>
          </cell>
        </row>
        <row r="1721">
          <cell r="L1721">
            <v>40728</v>
          </cell>
        </row>
        <row r="1722">
          <cell r="L1722">
            <v>40728</v>
          </cell>
        </row>
        <row r="1723">
          <cell r="L1723">
            <v>40728</v>
          </cell>
        </row>
        <row r="1724">
          <cell r="L1724">
            <v>40728</v>
          </cell>
        </row>
        <row r="1725">
          <cell r="L1725">
            <v>40728</v>
          </cell>
        </row>
        <row r="1726">
          <cell r="L1726">
            <v>40728</v>
          </cell>
        </row>
        <row r="1727">
          <cell r="L1727">
            <v>40728</v>
          </cell>
        </row>
        <row r="1728">
          <cell r="L1728">
            <v>40728</v>
          </cell>
        </row>
        <row r="1729">
          <cell r="L1729">
            <v>40728</v>
          </cell>
        </row>
        <row r="1730">
          <cell r="L1730">
            <v>40728</v>
          </cell>
        </row>
        <row r="1731">
          <cell r="L1731">
            <v>40728</v>
          </cell>
        </row>
        <row r="1732">
          <cell r="L1732">
            <v>40728</v>
          </cell>
        </row>
        <row r="1733">
          <cell r="L1733">
            <v>40728</v>
          </cell>
        </row>
        <row r="1734">
          <cell r="L1734">
            <v>40728</v>
          </cell>
        </row>
        <row r="1735">
          <cell r="L1735">
            <v>40728</v>
          </cell>
        </row>
        <row r="1736">
          <cell r="L1736">
            <v>40728</v>
          </cell>
        </row>
        <row r="1737">
          <cell r="L1737">
            <v>40728</v>
          </cell>
        </row>
        <row r="1738">
          <cell r="L1738">
            <v>40728</v>
          </cell>
        </row>
        <row r="1739">
          <cell r="L1739">
            <v>40728</v>
          </cell>
        </row>
        <row r="1740">
          <cell r="L1740">
            <v>40728</v>
          </cell>
        </row>
        <row r="1741">
          <cell r="L1741">
            <v>40728</v>
          </cell>
        </row>
        <row r="1742">
          <cell r="L1742">
            <v>40728</v>
          </cell>
        </row>
        <row r="1743">
          <cell r="L1743">
            <v>40728</v>
          </cell>
        </row>
        <row r="1744">
          <cell r="L1744">
            <v>40728</v>
          </cell>
        </row>
        <row r="1745">
          <cell r="L1745">
            <v>40728</v>
          </cell>
        </row>
        <row r="1746">
          <cell r="L1746">
            <v>40728</v>
          </cell>
        </row>
        <row r="1747">
          <cell r="L1747">
            <v>40728</v>
          </cell>
        </row>
        <row r="1748">
          <cell r="L1748">
            <v>40728</v>
          </cell>
        </row>
        <row r="1749">
          <cell r="L1749">
            <v>40728</v>
          </cell>
        </row>
        <row r="1750">
          <cell r="L1750">
            <v>40728</v>
          </cell>
        </row>
        <row r="1751">
          <cell r="L1751">
            <v>40728</v>
          </cell>
        </row>
        <row r="1752">
          <cell r="L1752">
            <v>40728</v>
          </cell>
        </row>
        <row r="1753">
          <cell r="L1753">
            <v>40728</v>
          </cell>
        </row>
        <row r="1754">
          <cell r="L1754">
            <v>40728</v>
          </cell>
        </row>
        <row r="1755">
          <cell r="L1755">
            <v>40728</v>
          </cell>
        </row>
        <row r="1756">
          <cell r="L1756">
            <v>40728</v>
          </cell>
        </row>
        <row r="1757">
          <cell r="L1757">
            <v>40728</v>
          </cell>
        </row>
        <row r="1758">
          <cell r="L1758">
            <v>40728</v>
          </cell>
        </row>
        <row r="1759">
          <cell r="L1759">
            <v>40728</v>
          </cell>
        </row>
        <row r="1760">
          <cell r="L1760">
            <v>40728</v>
          </cell>
        </row>
        <row r="1761">
          <cell r="L1761">
            <v>40728</v>
          </cell>
        </row>
        <row r="1762">
          <cell r="L1762">
            <v>40728</v>
          </cell>
        </row>
        <row r="1763">
          <cell r="L1763">
            <v>40728</v>
          </cell>
        </row>
        <row r="1764">
          <cell r="L1764">
            <v>40728</v>
          </cell>
        </row>
        <row r="1765">
          <cell r="L1765">
            <v>40728</v>
          </cell>
        </row>
        <row r="1766">
          <cell r="L1766">
            <v>40728</v>
          </cell>
        </row>
        <row r="1767">
          <cell r="L1767">
            <v>40728</v>
          </cell>
        </row>
        <row r="1768">
          <cell r="L1768">
            <v>40728</v>
          </cell>
        </row>
        <row r="1769">
          <cell r="L1769">
            <v>40728</v>
          </cell>
        </row>
        <row r="1770">
          <cell r="L1770">
            <v>40728</v>
          </cell>
        </row>
        <row r="1771">
          <cell r="L1771">
            <v>40728</v>
          </cell>
        </row>
        <row r="1772">
          <cell r="L1772">
            <v>40728</v>
          </cell>
        </row>
        <row r="1773">
          <cell r="L1773">
            <v>40728</v>
          </cell>
        </row>
        <row r="1774">
          <cell r="L1774">
            <v>40728</v>
          </cell>
        </row>
        <row r="1775">
          <cell r="L1775">
            <v>40728</v>
          </cell>
        </row>
        <row r="1776">
          <cell r="L1776">
            <v>40728</v>
          </cell>
        </row>
        <row r="1777">
          <cell r="L1777">
            <v>40728</v>
          </cell>
        </row>
        <row r="1778">
          <cell r="L1778">
            <v>40728</v>
          </cell>
        </row>
        <row r="1779">
          <cell r="L1779">
            <v>40728</v>
          </cell>
        </row>
        <row r="1780">
          <cell r="L1780">
            <v>40728</v>
          </cell>
        </row>
        <row r="1781">
          <cell r="L1781">
            <v>40728</v>
          </cell>
        </row>
        <row r="1782">
          <cell r="L1782">
            <v>40728</v>
          </cell>
        </row>
        <row r="1783">
          <cell r="L1783">
            <v>40728</v>
          </cell>
        </row>
        <row r="1784">
          <cell r="L1784">
            <v>40728</v>
          </cell>
        </row>
        <row r="1785">
          <cell r="L1785">
            <v>40728</v>
          </cell>
        </row>
        <row r="1786">
          <cell r="L1786">
            <v>40728</v>
          </cell>
        </row>
        <row r="1787">
          <cell r="L1787">
            <v>40728</v>
          </cell>
        </row>
        <row r="1788">
          <cell r="L1788">
            <v>40728</v>
          </cell>
        </row>
        <row r="1789">
          <cell r="L1789">
            <v>40728</v>
          </cell>
        </row>
        <row r="1790">
          <cell r="L1790">
            <v>40728</v>
          </cell>
        </row>
        <row r="1791">
          <cell r="L1791">
            <v>40728</v>
          </cell>
        </row>
        <row r="1792">
          <cell r="L1792">
            <v>40728</v>
          </cell>
        </row>
        <row r="1793">
          <cell r="L1793">
            <v>40728</v>
          </cell>
        </row>
        <row r="1794">
          <cell r="L1794">
            <v>40728</v>
          </cell>
        </row>
        <row r="1795">
          <cell r="L1795">
            <v>40728</v>
          </cell>
        </row>
        <row r="1796">
          <cell r="L1796">
            <v>40728</v>
          </cell>
        </row>
        <row r="1797">
          <cell r="L1797">
            <v>40728</v>
          </cell>
        </row>
        <row r="1798">
          <cell r="L1798">
            <v>40728</v>
          </cell>
        </row>
        <row r="1799">
          <cell r="L1799">
            <v>40728</v>
          </cell>
        </row>
        <row r="1800">
          <cell r="L1800">
            <v>40728</v>
          </cell>
        </row>
        <row r="1801">
          <cell r="L1801">
            <v>40728</v>
          </cell>
        </row>
        <row r="1802">
          <cell r="L1802">
            <v>40728</v>
          </cell>
        </row>
        <row r="1803">
          <cell r="L1803">
            <v>40728</v>
          </cell>
        </row>
        <row r="1804">
          <cell r="L1804">
            <v>40728</v>
          </cell>
        </row>
        <row r="1805">
          <cell r="L1805">
            <v>40728</v>
          </cell>
        </row>
        <row r="1806">
          <cell r="L1806">
            <v>40728</v>
          </cell>
        </row>
        <row r="1807">
          <cell r="L1807">
            <v>40728</v>
          </cell>
        </row>
        <row r="1808">
          <cell r="L1808">
            <v>40728</v>
          </cell>
        </row>
        <row r="1809">
          <cell r="L1809">
            <v>40728</v>
          </cell>
        </row>
        <row r="1810">
          <cell r="L1810">
            <v>40728</v>
          </cell>
        </row>
        <row r="1811">
          <cell r="L1811">
            <v>40728</v>
          </cell>
        </row>
        <row r="1812">
          <cell r="L1812">
            <v>40728</v>
          </cell>
        </row>
        <row r="1813">
          <cell r="L1813">
            <v>40728</v>
          </cell>
        </row>
        <row r="1814">
          <cell r="L1814">
            <v>40728</v>
          </cell>
        </row>
        <row r="1815">
          <cell r="L1815">
            <v>40728</v>
          </cell>
        </row>
        <row r="1816">
          <cell r="L1816">
            <v>40728</v>
          </cell>
        </row>
        <row r="1817">
          <cell r="L1817">
            <v>40728</v>
          </cell>
        </row>
        <row r="1818">
          <cell r="L1818">
            <v>40728</v>
          </cell>
        </row>
        <row r="1819">
          <cell r="L1819">
            <v>40728</v>
          </cell>
        </row>
        <row r="1820">
          <cell r="L1820">
            <v>40728</v>
          </cell>
        </row>
        <row r="1821">
          <cell r="L1821">
            <v>40728</v>
          </cell>
        </row>
        <row r="1822">
          <cell r="L1822">
            <v>40728</v>
          </cell>
        </row>
        <row r="1823">
          <cell r="L1823">
            <v>40728</v>
          </cell>
        </row>
        <row r="1824">
          <cell r="L1824">
            <v>40728</v>
          </cell>
        </row>
        <row r="1825">
          <cell r="L1825">
            <v>40728</v>
          </cell>
        </row>
        <row r="1826">
          <cell r="L1826">
            <v>40728</v>
          </cell>
        </row>
        <row r="1827">
          <cell r="L1827">
            <v>40729</v>
          </cell>
        </row>
        <row r="1828">
          <cell r="L1828">
            <v>40729</v>
          </cell>
        </row>
        <row r="1829">
          <cell r="L1829">
            <v>40729</v>
          </cell>
        </row>
        <row r="1830">
          <cell r="L1830">
            <v>40729</v>
          </cell>
        </row>
        <row r="1831">
          <cell r="L1831">
            <v>40729</v>
          </cell>
        </row>
        <row r="1832">
          <cell r="L1832">
            <v>40729</v>
          </cell>
        </row>
        <row r="1833">
          <cell r="L1833">
            <v>40729</v>
          </cell>
        </row>
        <row r="1834">
          <cell r="L1834">
            <v>40729</v>
          </cell>
        </row>
        <row r="1835">
          <cell r="L1835">
            <v>40729</v>
          </cell>
        </row>
        <row r="1836">
          <cell r="L1836">
            <v>40729</v>
          </cell>
        </row>
        <row r="1837">
          <cell r="L1837">
            <v>40729</v>
          </cell>
        </row>
        <row r="1838">
          <cell r="L1838">
            <v>40729</v>
          </cell>
        </row>
        <row r="1839">
          <cell r="L1839">
            <v>40729</v>
          </cell>
        </row>
        <row r="1840">
          <cell r="L1840">
            <v>40729</v>
          </cell>
        </row>
        <row r="1841">
          <cell r="L1841">
            <v>40729</v>
          </cell>
        </row>
        <row r="1842">
          <cell r="L1842">
            <v>40729</v>
          </cell>
        </row>
        <row r="1843">
          <cell r="L1843">
            <v>40729</v>
          </cell>
        </row>
        <row r="1844">
          <cell r="L1844">
            <v>40729</v>
          </cell>
        </row>
        <row r="1845">
          <cell r="L1845">
            <v>40729</v>
          </cell>
        </row>
        <row r="1846">
          <cell r="L1846">
            <v>40729</v>
          </cell>
        </row>
        <row r="1847">
          <cell r="L1847">
            <v>40729</v>
          </cell>
        </row>
        <row r="1848">
          <cell r="L1848">
            <v>40729</v>
          </cell>
        </row>
        <row r="1849">
          <cell r="L1849">
            <v>40729</v>
          </cell>
        </row>
        <row r="1850">
          <cell r="L1850">
            <v>40729</v>
          </cell>
        </row>
        <row r="1851">
          <cell r="L1851">
            <v>40729</v>
          </cell>
        </row>
        <row r="1852">
          <cell r="L1852">
            <v>40729</v>
          </cell>
        </row>
        <row r="1853">
          <cell r="L1853">
            <v>40729</v>
          </cell>
        </row>
        <row r="1854">
          <cell r="L1854">
            <v>40729</v>
          </cell>
        </row>
        <row r="1855">
          <cell r="L1855">
            <v>40729</v>
          </cell>
        </row>
        <row r="1856">
          <cell r="L1856">
            <v>40729</v>
          </cell>
        </row>
        <row r="1857">
          <cell r="L1857">
            <v>40729</v>
          </cell>
        </row>
        <row r="1858">
          <cell r="L1858">
            <v>40729</v>
          </cell>
        </row>
        <row r="1859">
          <cell r="L1859">
            <v>40729</v>
          </cell>
        </row>
        <row r="1860">
          <cell r="L1860">
            <v>40729</v>
          </cell>
        </row>
        <row r="1861">
          <cell r="L1861">
            <v>40729</v>
          </cell>
        </row>
        <row r="1862">
          <cell r="L1862">
            <v>40729</v>
          </cell>
        </row>
        <row r="1863">
          <cell r="L1863">
            <v>40729</v>
          </cell>
        </row>
        <row r="1864">
          <cell r="L1864">
            <v>40729</v>
          </cell>
        </row>
        <row r="1865">
          <cell r="L1865">
            <v>40729</v>
          </cell>
        </row>
        <row r="1866">
          <cell r="L1866">
            <v>40729</v>
          </cell>
        </row>
        <row r="1867">
          <cell r="L1867">
            <v>40729</v>
          </cell>
        </row>
        <row r="1868">
          <cell r="L1868">
            <v>40729</v>
          </cell>
        </row>
        <row r="1869">
          <cell r="L1869">
            <v>40729</v>
          </cell>
        </row>
        <row r="1870">
          <cell r="L1870">
            <v>40729</v>
          </cell>
        </row>
        <row r="1871">
          <cell r="L1871">
            <v>40729</v>
          </cell>
        </row>
        <row r="1872">
          <cell r="L1872">
            <v>40729</v>
          </cell>
        </row>
        <row r="1873">
          <cell r="L1873">
            <v>40729</v>
          </cell>
        </row>
        <row r="1874">
          <cell r="L1874">
            <v>40729</v>
          </cell>
        </row>
        <row r="1875">
          <cell r="L1875">
            <v>40729</v>
          </cell>
        </row>
        <row r="1876">
          <cell r="L1876">
            <v>40730</v>
          </cell>
        </row>
        <row r="1877">
          <cell r="L1877">
            <v>40730</v>
          </cell>
        </row>
        <row r="1878">
          <cell r="L1878">
            <v>40730</v>
          </cell>
        </row>
        <row r="1879">
          <cell r="L1879">
            <v>40730</v>
          </cell>
        </row>
        <row r="1880">
          <cell r="L1880">
            <v>40730</v>
          </cell>
        </row>
        <row r="1881">
          <cell r="L1881">
            <v>40730</v>
          </cell>
        </row>
        <row r="1882">
          <cell r="L1882">
            <v>40730</v>
          </cell>
        </row>
        <row r="1883">
          <cell r="L1883">
            <v>40730</v>
          </cell>
        </row>
        <row r="1884">
          <cell r="L1884">
            <v>40730</v>
          </cell>
        </row>
        <row r="1885">
          <cell r="L1885">
            <v>40730</v>
          </cell>
        </row>
        <row r="1886">
          <cell r="L1886">
            <v>40730</v>
          </cell>
        </row>
        <row r="1887">
          <cell r="L1887">
            <v>40730</v>
          </cell>
        </row>
        <row r="1888">
          <cell r="L1888">
            <v>40730</v>
          </cell>
        </row>
        <row r="1889">
          <cell r="L1889">
            <v>40730</v>
          </cell>
        </row>
        <row r="1890">
          <cell r="L1890">
            <v>40730</v>
          </cell>
        </row>
        <row r="1891">
          <cell r="L1891">
            <v>40730</v>
          </cell>
        </row>
        <row r="1892">
          <cell r="L1892">
            <v>40730</v>
          </cell>
        </row>
        <row r="1893">
          <cell r="L1893">
            <v>40730</v>
          </cell>
        </row>
        <row r="1894">
          <cell r="L1894">
            <v>40730</v>
          </cell>
        </row>
        <row r="1895">
          <cell r="L1895">
            <v>40730</v>
          </cell>
        </row>
        <row r="1896">
          <cell r="L1896">
            <v>40730</v>
          </cell>
        </row>
        <row r="1897">
          <cell r="L1897">
            <v>40730</v>
          </cell>
        </row>
        <row r="1898">
          <cell r="L1898">
            <v>40730</v>
          </cell>
        </row>
        <row r="1899">
          <cell r="L1899">
            <v>40730</v>
          </cell>
        </row>
        <row r="1900">
          <cell r="L1900">
            <v>40730</v>
          </cell>
        </row>
        <row r="1901">
          <cell r="L1901">
            <v>40730</v>
          </cell>
        </row>
        <row r="1902">
          <cell r="L1902">
            <v>40730</v>
          </cell>
        </row>
        <row r="1903">
          <cell r="L1903">
            <v>40730</v>
          </cell>
        </row>
        <row r="1904">
          <cell r="L1904">
            <v>40730</v>
          </cell>
        </row>
        <row r="1905">
          <cell r="L1905">
            <v>40730</v>
          </cell>
        </row>
        <row r="1906">
          <cell r="L1906">
            <v>40730</v>
          </cell>
        </row>
        <row r="1907">
          <cell r="L1907">
            <v>40730</v>
          </cell>
        </row>
        <row r="1908">
          <cell r="L1908">
            <v>40730</v>
          </cell>
        </row>
        <row r="1909">
          <cell r="L1909">
            <v>40730</v>
          </cell>
        </row>
        <row r="1910">
          <cell r="L1910">
            <v>40730</v>
          </cell>
        </row>
        <row r="1911">
          <cell r="L1911">
            <v>40730</v>
          </cell>
        </row>
        <row r="1912">
          <cell r="L1912">
            <v>40730</v>
          </cell>
        </row>
        <row r="1913">
          <cell r="L1913">
            <v>40730</v>
          </cell>
        </row>
        <row r="1914">
          <cell r="L1914">
            <v>40730</v>
          </cell>
        </row>
        <row r="1915">
          <cell r="L1915">
            <v>40730</v>
          </cell>
        </row>
        <row r="1916">
          <cell r="L1916">
            <v>40730</v>
          </cell>
        </row>
        <row r="1917">
          <cell r="L1917">
            <v>40730</v>
          </cell>
        </row>
        <row r="1918">
          <cell r="L1918">
            <v>40730</v>
          </cell>
        </row>
        <row r="1919">
          <cell r="L1919">
            <v>40730</v>
          </cell>
        </row>
        <row r="1920">
          <cell r="L1920">
            <v>40730</v>
          </cell>
        </row>
        <row r="1921">
          <cell r="L1921">
            <v>40730</v>
          </cell>
        </row>
        <row r="1922">
          <cell r="L1922">
            <v>40730</v>
          </cell>
        </row>
        <row r="1923">
          <cell r="L1923">
            <v>40730</v>
          </cell>
        </row>
        <row r="1924">
          <cell r="L1924">
            <v>40730</v>
          </cell>
        </row>
        <row r="1925">
          <cell r="L1925">
            <v>40730</v>
          </cell>
        </row>
        <row r="1926">
          <cell r="L1926">
            <v>40730</v>
          </cell>
        </row>
        <row r="1927">
          <cell r="L1927">
            <v>40730</v>
          </cell>
        </row>
        <row r="1928">
          <cell r="L1928">
            <v>40730</v>
          </cell>
        </row>
        <row r="1929">
          <cell r="L1929">
            <v>40730</v>
          </cell>
        </row>
        <row r="1930">
          <cell r="L1930">
            <v>40730</v>
          </cell>
        </row>
        <row r="1931">
          <cell r="L1931">
            <v>40730</v>
          </cell>
        </row>
        <row r="1932">
          <cell r="L1932">
            <v>40730</v>
          </cell>
        </row>
        <row r="1933">
          <cell r="L1933">
            <v>40730</v>
          </cell>
        </row>
        <row r="1934">
          <cell r="L1934">
            <v>40730</v>
          </cell>
        </row>
        <row r="1935">
          <cell r="L1935">
            <v>40730</v>
          </cell>
        </row>
        <row r="1936">
          <cell r="L1936">
            <v>40730</v>
          </cell>
        </row>
        <row r="1937">
          <cell r="L1937">
            <v>40730</v>
          </cell>
        </row>
        <row r="1938">
          <cell r="L1938">
            <v>40730</v>
          </cell>
        </row>
        <row r="1939">
          <cell r="L1939">
            <v>40730</v>
          </cell>
        </row>
        <row r="1940">
          <cell r="L1940">
            <v>40730</v>
          </cell>
        </row>
        <row r="1941">
          <cell r="L1941">
            <v>40730</v>
          </cell>
        </row>
        <row r="1942">
          <cell r="L1942">
            <v>40730</v>
          </cell>
        </row>
        <row r="1943">
          <cell r="L1943">
            <v>40730</v>
          </cell>
        </row>
        <row r="1944">
          <cell r="L1944">
            <v>40730</v>
          </cell>
        </row>
        <row r="1945">
          <cell r="L1945">
            <v>40730</v>
          </cell>
        </row>
        <row r="1946">
          <cell r="L1946">
            <v>40730</v>
          </cell>
        </row>
        <row r="1947">
          <cell r="L1947">
            <v>40730</v>
          </cell>
        </row>
        <row r="1948">
          <cell r="L1948">
            <v>40730</v>
          </cell>
        </row>
        <row r="1949">
          <cell r="L1949">
            <v>40730</v>
          </cell>
        </row>
        <row r="1950">
          <cell r="L1950">
            <v>40730</v>
          </cell>
        </row>
        <row r="1951">
          <cell r="L1951">
            <v>40730</v>
          </cell>
        </row>
        <row r="1952">
          <cell r="L1952">
            <v>40730</v>
          </cell>
        </row>
        <row r="1953">
          <cell r="L1953">
            <v>40730</v>
          </cell>
        </row>
        <row r="1954">
          <cell r="L1954">
            <v>40730</v>
          </cell>
        </row>
        <row r="1955">
          <cell r="L1955">
            <v>40730</v>
          </cell>
        </row>
        <row r="1956">
          <cell r="L1956">
            <v>40730</v>
          </cell>
        </row>
        <row r="1957">
          <cell r="L1957">
            <v>40730</v>
          </cell>
        </row>
        <row r="1958">
          <cell r="L1958">
            <v>40730</v>
          </cell>
        </row>
        <row r="1959">
          <cell r="L1959">
            <v>40730</v>
          </cell>
        </row>
        <row r="1960">
          <cell r="L1960">
            <v>40730</v>
          </cell>
        </row>
        <row r="1961">
          <cell r="L1961">
            <v>40730</v>
          </cell>
        </row>
        <row r="1962">
          <cell r="L1962">
            <v>40730</v>
          </cell>
        </row>
        <row r="1963">
          <cell r="L1963">
            <v>40730</v>
          </cell>
        </row>
        <row r="1964">
          <cell r="L1964">
            <v>40730</v>
          </cell>
        </row>
        <row r="1965">
          <cell r="L1965">
            <v>40730</v>
          </cell>
        </row>
        <row r="1966">
          <cell r="L1966">
            <v>40730</v>
          </cell>
        </row>
        <row r="1967">
          <cell r="L1967">
            <v>40730</v>
          </cell>
        </row>
        <row r="1968">
          <cell r="L1968">
            <v>40730</v>
          </cell>
        </row>
        <row r="1969">
          <cell r="L1969">
            <v>40730</v>
          </cell>
        </row>
        <row r="1970">
          <cell r="L1970">
            <v>40730</v>
          </cell>
        </row>
        <row r="1971">
          <cell r="L1971">
            <v>40730</v>
          </cell>
        </row>
        <row r="1972">
          <cell r="L1972">
            <v>40730</v>
          </cell>
        </row>
        <row r="1973">
          <cell r="L1973">
            <v>40730</v>
          </cell>
        </row>
        <row r="1974">
          <cell r="L1974">
            <v>40730</v>
          </cell>
        </row>
        <row r="1975">
          <cell r="L1975">
            <v>40730</v>
          </cell>
        </row>
        <row r="1976">
          <cell r="L1976">
            <v>40730</v>
          </cell>
        </row>
        <row r="1977">
          <cell r="L1977">
            <v>40730</v>
          </cell>
        </row>
        <row r="1978">
          <cell r="L1978">
            <v>40730</v>
          </cell>
        </row>
        <row r="1979">
          <cell r="L1979">
            <v>40730</v>
          </cell>
        </row>
        <row r="1980">
          <cell r="L1980">
            <v>40730</v>
          </cell>
        </row>
        <row r="1981">
          <cell r="L1981">
            <v>40730</v>
          </cell>
        </row>
        <row r="1982">
          <cell r="L1982">
            <v>40730</v>
          </cell>
        </row>
        <row r="1983">
          <cell r="L1983">
            <v>40730</v>
          </cell>
        </row>
        <row r="1984">
          <cell r="L1984">
            <v>40730</v>
          </cell>
        </row>
        <row r="1985">
          <cell r="L1985">
            <v>40730</v>
          </cell>
        </row>
        <row r="1986">
          <cell r="L1986">
            <v>40731</v>
          </cell>
        </row>
        <row r="1987">
          <cell r="L1987">
            <v>40731</v>
          </cell>
        </row>
        <row r="1988">
          <cell r="L1988">
            <v>40731</v>
          </cell>
        </row>
        <row r="1989">
          <cell r="L1989">
            <v>40731</v>
          </cell>
        </row>
        <row r="1990">
          <cell r="L1990">
            <v>40731</v>
          </cell>
        </row>
        <row r="1991">
          <cell r="L1991">
            <v>40731</v>
          </cell>
        </row>
        <row r="1992">
          <cell r="L1992">
            <v>40731</v>
          </cell>
        </row>
        <row r="1993">
          <cell r="L1993">
            <v>40731</v>
          </cell>
        </row>
        <row r="1994">
          <cell r="L1994">
            <v>40731</v>
          </cell>
        </row>
        <row r="1995">
          <cell r="L1995">
            <v>40731</v>
          </cell>
        </row>
        <row r="1996">
          <cell r="L1996">
            <v>40731</v>
          </cell>
        </row>
        <row r="1997">
          <cell r="L1997">
            <v>40731</v>
          </cell>
        </row>
        <row r="1998">
          <cell r="L1998">
            <v>40731</v>
          </cell>
        </row>
        <row r="1999">
          <cell r="L1999">
            <v>40731</v>
          </cell>
        </row>
        <row r="2000">
          <cell r="L2000">
            <v>40731</v>
          </cell>
        </row>
        <row r="2001">
          <cell r="L2001">
            <v>40731</v>
          </cell>
        </row>
        <row r="2002">
          <cell r="L2002">
            <v>40731</v>
          </cell>
        </row>
        <row r="2003">
          <cell r="L2003">
            <v>40731</v>
          </cell>
        </row>
        <row r="2004">
          <cell r="L2004">
            <v>40731</v>
          </cell>
        </row>
        <row r="2005">
          <cell r="L2005">
            <v>40731</v>
          </cell>
        </row>
        <row r="2006">
          <cell r="L2006">
            <v>40731</v>
          </cell>
        </row>
        <row r="2007">
          <cell r="L2007">
            <v>40731</v>
          </cell>
        </row>
        <row r="2008">
          <cell r="L2008">
            <v>40731</v>
          </cell>
        </row>
        <row r="2009">
          <cell r="L2009">
            <v>40731</v>
          </cell>
        </row>
        <row r="2010">
          <cell r="L2010">
            <v>40731</v>
          </cell>
        </row>
        <row r="2011">
          <cell r="L2011">
            <v>40731</v>
          </cell>
        </row>
        <row r="2012">
          <cell r="L2012">
            <v>40731</v>
          </cell>
        </row>
        <row r="2013">
          <cell r="L2013">
            <v>40731</v>
          </cell>
        </row>
        <row r="2014">
          <cell r="L2014">
            <v>40731</v>
          </cell>
        </row>
        <row r="2015">
          <cell r="L2015">
            <v>40731</v>
          </cell>
        </row>
        <row r="2016">
          <cell r="L2016">
            <v>40731</v>
          </cell>
        </row>
        <row r="2017">
          <cell r="L2017">
            <v>40731</v>
          </cell>
        </row>
        <row r="2018">
          <cell r="L2018">
            <v>40731</v>
          </cell>
        </row>
        <row r="2019">
          <cell r="L2019">
            <v>40731</v>
          </cell>
        </row>
        <row r="2020">
          <cell r="L2020">
            <v>40731</v>
          </cell>
        </row>
        <row r="2021">
          <cell r="L2021">
            <v>40731</v>
          </cell>
        </row>
        <row r="2022">
          <cell r="L2022">
            <v>40731</v>
          </cell>
        </row>
        <row r="2023">
          <cell r="L2023">
            <v>40731</v>
          </cell>
        </row>
        <row r="2024">
          <cell r="L2024">
            <v>40731</v>
          </cell>
        </row>
        <row r="2025">
          <cell r="L2025">
            <v>40731</v>
          </cell>
        </row>
        <row r="2026">
          <cell r="L2026">
            <v>40731</v>
          </cell>
        </row>
        <row r="2027">
          <cell r="L2027">
            <v>40731</v>
          </cell>
        </row>
        <row r="2028">
          <cell r="L2028">
            <v>40731</v>
          </cell>
        </row>
        <row r="2029">
          <cell r="L2029">
            <v>40731</v>
          </cell>
        </row>
        <row r="2030">
          <cell r="L2030">
            <v>40731</v>
          </cell>
        </row>
        <row r="2031">
          <cell r="L2031">
            <v>40731</v>
          </cell>
        </row>
        <row r="2032">
          <cell r="L2032">
            <v>40731</v>
          </cell>
        </row>
        <row r="2033">
          <cell r="L2033">
            <v>40731</v>
          </cell>
        </row>
        <row r="2034">
          <cell r="L2034">
            <v>40731</v>
          </cell>
        </row>
        <row r="2035">
          <cell r="L2035">
            <v>40731</v>
          </cell>
        </row>
        <row r="2036">
          <cell r="L2036">
            <v>40731</v>
          </cell>
        </row>
        <row r="2037">
          <cell r="L2037">
            <v>40731</v>
          </cell>
        </row>
        <row r="2038">
          <cell r="L2038">
            <v>40731</v>
          </cell>
        </row>
        <row r="2039">
          <cell r="L2039">
            <v>40731</v>
          </cell>
        </row>
        <row r="2040">
          <cell r="L2040">
            <v>40731</v>
          </cell>
        </row>
        <row r="2041">
          <cell r="L2041">
            <v>40731</v>
          </cell>
        </row>
        <row r="2042">
          <cell r="L2042">
            <v>40731</v>
          </cell>
        </row>
        <row r="2043">
          <cell r="L2043">
            <v>40731</v>
          </cell>
        </row>
        <row r="2044">
          <cell r="L2044">
            <v>40731</v>
          </cell>
        </row>
        <row r="2045">
          <cell r="L2045">
            <v>40731</v>
          </cell>
        </row>
        <row r="2046">
          <cell r="L2046">
            <v>40731</v>
          </cell>
        </row>
        <row r="2047">
          <cell r="L2047">
            <v>40731</v>
          </cell>
        </row>
        <row r="2048">
          <cell r="L2048">
            <v>40731</v>
          </cell>
        </row>
        <row r="2049">
          <cell r="L2049">
            <v>40731</v>
          </cell>
        </row>
        <row r="2050">
          <cell r="L2050">
            <v>40731</v>
          </cell>
        </row>
        <row r="2051">
          <cell r="L2051">
            <v>40731</v>
          </cell>
        </row>
        <row r="2052">
          <cell r="L2052">
            <v>40731</v>
          </cell>
        </row>
        <row r="2053">
          <cell r="L2053">
            <v>40731</v>
          </cell>
        </row>
        <row r="2054">
          <cell r="L2054">
            <v>40731</v>
          </cell>
        </row>
        <row r="2055">
          <cell r="L2055">
            <v>40731</v>
          </cell>
        </row>
        <row r="2056">
          <cell r="L2056">
            <v>40731</v>
          </cell>
        </row>
        <row r="2057">
          <cell r="L2057">
            <v>40731</v>
          </cell>
        </row>
        <row r="2058">
          <cell r="L2058">
            <v>40731</v>
          </cell>
        </row>
        <row r="2059">
          <cell r="L2059">
            <v>40731</v>
          </cell>
        </row>
        <row r="2060">
          <cell r="L2060">
            <v>40731</v>
          </cell>
        </row>
        <row r="2061">
          <cell r="L2061">
            <v>40731</v>
          </cell>
        </row>
        <row r="2062">
          <cell r="L2062">
            <v>40731</v>
          </cell>
        </row>
        <row r="2063">
          <cell r="L2063">
            <v>40731</v>
          </cell>
        </row>
        <row r="2064">
          <cell r="L2064">
            <v>40731</v>
          </cell>
        </row>
        <row r="2065">
          <cell r="L2065">
            <v>40731</v>
          </cell>
        </row>
        <row r="2066">
          <cell r="L2066">
            <v>40731</v>
          </cell>
        </row>
        <row r="2067">
          <cell r="L2067">
            <v>40731</v>
          </cell>
        </row>
        <row r="2068">
          <cell r="L2068">
            <v>40731</v>
          </cell>
        </row>
        <row r="2069">
          <cell r="L2069">
            <v>40731</v>
          </cell>
        </row>
        <row r="2070">
          <cell r="L2070">
            <v>40731</v>
          </cell>
        </row>
        <row r="2071">
          <cell r="L2071">
            <v>40731</v>
          </cell>
        </row>
        <row r="2072">
          <cell r="L2072">
            <v>40731</v>
          </cell>
        </row>
        <row r="2073">
          <cell r="L2073">
            <v>40731</v>
          </cell>
        </row>
        <row r="2074">
          <cell r="L2074">
            <v>40731</v>
          </cell>
        </row>
        <row r="2075">
          <cell r="L2075">
            <v>40731</v>
          </cell>
        </row>
        <row r="2076">
          <cell r="L2076">
            <v>40731</v>
          </cell>
        </row>
        <row r="2077">
          <cell r="L2077">
            <v>40731</v>
          </cell>
        </row>
        <row r="2078">
          <cell r="L2078">
            <v>40731</v>
          </cell>
        </row>
        <row r="2079">
          <cell r="L2079">
            <v>40731</v>
          </cell>
        </row>
        <row r="2080">
          <cell r="L2080">
            <v>40731</v>
          </cell>
        </row>
        <row r="2081">
          <cell r="L2081">
            <v>40731</v>
          </cell>
        </row>
        <row r="2082">
          <cell r="L2082">
            <v>40731</v>
          </cell>
        </row>
        <row r="2083">
          <cell r="L2083">
            <v>40731</v>
          </cell>
        </row>
        <row r="2084">
          <cell r="L2084">
            <v>40731</v>
          </cell>
        </row>
        <row r="2085">
          <cell r="L2085">
            <v>40732</v>
          </cell>
        </row>
        <row r="2086">
          <cell r="L2086">
            <v>40732</v>
          </cell>
        </row>
        <row r="2087">
          <cell r="L2087">
            <v>40732</v>
          </cell>
        </row>
        <row r="2088">
          <cell r="L2088">
            <v>40732</v>
          </cell>
        </row>
        <row r="2089">
          <cell r="L2089">
            <v>40732</v>
          </cell>
        </row>
        <row r="2090">
          <cell r="L2090">
            <v>40732</v>
          </cell>
        </row>
        <row r="2091">
          <cell r="L2091">
            <v>40732</v>
          </cell>
        </row>
        <row r="2092">
          <cell r="L2092">
            <v>40732</v>
          </cell>
        </row>
        <row r="2093">
          <cell r="L2093">
            <v>40732</v>
          </cell>
        </row>
        <row r="2094">
          <cell r="L2094">
            <v>40732</v>
          </cell>
        </row>
        <row r="2095">
          <cell r="L2095">
            <v>40732</v>
          </cell>
        </row>
        <row r="2096">
          <cell r="L2096">
            <v>40732</v>
          </cell>
        </row>
        <row r="2097">
          <cell r="L2097">
            <v>40732</v>
          </cell>
        </row>
        <row r="2098">
          <cell r="L2098">
            <v>40732</v>
          </cell>
        </row>
        <row r="2099">
          <cell r="L2099">
            <v>40732</v>
          </cell>
        </row>
        <row r="2100">
          <cell r="L2100">
            <v>40732</v>
          </cell>
        </row>
        <row r="2101">
          <cell r="L2101">
            <v>40732</v>
          </cell>
        </row>
        <row r="2102">
          <cell r="L2102">
            <v>40732</v>
          </cell>
        </row>
        <row r="2103">
          <cell r="L2103">
            <v>40732</v>
          </cell>
        </row>
        <row r="2104">
          <cell r="L2104">
            <v>40732</v>
          </cell>
        </row>
        <row r="2105">
          <cell r="L2105">
            <v>40732</v>
          </cell>
        </row>
        <row r="2106">
          <cell r="L2106">
            <v>40732</v>
          </cell>
        </row>
        <row r="2107">
          <cell r="L2107">
            <v>40732</v>
          </cell>
        </row>
        <row r="2108">
          <cell r="L2108">
            <v>40732</v>
          </cell>
        </row>
        <row r="2109">
          <cell r="L2109">
            <v>40732</v>
          </cell>
        </row>
        <row r="2110">
          <cell r="L2110">
            <v>40732</v>
          </cell>
        </row>
        <row r="2111">
          <cell r="L2111">
            <v>40732</v>
          </cell>
        </row>
        <row r="2112">
          <cell r="L2112">
            <v>40732</v>
          </cell>
        </row>
        <row r="2113">
          <cell r="L2113">
            <v>40732</v>
          </cell>
        </row>
        <row r="2114">
          <cell r="L2114">
            <v>40732</v>
          </cell>
        </row>
        <row r="2115">
          <cell r="L2115">
            <v>40732</v>
          </cell>
        </row>
        <row r="2116">
          <cell r="L2116">
            <v>40732</v>
          </cell>
        </row>
        <row r="2117">
          <cell r="L2117">
            <v>40732</v>
          </cell>
        </row>
        <row r="2118">
          <cell r="L2118">
            <v>40732</v>
          </cell>
        </row>
        <row r="2119">
          <cell r="L2119">
            <v>40732</v>
          </cell>
        </row>
        <row r="2120">
          <cell r="L2120">
            <v>40732</v>
          </cell>
        </row>
        <row r="2121">
          <cell r="L2121">
            <v>40732</v>
          </cell>
        </row>
        <row r="2122">
          <cell r="L2122">
            <v>40732</v>
          </cell>
        </row>
        <row r="2123">
          <cell r="L2123">
            <v>40732</v>
          </cell>
        </row>
        <row r="2124">
          <cell r="L2124">
            <v>40732</v>
          </cell>
        </row>
        <row r="2125">
          <cell r="L2125">
            <v>40732</v>
          </cell>
        </row>
        <row r="2126">
          <cell r="L2126">
            <v>40732</v>
          </cell>
        </row>
        <row r="2127">
          <cell r="L2127">
            <v>40732</v>
          </cell>
        </row>
        <row r="2128">
          <cell r="L2128">
            <v>40732</v>
          </cell>
        </row>
        <row r="2129">
          <cell r="L2129">
            <v>40732</v>
          </cell>
        </row>
        <row r="2130">
          <cell r="L2130">
            <v>40732</v>
          </cell>
        </row>
        <row r="2131">
          <cell r="L2131">
            <v>40732</v>
          </cell>
        </row>
        <row r="2132">
          <cell r="L2132">
            <v>40732</v>
          </cell>
        </row>
        <row r="2133">
          <cell r="L2133">
            <v>40732</v>
          </cell>
        </row>
        <row r="2134">
          <cell r="L2134">
            <v>40732</v>
          </cell>
        </row>
        <row r="2135">
          <cell r="L2135">
            <v>40732</v>
          </cell>
        </row>
        <row r="2136">
          <cell r="L2136">
            <v>40732</v>
          </cell>
        </row>
        <row r="2137">
          <cell r="L2137">
            <v>40732</v>
          </cell>
        </row>
        <row r="2138">
          <cell r="L2138">
            <v>40732</v>
          </cell>
        </row>
        <row r="2139">
          <cell r="L2139">
            <v>40733</v>
          </cell>
        </row>
        <row r="2140">
          <cell r="L2140">
            <v>40735</v>
          </cell>
        </row>
        <row r="2141">
          <cell r="L2141">
            <v>40735</v>
          </cell>
        </row>
        <row r="2142">
          <cell r="L2142">
            <v>40735</v>
          </cell>
        </row>
        <row r="2143">
          <cell r="L2143">
            <v>40735</v>
          </cell>
        </row>
        <row r="2144">
          <cell r="L2144">
            <v>40735</v>
          </cell>
        </row>
        <row r="2145">
          <cell r="L2145">
            <v>40735</v>
          </cell>
        </row>
        <row r="2146">
          <cell r="L2146">
            <v>40735</v>
          </cell>
        </row>
        <row r="2147">
          <cell r="L2147">
            <v>40735</v>
          </cell>
        </row>
        <row r="2148">
          <cell r="L2148">
            <v>40735</v>
          </cell>
        </row>
        <row r="2149">
          <cell r="L2149">
            <v>40735</v>
          </cell>
        </row>
        <row r="2150">
          <cell r="L2150">
            <v>40735</v>
          </cell>
        </row>
        <row r="2151">
          <cell r="L2151">
            <v>40735</v>
          </cell>
        </row>
        <row r="2152">
          <cell r="L2152">
            <v>40735</v>
          </cell>
        </row>
        <row r="2153">
          <cell r="L2153">
            <v>40735</v>
          </cell>
        </row>
        <row r="2154">
          <cell r="L2154">
            <v>40735</v>
          </cell>
        </row>
        <row r="2155">
          <cell r="L2155">
            <v>40735</v>
          </cell>
        </row>
        <row r="2156">
          <cell r="L2156">
            <v>40735</v>
          </cell>
        </row>
        <row r="2157">
          <cell r="L2157">
            <v>40735</v>
          </cell>
        </row>
        <row r="2158">
          <cell r="L2158">
            <v>40735</v>
          </cell>
        </row>
        <row r="2159">
          <cell r="L2159">
            <v>40735</v>
          </cell>
        </row>
        <row r="2160">
          <cell r="L2160">
            <v>40735</v>
          </cell>
        </row>
        <row r="2161">
          <cell r="L2161">
            <v>40735</v>
          </cell>
        </row>
        <row r="2162">
          <cell r="L2162">
            <v>40735</v>
          </cell>
        </row>
        <row r="2163">
          <cell r="L2163">
            <v>40735</v>
          </cell>
        </row>
        <row r="2164">
          <cell r="L2164">
            <v>40735</v>
          </cell>
        </row>
        <row r="2165">
          <cell r="L2165">
            <v>40735</v>
          </cell>
        </row>
        <row r="2166">
          <cell r="L2166">
            <v>40735</v>
          </cell>
        </row>
        <row r="2167">
          <cell r="L2167">
            <v>40735</v>
          </cell>
        </row>
        <row r="2168">
          <cell r="L2168">
            <v>40735</v>
          </cell>
        </row>
        <row r="2169">
          <cell r="L2169">
            <v>40735</v>
          </cell>
        </row>
        <row r="2170">
          <cell r="L2170">
            <v>40735</v>
          </cell>
        </row>
        <row r="2171">
          <cell r="L2171">
            <v>40735</v>
          </cell>
        </row>
        <row r="2172">
          <cell r="L2172">
            <v>40735</v>
          </cell>
        </row>
        <row r="2173">
          <cell r="L2173">
            <v>40735</v>
          </cell>
        </row>
        <row r="2174">
          <cell r="L2174">
            <v>40735</v>
          </cell>
        </row>
        <row r="2175">
          <cell r="L2175">
            <v>40735</v>
          </cell>
        </row>
        <row r="2176">
          <cell r="L2176">
            <v>40735</v>
          </cell>
        </row>
        <row r="2177">
          <cell r="L2177">
            <v>40735</v>
          </cell>
        </row>
        <row r="2178">
          <cell r="L2178">
            <v>40735</v>
          </cell>
        </row>
        <row r="2179">
          <cell r="L2179">
            <v>40735</v>
          </cell>
        </row>
        <row r="2180">
          <cell r="L2180">
            <v>40735</v>
          </cell>
        </row>
        <row r="2181">
          <cell r="L2181">
            <v>40735</v>
          </cell>
        </row>
        <row r="2182">
          <cell r="L2182">
            <v>40735</v>
          </cell>
        </row>
        <row r="2183">
          <cell r="L2183">
            <v>40735</v>
          </cell>
        </row>
        <row r="2184">
          <cell r="L2184">
            <v>40735</v>
          </cell>
        </row>
        <row r="2185">
          <cell r="L2185">
            <v>40735</v>
          </cell>
        </row>
        <row r="2186">
          <cell r="L2186">
            <v>40735</v>
          </cell>
        </row>
        <row r="2187">
          <cell r="L2187">
            <v>40735</v>
          </cell>
        </row>
        <row r="2188">
          <cell r="L2188">
            <v>40735</v>
          </cell>
        </row>
        <row r="2189">
          <cell r="L2189">
            <v>40735</v>
          </cell>
        </row>
        <row r="2190">
          <cell r="L2190">
            <v>40735</v>
          </cell>
        </row>
        <row r="2191">
          <cell r="L2191">
            <v>40735</v>
          </cell>
        </row>
        <row r="2192">
          <cell r="L2192">
            <v>40735</v>
          </cell>
        </row>
        <row r="2193">
          <cell r="L2193">
            <v>40735</v>
          </cell>
        </row>
        <row r="2194">
          <cell r="L2194">
            <v>40735</v>
          </cell>
        </row>
        <row r="2195">
          <cell r="L2195">
            <v>40735</v>
          </cell>
        </row>
        <row r="2196">
          <cell r="L2196">
            <v>40735</v>
          </cell>
        </row>
        <row r="2197">
          <cell r="L2197">
            <v>40735</v>
          </cell>
        </row>
        <row r="2198">
          <cell r="L2198">
            <v>40735</v>
          </cell>
        </row>
        <row r="2199">
          <cell r="L2199">
            <v>40736</v>
          </cell>
        </row>
        <row r="2200">
          <cell r="L2200">
            <v>40736</v>
          </cell>
        </row>
        <row r="2201">
          <cell r="L2201">
            <v>40736</v>
          </cell>
        </row>
        <row r="2202">
          <cell r="L2202">
            <v>40736</v>
          </cell>
        </row>
        <row r="2203">
          <cell r="L2203">
            <v>40736</v>
          </cell>
        </row>
        <row r="2204">
          <cell r="L2204">
            <v>40736</v>
          </cell>
        </row>
        <row r="2205">
          <cell r="L2205">
            <v>40736</v>
          </cell>
        </row>
        <row r="2206">
          <cell r="L2206">
            <v>40736</v>
          </cell>
        </row>
        <row r="2207">
          <cell r="L2207">
            <v>40736</v>
          </cell>
        </row>
        <row r="2208">
          <cell r="L2208">
            <v>40736</v>
          </cell>
        </row>
        <row r="2209">
          <cell r="L2209">
            <v>40736</v>
          </cell>
        </row>
        <row r="2210">
          <cell r="L2210">
            <v>40736</v>
          </cell>
        </row>
        <row r="2211">
          <cell r="L2211">
            <v>40736</v>
          </cell>
        </row>
        <row r="2212">
          <cell r="L2212">
            <v>40736</v>
          </cell>
        </row>
        <row r="2213">
          <cell r="L2213">
            <v>40736</v>
          </cell>
        </row>
        <row r="2214">
          <cell r="L2214">
            <v>40736</v>
          </cell>
        </row>
        <row r="2215">
          <cell r="L2215">
            <v>40736</v>
          </cell>
        </row>
        <row r="2216">
          <cell r="L2216">
            <v>40736</v>
          </cell>
        </row>
        <row r="2217">
          <cell r="L2217">
            <v>40736</v>
          </cell>
        </row>
        <row r="2218">
          <cell r="L2218">
            <v>40736</v>
          </cell>
        </row>
        <row r="2219">
          <cell r="L2219">
            <v>40736</v>
          </cell>
        </row>
        <row r="2220">
          <cell r="L2220">
            <v>40736</v>
          </cell>
        </row>
        <row r="2221">
          <cell r="L2221">
            <v>40735</v>
          </cell>
        </row>
        <row r="2222">
          <cell r="L2222">
            <v>40735</v>
          </cell>
        </row>
        <row r="2223">
          <cell r="L2223">
            <v>40737</v>
          </cell>
        </row>
        <row r="2224">
          <cell r="L2224">
            <v>40737</v>
          </cell>
        </row>
        <row r="2225">
          <cell r="L2225">
            <v>40737</v>
          </cell>
        </row>
        <row r="2226">
          <cell r="L2226">
            <v>40737</v>
          </cell>
        </row>
        <row r="2227">
          <cell r="L2227">
            <v>40737</v>
          </cell>
        </row>
        <row r="2228">
          <cell r="L2228">
            <v>40737</v>
          </cell>
        </row>
        <row r="2229">
          <cell r="L2229">
            <v>40737</v>
          </cell>
        </row>
        <row r="2230">
          <cell r="L2230">
            <v>40737</v>
          </cell>
        </row>
        <row r="2231">
          <cell r="L2231">
            <v>40737</v>
          </cell>
        </row>
        <row r="2232">
          <cell r="L2232">
            <v>40737</v>
          </cell>
        </row>
        <row r="2233">
          <cell r="L2233">
            <v>40737</v>
          </cell>
        </row>
        <row r="2234">
          <cell r="L2234">
            <v>40737</v>
          </cell>
        </row>
        <row r="2235">
          <cell r="L2235">
            <v>40737</v>
          </cell>
        </row>
        <row r="2236">
          <cell r="L2236">
            <v>40737</v>
          </cell>
        </row>
        <row r="2237">
          <cell r="L2237">
            <v>40737</v>
          </cell>
        </row>
        <row r="2238">
          <cell r="L2238">
            <v>40737</v>
          </cell>
        </row>
        <row r="2239">
          <cell r="L2239">
            <v>40737</v>
          </cell>
        </row>
        <row r="2240">
          <cell r="L2240">
            <v>40737</v>
          </cell>
        </row>
        <row r="2241">
          <cell r="L2241">
            <v>40737</v>
          </cell>
        </row>
        <row r="2242">
          <cell r="L2242">
            <v>40737</v>
          </cell>
        </row>
        <row r="2243">
          <cell r="L2243">
            <v>40737</v>
          </cell>
        </row>
        <row r="2244">
          <cell r="L2244">
            <v>40737</v>
          </cell>
        </row>
        <row r="2245">
          <cell r="L2245">
            <v>40737</v>
          </cell>
        </row>
        <row r="2246">
          <cell r="L2246">
            <v>40737</v>
          </cell>
        </row>
        <row r="2247">
          <cell r="L2247">
            <v>40737</v>
          </cell>
        </row>
        <row r="2248">
          <cell r="L2248">
            <v>40737</v>
          </cell>
        </row>
        <row r="2249">
          <cell r="L2249">
            <v>40737</v>
          </cell>
        </row>
        <row r="2250">
          <cell r="L2250">
            <v>40737</v>
          </cell>
        </row>
        <row r="2251">
          <cell r="L2251">
            <v>40737</v>
          </cell>
        </row>
        <row r="2252">
          <cell r="L2252">
            <v>40737</v>
          </cell>
        </row>
        <row r="2253">
          <cell r="L2253">
            <v>40737</v>
          </cell>
        </row>
        <row r="2254">
          <cell r="L2254">
            <v>40737</v>
          </cell>
        </row>
        <row r="2255">
          <cell r="L2255">
            <v>40737</v>
          </cell>
        </row>
        <row r="2256">
          <cell r="L2256">
            <v>40737</v>
          </cell>
        </row>
        <row r="2257">
          <cell r="L2257">
            <v>40737</v>
          </cell>
        </row>
        <row r="2258">
          <cell r="L2258">
            <v>40737</v>
          </cell>
        </row>
        <row r="2259">
          <cell r="L2259">
            <v>40737</v>
          </cell>
        </row>
        <row r="2260">
          <cell r="L2260">
            <v>40737</v>
          </cell>
        </row>
        <row r="2261">
          <cell r="L2261">
            <v>40737</v>
          </cell>
        </row>
        <row r="2262">
          <cell r="L2262">
            <v>40737</v>
          </cell>
        </row>
        <row r="2263">
          <cell r="L2263">
            <v>40739</v>
          </cell>
        </row>
        <row r="2264">
          <cell r="L2264">
            <v>40739</v>
          </cell>
        </row>
        <row r="2265">
          <cell r="L2265">
            <v>40739</v>
          </cell>
        </row>
        <row r="2266">
          <cell r="L2266">
            <v>40739</v>
          </cell>
        </row>
        <row r="2267">
          <cell r="L2267">
            <v>40739</v>
          </cell>
        </row>
        <row r="2268">
          <cell r="L2268">
            <v>40739</v>
          </cell>
        </row>
        <row r="2269">
          <cell r="L2269">
            <v>40739</v>
          </cell>
        </row>
        <row r="2270">
          <cell r="L2270">
            <v>40739</v>
          </cell>
        </row>
        <row r="2271">
          <cell r="L2271">
            <v>40739</v>
          </cell>
        </row>
        <row r="2272">
          <cell r="L2272">
            <v>40739</v>
          </cell>
        </row>
        <row r="2273">
          <cell r="L2273">
            <v>40739</v>
          </cell>
        </row>
        <row r="2274">
          <cell r="L2274">
            <v>40739</v>
          </cell>
        </row>
        <row r="2275">
          <cell r="L2275">
            <v>40739</v>
          </cell>
        </row>
        <row r="2276">
          <cell r="L2276">
            <v>40739</v>
          </cell>
        </row>
        <row r="2277">
          <cell r="L2277">
            <v>40731</v>
          </cell>
        </row>
        <row r="2278">
          <cell r="L2278">
            <v>40731</v>
          </cell>
        </row>
        <row r="2279">
          <cell r="L2279">
            <v>40731</v>
          </cell>
        </row>
        <row r="2280">
          <cell r="L2280">
            <v>40740</v>
          </cell>
        </row>
        <row r="2281">
          <cell r="L2281">
            <v>40740</v>
          </cell>
        </row>
        <row r="2282">
          <cell r="L2282">
            <v>40740</v>
          </cell>
        </row>
        <row r="2283">
          <cell r="L2283">
            <v>40740</v>
          </cell>
        </row>
        <row r="2284">
          <cell r="L2284">
            <v>40740</v>
          </cell>
        </row>
        <row r="2285">
          <cell r="L2285">
            <v>40740</v>
          </cell>
        </row>
        <row r="2286">
          <cell r="L2286">
            <v>40740</v>
          </cell>
        </row>
        <row r="2287">
          <cell r="L2287">
            <v>40740</v>
          </cell>
        </row>
        <row r="2288">
          <cell r="L2288">
            <v>40740</v>
          </cell>
        </row>
        <row r="2289">
          <cell r="L2289">
            <v>40740</v>
          </cell>
        </row>
        <row r="2290">
          <cell r="L2290">
            <v>40740</v>
          </cell>
        </row>
        <row r="2291">
          <cell r="L2291">
            <v>40740</v>
          </cell>
        </row>
        <row r="2292">
          <cell r="L2292">
            <v>40740</v>
          </cell>
        </row>
        <row r="2293">
          <cell r="L2293">
            <v>40740</v>
          </cell>
        </row>
        <row r="2294">
          <cell r="L2294">
            <v>40740</v>
          </cell>
        </row>
        <row r="2295">
          <cell r="L2295">
            <v>40740</v>
          </cell>
        </row>
        <row r="2296">
          <cell r="L2296">
            <v>40740</v>
          </cell>
        </row>
        <row r="2297">
          <cell r="L2297">
            <v>40740</v>
          </cell>
        </row>
        <row r="2298">
          <cell r="L2298">
            <v>40740</v>
          </cell>
        </row>
        <row r="2299">
          <cell r="L2299">
            <v>40740</v>
          </cell>
        </row>
        <row r="2300">
          <cell r="L2300">
            <v>40740</v>
          </cell>
        </row>
        <row r="2301">
          <cell r="L2301">
            <v>40740</v>
          </cell>
        </row>
        <row r="2302">
          <cell r="L2302">
            <v>40740</v>
          </cell>
        </row>
        <row r="2303">
          <cell r="L2303">
            <v>40740</v>
          </cell>
        </row>
        <row r="2304">
          <cell r="L2304">
            <v>40740</v>
          </cell>
        </row>
        <row r="2305">
          <cell r="L2305">
            <v>40740</v>
          </cell>
        </row>
        <row r="2306">
          <cell r="L2306">
            <v>40740</v>
          </cell>
        </row>
        <row r="2307">
          <cell r="L2307">
            <v>40740</v>
          </cell>
        </row>
        <row r="2308">
          <cell r="L2308">
            <v>40740</v>
          </cell>
        </row>
        <row r="2309">
          <cell r="L2309">
            <v>40742</v>
          </cell>
        </row>
        <row r="2310">
          <cell r="L2310">
            <v>40742</v>
          </cell>
        </row>
        <row r="2311">
          <cell r="L2311">
            <v>40742</v>
          </cell>
        </row>
        <row r="2312">
          <cell r="L2312">
            <v>40742</v>
          </cell>
        </row>
        <row r="2313">
          <cell r="L2313">
            <v>40742</v>
          </cell>
        </row>
        <row r="2314">
          <cell r="L2314">
            <v>40742</v>
          </cell>
        </row>
        <row r="2315">
          <cell r="L2315">
            <v>40742</v>
          </cell>
        </row>
        <row r="2316">
          <cell r="L2316">
            <v>40742</v>
          </cell>
        </row>
        <row r="2317">
          <cell r="L2317">
            <v>40742</v>
          </cell>
        </row>
        <row r="2318">
          <cell r="L2318">
            <v>40742</v>
          </cell>
        </row>
        <row r="2319">
          <cell r="L2319">
            <v>40742</v>
          </cell>
        </row>
        <row r="2320">
          <cell r="L2320">
            <v>40742</v>
          </cell>
        </row>
        <row r="2321">
          <cell r="L2321">
            <v>40742</v>
          </cell>
        </row>
        <row r="2322">
          <cell r="L2322">
            <v>40742</v>
          </cell>
        </row>
        <row r="2323">
          <cell r="L2323">
            <v>40742</v>
          </cell>
        </row>
        <row r="2324">
          <cell r="L2324">
            <v>40742</v>
          </cell>
        </row>
        <row r="2325">
          <cell r="L2325">
            <v>40742</v>
          </cell>
        </row>
        <row r="2326">
          <cell r="L2326">
            <v>40742</v>
          </cell>
        </row>
        <row r="2327">
          <cell r="L2327">
            <v>40742</v>
          </cell>
        </row>
        <row r="2328">
          <cell r="L2328">
            <v>40742</v>
          </cell>
        </row>
        <row r="2329">
          <cell r="L2329">
            <v>40742</v>
          </cell>
        </row>
        <row r="2330">
          <cell r="L2330">
            <v>40742</v>
          </cell>
        </row>
        <row r="2331">
          <cell r="L2331">
            <v>40742</v>
          </cell>
        </row>
        <row r="2332">
          <cell r="L2332">
            <v>40742</v>
          </cell>
        </row>
        <row r="2333">
          <cell r="L2333">
            <v>40742</v>
          </cell>
        </row>
        <row r="2334">
          <cell r="L2334">
            <v>40742</v>
          </cell>
        </row>
        <row r="2335">
          <cell r="L2335">
            <v>40742</v>
          </cell>
        </row>
        <row r="2336">
          <cell r="L2336">
            <v>40742</v>
          </cell>
        </row>
        <row r="2337">
          <cell r="L2337">
            <v>40742</v>
          </cell>
        </row>
        <row r="2338">
          <cell r="L2338">
            <v>40742</v>
          </cell>
        </row>
        <row r="2339">
          <cell r="L2339">
            <v>40742</v>
          </cell>
        </row>
        <row r="2340">
          <cell r="L2340">
            <v>40742</v>
          </cell>
        </row>
        <row r="2341">
          <cell r="L2341">
            <v>40742</v>
          </cell>
        </row>
        <row r="2342">
          <cell r="L2342">
            <v>40742</v>
          </cell>
        </row>
        <row r="2343">
          <cell r="L2343">
            <v>40742</v>
          </cell>
        </row>
        <row r="2344">
          <cell r="L2344">
            <v>40742</v>
          </cell>
        </row>
        <row r="2345">
          <cell r="L2345">
            <v>40742</v>
          </cell>
        </row>
        <row r="2346">
          <cell r="L2346">
            <v>40742</v>
          </cell>
        </row>
        <row r="2347">
          <cell r="L2347">
            <v>40742</v>
          </cell>
        </row>
        <row r="2348">
          <cell r="L2348">
            <v>40742</v>
          </cell>
        </row>
        <row r="2349">
          <cell r="L2349">
            <v>40742</v>
          </cell>
        </row>
        <row r="2350">
          <cell r="L2350">
            <v>40742</v>
          </cell>
        </row>
        <row r="2351">
          <cell r="L2351">
            <v>40742</v>
          </cell>
        </row>
        <row r="2352">
          <cell r="L2352">
            <v>40742</v>
          </cell>
        </row>
        <row r="2353">
          <cell r="L2353">
            <v>40742</v>
          </cell>
        </row>
        <row r="2354">
          <cell r="L2354">
            <v>40742</v>
          </cell>
        </row>
        <row r="2355">
          <cell r="L2355">
            <v>40742</v>
          </cell>
        </row>
        <row r="2356">
          <cell r="L2356">
            <v>40742</v>
          </cell>
        </row>
        <row r="2357">
          <cell r="L2357">
            <v>40742</v>
          </cell>
        </row>
        <row r="2358">
          <cell r="L2358">
            <v>40742</v>
          </cell>
        </row>
        <row r="2359">
          <cell r="L2359">
            <v>40742</v>
          </cell>
        </row>
        <row r="2360">
          <cell r="L2360">
            <v>40742</v>
          </cell>
        </row>
        <row r="2361">
          <cell r="L2361">
            <v>40742</v>
          </cell>
        </row>
        <row r="2362">
          <cell r="L2362">
            <v>40742</v>
          </cell>
        </row>
        <row r="2363">
          <cell r="L2363">
            <v>40742</v>
          </cell>
        </row>
        <row r="2364">
          <cell r="L2364">
            <v>40742</v>
          </cell>
        </row>
        <row r="2365">
          <cell r="L2365">
            <v>40742</v>
          </cell>
        </row>
        <row r="2366">
          <cell r="L2366">
            <v>40742</v>
          </cell>
        </row>
        <row r="2367">
          <cell r="L2367">
            <v>40742</v>
          </cell>
        </row>
        <row r="2368">
          <cell r="L2368">
            <v>40742</v>
          </cell>
        </row>
        <row r="2369">
          <cell r="L2369">
            <v>40742</v>
          </cell>
        </row>
        <row r="2370">
          <cell r="L2370">
            <v>40742</v>
          </cell>
        </row>
        <row r="2371">
          <cell r="L2371">
            <v>40742</v>
          </cell>
        </row>
        <row r="2372">
          <cell r="L2372">
            <v>40742</v>
          </cell>
        </row>
        <row r="2373">
          <cell r="L2373">
            <v>40742</v>
          </cell>
        </row>
        <row r="2374">
          <cell r="L2374">
            <v>40742</v>
          </cell>
        </row>
        <row r="2375">
          <cell r="L2375">
            <v>40742</v>
          </cell>
        </row>
        <row r="2376">
          <cell r="L2376">
            <v>40742</v>
          </cell>
        </row>
        <row r="2377">
          <cell r="L2377">
            <v>40742</v>
          </cell>
        </row>
        <row r="2378">
          <cell r="L2378">
            <v>40742</v>
          </cell>
        </row>
        <row r="2379">
          <cell r="L2379">
            <v>40742</v>
          </cell>
        </row>
        <row r="2380">
          <cell r="L2380">
            <v>40742</v>
          </cell>
        </row>
        <row r="2381">
          <cell r="L2381">
            <v>40742</v>
          </cell>
        </row>
        <row r="2382">
          <cell r="L2382">
            <v>40742</v>
          </cell>
        </row>
        <row r="2383">
          <cell r="L2383">
            <v>40742</v>
          </cell>
        </row>
        <row r="2384">
          <cell r="L2384">
            <v>40742</v>
          </cell>
        </row>
        <row r="2385">
          <cell r="L2385">
            <v>40742</v>
          </cell>
        </row>
        <row r="2386">
          <cell r="L2386">
            <v>40742</v>
          </cell>
        </row>
        <row r="2387">
          <cell r="L2387">
            <v>40742</v>
          </cell>
        </row>
        <row r="2388">
          <cell r="L2388">
            <v>40742</v>
          </cell>
        </row>
        <row r="2389">
          <cell r="L2389">
            <v>40742</v>
          </cell>
        </row>
        <row r="2390">
          <cell r="L2390">
            <v>40742</v>
          </cell>
        </row>
        <row r="2391">
          <cell r="L2391">
            <v>40742</v>
          </cell>
        </row>
        <row r="2392">
          <cell r="L2392">
            <v>40742</v>
          </cell>
        </row>
        <row r="2393">
          <cell r="L2393">
            <v>40742</v>
          </cell>
        </row>
        <row r="2394">
          <cell r="L2394">
            <v>40742</v>
          </cell>
        </row>
        <row r="2395">
          <cell r="L2395">
            <v>40742</v>
          </cell>
        </row>
        <row r="2396">
          <cell r="L2396">
            <v>40742</v>
          </cell>
        </row>
        <row r="2397">
          <cell r="L2397">
            <v>40742</v>
          </cell>
        </row>
        <row r="2398">
          <cell r="L2398">
            <v>40742</v>
          </cell>
        </row>
        <row r="2399">
          <cell r="L2399">
            <v>40742</v>
          </cell>
        </row>
        <row r="2400">
          <cell r="L2400">
            <v>40742</v>
          </cell>
        </row>
        <row r="2401">
          <cell r="L2401">
            <v>40742</v>
          </cell>
        </row>
        <row r="2402">
          <cell r="L2402">
            <v>40742</v>
          </cell>
        </row>
        <row r="2403">
          <cell r="L2403">
            <v>40742</v>
          </cell>
        </row>
        <row r="2404">
          <cell r="L2404">
            <v>40742</v>
          </cell>
        </row>
        <row r="2405">
          <cell r="L2405">
            <v>40742</v>
          </cell>
        </row>
        <row r="2406">
          <cell r="L2406">
            <v>40742</v>
          </cell>
        </row>
        <row r="2407">
          <cell r="L2407">
            <v>40742</v>
          </cell>
        </row>
        <row r="2408">
          <cell r="L2408">
            <v>40742</v>
          </cell>
        </row>
        <row r="2409">
          <cell r="L2409">
            <v>40742</v>
          </cell>
        </row>
        <row r="2410">
          <cell r="L2410">
            <v>40742</v>
          </cell>
        </row>
        <row r="2411">
          <cell r="L2411">
            <v>40742</v>
          </cell>
        </row>
        <row r="2412">
          <cell r="L2412">
            <v>40742</v>
          </cell>
        </row>
        <row r="2413">
          <cell r="L2413">
            <v>40742</v>
          </cell>
        </row>
        <row r="2414">
          <cell r="L2414">
            <v>40742</v>
          </cell>
        </row>
        <row r="2415">
          <cell r="L2415">
            <v>40742</v>
          </cell>
        </row>
        <row r="2416">
          <cell r="L2416">
            <v>40742</v>
          </cell>
        </row>
        <row r="2417">
          <cell r="L2417">
            <v>40742</v>
          </cell>
        </row>
        <row r="2418">
          <cell r="L2418">
            <v>40742</v>
          </cell>
        </row>
        <row r="2419">
          <cell r="L2419">
            <v>40742</v>
          </cell>
        </row>
        <row r="2420">
          <cell r="L2420">
            <v>40742</v>
          </cell>
        </row>
        <row r="2421">
          <cell r="L2421">
            <v>40742</v>
          </cell>
        </row>
        <row r="2422">
          <cell r="L2422">
            <v>40742</v>
          </cell>
        </row>
        <row r="2423">
          <cell r="L2423">
            <v>40742</v>
          </cell>
        </row>
        <row r="2424">
          <cell r="L2424">
            <v>40742</v>
          </cell>
        </row>
        <row r="2425">
          <cell r="L2425">
            <v>40742</v>
          </cell>
        </row>
        <row r="2426">
          <cell r="L2426">
            <v>40742</v>
          </cell>
        </row>
        <row r="2427">
          <cell r="L2427">
            <v>40742</v>
          </cell>
        </row>
        <row r="2428">
          <cell r="L2428">
            <v>40742</v>
          </cell>
        </row>
        <row r="2429">
          <cell r="L2429">
            <v>40742</v>
          </cell>
        </row>
        <row r="2430">
          <cell r="L2430">
            <v>40742</v>
          </cell>
        </row>
        <row r="2431">
          <cell r="L2431">
            <v>40742</v>
          </cell>
        </row>
        <row r="2432">
          <cell r="L2432">
            <v>40742</v>
          </cell>
        </row>
        <row r="2433">
          <cell r="L2433">
            <v>40742</v>
          </cell>
        </row>
        <row r="2434">
          <cell r="L2434">
            <v>40742</v>
          </cell>
        </row>
        <row r="2435">
          <cell r="L2435">
            <v>40742</v>
          </cell>
        </row>
        <row r="2436">
          <cell r="L2436">
            <v>40742</v>
          </cell>
        </row>
        <row r="2437">
          <cell r="L2437">
            <v>40742</v>
          </cell>
        </row>
        <row r="2438">
          <cell r="L2438">
            <v>40742</v>
          </cell>
        </row>
        <row r="2439">
          <cell r="L2439">
            <v>40742</v>
          </cell>
        </row>
        <row r="2440">
          <cell r="L2440">
            <v>40742</v>
          </cell>
        </row>
        <row r="2441">
          <cell r="L2441">
            <v>40742</v>
          </cell>
        </row>
        <row r="2442">
          <cell r="L2442">
            <v>40742</v>
          </cell>
        </row>
        <row r="2443">
          <cell r="L2443">
            <v>40742</v>
          </cell>
        </row>
        <row r="2444">
          <cell r="L2444">
            <v>40742</v>
          </cell>
        </row>
        <row r="2445">
          <cell r="L2445">
            <v>40742</v>
          </cell>
        </row>
        <row r="2446">
          <cell r="L2446">
            <v>40742</v>
          </cell>
        </row>
        <row r="2447">
          <cell r="L2447">
            <v>40742</v>
          </cell>
        </row>
        <row r="2448">
          <cell r="L2448">
            <v>40742</v>
          </cell>
        </row>
        <row r="2449">
          <cell r="L2449">
            <v>40742</v>
          </cell>
        </row>
        <row r="2450">
          <cell r="L2450">
            <v>40742</v>
          </cell>
        </row>
        <row r="2451">
          <cell r="L2451">
            <v>40742</v>
          </cell>
        </row>
        <row r="2452">
          <cell r="L2452">
            <v>40742</v>
          </cell>
        </row>
        <row r="2453">
          <cell r="L2453">
            <v>40742</v>
          </cell>
        </row>
        <row r="2454">
          <cell r="L2454">
            <v>40742</v>
          </cell>
        </row>
        <row r="2455">
          <cell r="L2455">
            <v>40742</v>
          </cell>
        </row>
        <row r="2456">
          <cell r="L2456">
            <v>40742</v>
          </cell>
        </row>
        <row r="2457">
          <cell r="L2457">
            <v>40742</v>
          </cell>
        </row>
        <row r="2458">
          <cell r="L2458">
            <v>40742</v>
          </cell>
        </row>
        <row r="2459">
          <cell r="L2459">
            <v>40742</v>
          </cell>
        </row>
        <row r="2460">
          <cell r="L2460">
            <v>40742</v>
          </cell>
        </row>
        <row r="2461">
          <cell r="L2461">
            <v>40742</v>
          </cell>
        </row>
        <row r="2462">
          <cell r="L2462">
            <v>40742</v>
          </cell>
        </row>
        <row r="2463">
          <cell r="L2463">
            <v>40742</v>
          </cell>
        </row>
        <row r="2464">
          <cell r="L2464">
            <v>40742</v>
          </cell>
        </row>
        <row r="2465">
          <cell r="L2465">
            <v>40742</v>
          </cell>
        </row>
        <row r="2466">
          <cell r="L2466">
            <v>40742</v>
          </cell>
        </row>
        <row r="2467">
          <cell r="L2467">
            <v>40742</v>
          </cell>
        </row>
        <row r="2468">
          <cell r="L2468">
            <v>40742</v>
          </cell>
        </row>
        <row r="2469">
          <cell r="L2469">
            <v>40742</v>
          </cell>
        </row>
        <row r="2470">
          <cell r="L2470">
            <v>40742</v>
          </cell>
        </row>
        <row r="2471">
          <cell r="L2471">
            <v>40742</v>
          </cell>
        </row>
        <row r="2472">
          <cell r="L2472">
            <v>40742</v>
          </cell>
        </row>
        <row r="2473">
          <cell r="L2473">
            <v>40742</v>
          </cell>
        </row>
        <row r="2474">
          <cell r="L2474">
            <v>40742</v>
          </cell>
        </row>
        <row r="2475">
          <cell r="L2475">
            <v>40742</v>
          </cell>
        </row>
        <row r="2476">
          <cell r="L2476">
            <v>40742</v>
          </cell>
        </row>
        <row r="2477">
          <cell r="L2477">
            <v>40742</v>
          </cell>
        </row>
        <row r="2478">
          <cell r="L2478">
            <v>40742</v>
          </cell>
        </row>
        <row r="2479">
          <cell r="L2479">
            <v>40742</v>
          </cell>
        </row>
        <row r="2480">
          <cell r="L2480">
            <v>40742</v>
          </cell>
        </row>
        <row r="2481">
          <cell r="L2481">
            <v>40742</v>
          </cell>
        </row>
        <row r="2482">
          <cell r="L2482">
            <v>40742</v>
          </cell>
        </row>
        <row r="2483">
          <cell r="L2483">
            <v>40742</v>
          </cell>
        </row>
        <row r="2484">
          <cell r="L2484">
            <v>40742</v>
          </cell>
        </row>
        <row r="2485">
          <cell r="L2485">
            <v>40742</v>
          </cell>
        </row>
        <row r="2486">
          <cell r="L2486">
            <v>40742</v>
          </cell>
        </row>
        <row r="2487">
          <cell r="L2487">
            <v>40742</v>
          </cell>
        </row>
        <row r="2488">
          <cell r="L2488">
            <v>40742</v>
          </cell>
        </row>
        <row r="2489">
          <cell r="L2489">
            <v>40742</v>
          </cell>
        </row>
        <row r="2490">
          <cell r="L2490">
            <v>40742</v>
          </cell>
        </row>
        <row r="2491">
          <cell r="L2491">
            <v>40742</v>
          </cell>
        </row>
        <row r="2492">
          <cell r="L2492">
            <v>40742</v>
          </cell>
        </row>
        <row r="2493">
          <cell r="L2493">
            <v>40742</v>
          </cell>
        </row>
        <row r="2494">
          <cell r="L2494">
            <v>40742</v>
          </cell>
        </row>
        <row r="2495">
          <cell r="L2495">
            <v>40742</v>
          </cell>
        </row>
        <row r="2496">
          <cell r="L2496">
            <v>40742</v>
          </cell>
        </row>
        <row r="2497">
          <cell r="L2497">
            <v>40742</v>
          </cell>
        </row>
        <row r="2498">
          <cell r="L2498">
            <v>40742</v>
          </cell>
        </row>
        <row r="2499">
          <cell r="L2499">
            <v>40742</v>
          </cell>
        </row>
        <row r="2500">
          <cell r="L2500">
            <v>40742</v>
          </cell>
        </row>
        <row r="2501">
          <cell r="L2501">
            <v>40742</v>
          </cell>
        </row>
        <row r="2502">
          <cell r="L2502">
            <v>40742</v>
          </cell>
        </row>
        <row r="2503">
          <cell r="L2503">
            <v>40742</v>
          </cell>
        </row>
        <row r="2504">
          <cell r="L2504">
            <v>40742</v>
          </cell>
        </row>
        <row r="2505">
          <cell r="L2505">
            <v>40742</v>
          </cell>
        </row>
        <row r="2506">
          <cell r="L2506">
            <v>40742</v>
          </cell>
        </row>
        <row r="2507">
          <cell r="L2507">
            <v>40742</v>
          </cell>
        </row>
        <row r="2508">
          <cell r="L2508">
            <v>40742</v>
          </cell>
        </row>
        <row r="2509">
          <cell r="L2509">
            <v>40742</v>
          </cell>
        </row>
        <row r="2510">
          <cell r="L2510">
            <v>40742</v>
          </cell>
        </row>
        <row r="2511">
          <cell r="L2511">
            <v>40743</v>
          </cell>
        </row>
        <row r="2512">
          <cell r="L2512">
            <v>40743</v>
          </cell>
        </row>
        <row r="2513">
          <cell r="L2513">
            <v>40743</v>
          </cell>
        </row>
        <row r="2514">
          <cell r="L2514">
            <v>40743</v>
          </cell>
        </row>
        <row r="2515">
          <cell r="L2515">
            <v>40743</v>
          </cell>
        </row>
        <row r="2516">
          <cell r="L2516">
            <v>40743</v>
          </cell>
        </row>
        <row r="2517">
          <cell r="L2517">
            <v>40743</v>
          </cell>
        </row>
        <row r="2518">
          <cell r="L2518">
            <v>40743</v>
          </cell>
        </row>
        <row r="2519">
          <cell r="L2519">
            <v>40743</v>
          </cell>
        </row>
        <row r="2520">
          <cell r="L2520">
            <v>40743</v>
          </cell>
        </row>
        <row r="2521">
          <cell r="L2521">
            <v>40743</v>
          </cell>
        </row>
        <row r="2522">
          <cell r="L2522">
            <v>40743</v>
          </cell>
        </row>
        <row r="2523">
          <cell r="L2523">
            <v>40743</v>
          </cell>
        </row>
        <row r="2524">
          <cell r="L2524">
            <v>40743</v>
          </cell>
        </row>
        <row r="2525">
          <cell r="L2525">
            <v>40743</v>
          </cell>
        </row>
        <row r="2526">
          <cell r="L2526">
            <v>40743</v>
          </cell>
        </row>
        <row r="2527">
          <cell r="L2527">
            <v>40743</v>
          </cell>
        </row>
        <row r="2528">
          <cell r="L2528">
            <v>40743</v>
          </cell>
        </row>
        <row r="2529">
          <cell r="L2529">
            <v>40743</v>
          </cell>
        </row>
        <row r="2530">
          <cell r="L2530">
            <v>40743</v>
          </cell>
        </row>
        <row r="2531">
          <cell r="L2531">
            <v>40743</v>
          </cell>
        </row>
        <row r="2532">
          <cell r="L2532">
            <v>40743</v>
          </cell>
        </row>
        <row r="2533">
          <cell r="L2533">
            <v>40743</v>
          </cell>
        </row>
        <row r="2534">
          <cell r="L2534">
            <v>40743</v>
          </cell>
        </row>
        <row r="2535">
          <cell r="L2535">
            <v>40743</v>
          </cell>
        </row>
        <row r="2536">
          <cell r="L2536">
            <v>40743</v>
          </cell>
        </row>
        <row r="2537">
          <cell r="L2537">
            <v>40743</v>
          </cell>
        </row>
        <row r="2538">
          <cell r="L2538">
            <v>40743</v>
          </cell>
        </row>
        <row r="2539">
          <cell r="L2539">
            <v>40743</v>
          </cell>
        </row>
        <row r="2540">
          <cell r="L2540">
            <v>40743</v>
          </cell>
        </row>
        <row r="2541">
          <cell r="L2541">
            <v>40743</v>
          </cell>
        </row>
        <row r="2542">
          <cell r="L2542">
            <v>40743</v>
          </cell>
        </row>
        <row r="2543">
          <cell r="L2543">
            <v>40743</v>
          </cell>
        </row>
        <row r="2544">
          <cell r="L2544">
            <v>40743</v>
          </cell>
        </row>
        <row r="2545">
          <cell r="L2545">
            <v>40743</v>
          </cell>
        </row>
        <row r="2546">
          <cell r="L2546">
            <v>40743</v>
          </cell>
        </row>
        <row r="2547">
          <cell r="L2547">
            <v>40743</v>
          </cell>
        </row>
        <row r="2548">
          <cell r="L2548">
            <v>40743</v>
          </cell>
        </row>
        <row r="2549">
          <cell r="L2549">
            <v>40743</v>
          </cell>
        </row>
        <row r="2550">
          <cell r="L2550">
            <v>40743</v>
          </cell>
        </row>
        <row r="2551">
          <cell r="L2551">
            <v>40743</v>
          </cell>
        </row>
        <row r="2552">
          <cell r="L2552">
            <v>40743</v>
          </cell>
        </row>
        <row r="2553">
          <cell r="L2553">
            <v>40743</v>
          </cell>
        </row>
        <row r="2554">
          <cell r="L2554">
            <v>40743</v>
          </cell>
        </row>
        <row r="2555">
          <cell r="L2555">
            <v>40743</v>
          </cell>
        </row>
        <row r="2556">
          <cell r="L2556">
            <v>40743</v>
          </cell>
        </row>
        <row r="2557">
          <cell r="L2557">
            <v>40743</v>
          </cell>
        </row>
        <row r="2558">
          <cell r="L2558">
            <v>40743</v>
          </cell>
        </row>
        <row r="2559">
          <cell r="L2559">
            <v>40743</v>
          </cell>
        </row>
        <row r="2560">
          <cell r="L2560">
            <v>40743</v>
          </cell>
        </row>
        <row r="2561">
          <cell r="L2561">
            <v>40743</v>
          </cell>
        </row>
        <row r="2562">
          <cell r="L2562">
            <v>40743</v>
          </cell>
        </row>
        <row r="2563">
          <cell r="L2563">
            <v>40743</v>
          </cell>
        </row>
        <row r="2564">
          <cell r="L2564">
            <v>40743</v>
          </cell>
        </row>
        <row r="2565">
          <cell r="L2565">
            <v>40743</v>
          </cell>
        </row>
        <row r="2566">
          <cell r="L2566">
            <v>40743</v>
          </cell>
        </row>
        <row r="2567">
          <cell r="L2567">
            <v>40743</v>
          </cell>
        </row>
        <row r="2568">
          <cell r="L2568">
            <v>40743</v>
          </cell>
        </row>
        <row r="2569">
          <cell r="L2569">
            <v>40743</v>
          </cell>
        </row>
        <row r="2570">
          <cell r="L2570">
            <v>40743</v>
          </cell>
        </row>
        <row r="2571">
          <cell r="L2571">
            <v>40743</v>
          </cell>
        </row>
        <row r="2572">
          <cell r="L2572">
            <v>40743</v>
          </cell>
        </row>
        <row r="2573">
          <cell r="L2573">
            <v>40743</v>
          </cell>
        </row>
        <row r="2574">
          <cell r="L2574">
            <v>40743</v>
          </cell>
        </row>
        <row r="2575">
          <cell r="L2575">
            <v>40743</v>
          </cell>
        </row>
        <row r="2576">
          <cell r="L2576">
            <v>40743</v>
          </cell>
        </row>
        <row r="2577">
          <cell r="L2577">
            <v>40743</v>
          </cell>
        </row>
        <row r="2578">
          <cell r="L2578">
            <v>40743</v>
          </cell>
        </row>
        <row r="2579">
          <cell r="L2579">
            <v>40743</v>
          </cell>
        </row>
        <row r="2580">
          <cell r="L2580">
            <v>40743</v>
          </cell>
        </row>
        <row r="2581">
          <cell r="L2581">
            <v>40743</v>
          </cell>
        </row>
        <row r="2582">
          <cell r="L2582">
            <v>40743</v>
          </cell>
        </row>
        <row r="2583">
          <cell r="L2583">
            <v>40743</v>
          </cell>
        </row>
        <row r="2584">
          <cell r="L2584">
            <v>40743</v>
          </cell>
        </row>
        <row r="2585">
          <cell r="L2585">
            <v>40743</v>
          </cell>
        </row>
        <row r="2586">
          <cell r="L2586">
            <v>40743</v>
          </cell>
        </row>
        <row r="2587">
          <cell r="L2587">
            <v>40743</v>
          </cell>
        </row>
        <row r="2588">
          <cell r="L2588">
            <v>40743</v>
          </cell>
        </row>
        <row r="2589">
          <cell r="L2589">
            <v>40743</v>
          </cell>
        </row>
        <row r="2590">
          <cell r="L2590">
            <v>40743</v>
          </cell>
        </row>
        <row r="2591">
          <cell r="L2591">
            <v>40743</v>
          </cell>
        </row>
        <row r="2592">
          <cell r="L2592">
            <v>40743</v>
          </cell>
        </row>
        <row r="2593">
          <cell r="L2593">
            <v>40743</v>
          </cell>
        </row>
        <row r="2594">
          <cell r="L2594">
            <v>40743</v>
          </cell>
        </row>
        <row r="2595">
          <cell r="L2595">
            <v>40743</v>
          </cell>
        </row>
        <row r="2596">
          <cell r="L2596">
            <v>40743</v>
          </cell>
        </row>
        <row r="2597">
          <cell r="L2597">
            <v>40743</v>
          </cell>
        </row>
        <row r="2598">
          <cell r="L2598">
            <v>40743</v>
          </cell>
        </row>
        <row r="2599">
          <cell r="L2599">
            <v>40744</v>
          </cell>
        </row>
        <row r="2600">
          <cell r="L2600">
            <v>40744</v>
          </cell>
        </row>
        <row r="2601">
          <cell r="L2601">
            <v>40744</v>
          </cell>
        </row>
        <row r="2602">
          <cell r="L2602">
            <v>40744</v>
          </cell>
        </row>
        <row r="2603">
          <cell r="L2603">
            <v>40744</v>
          </cell>
        </row>
        <row r="2604">
          <cell r="L2604">
            <v>40744</v>
          </cell>
        </row>
        <row r="2605">
          <cell r="L2605">
            <v>40744</v>
          </cell>
        </row>
        <row r="2606">
          <cell r="L2606">
            <v>40744</v>
          </cell>
        </row>
        <row r="2607">
          <cell r="L2607">
            <v>40744</v>
          </cell>
        </row>
        <row r="2608">
          <cell r="L2608">
            <v>40744</v>
          </cell>
        </row>
        <row r="2609">
          <cell r="L2609">
            <v>40744</v>
          </cell>
        </row>
        <row r="2610">
          <cell r="L2610">
            <v>40744</v>
          </cell>
        </row>
        <row r="2611">
          <cell r="L2611">
            <v>40744</v>
          </cell>
        </row>
        <row r="2612">
          <cell r="L2612">
            <v>40744</v>
          </cell>
        </row>
        <row r="2613">
          <cell r="L2613">
            <v>40744</v>
          </cell>
        </row>
        <row r="2614">
          <cell r="L2614">
            <v>40744</v>
          </cell>
        </row>
        <row r="2615">
          <cell r="L2615">
            <v>40744</v>
          </cell>
        </row>
        <row r="2616">
          <cell r="L2616">
            <v>40744</v>
          </cell>
        </row>
        <row r="2617">
          <cell r="L2617">
            <v>40744</v>
          </cell>
        </row>
        <row r="2618">
          <cell r="L2618">
            <v>40744</v>
          </cell>
        </row>
        <row r="2619">
          <cell r="L2619">
            <v>40744</v>
          </cell>
        </row>
        <row r="2620">
          <cell r="L2620">
            <v>40744</v>
          </cell>
        </row>
        <row r="2621">
          <cell r="L2621">
            <v>40744</v>
          </cell>
        </row>
        <row r="2622">
          <cell r="L2622">
            <v>40744</v>
          </cell>
        </row>
        <row r="2623">
          <cell r="L2623">
            <v>40744</v>
          </cell>
        </row>
        <row r="2624">
          <cell r="L2624">
            <v>40744</v>
          </cell>
        </row>
        <row r="2625">
          <cell r="L2625">
            <v>40744</v>
          </cell>
        </row>
        <row r="2626">
          <cell r="L2626">
            <v>40744</v>
          </cell>
        </row>
        <row r="2627">
          <cell r="L2627">
            <v>40744</v>
          </cell>
        </row>
        <row r="2628">
          <cell r="L2628">
            <v>40744</v>
          </cell>
        </row>
        <row r="2629">
          <cell r="L2629">
            <v>40744</v>
          </cell>
        </row>
        <row r="2630">
          <cell r="L2630">
            <v>40744</v>
          </cell>
        </row>
        <row r="2631">
          <cell r="L2631">
            <v>40744</v>
          </cell>
        </row>
        <row r="2632">
          <cell r="L2632">
            <v>40744</v>
          </cell>
        </row>
        <row r="2633">
          <cell r="L2633">
            <v>40744</v>
          </cell>
        </row>
        <row r="2634">
          <cell r="L2634">
            <v>40744</v>
          </cell>
        </row>
        <row r="2635">
          <cell r="L2635">
            <v>40744</v>
          </cell>
        </row>
        <row r="2636">
          <cell r="L2636">
            <v>40744</v>
          </cell>
        </row>
        <row r="2637">
          <cell r="L2637">
            <v>40744</v>
          </cell>
        </row>
        <row r="2638">
          <cell r="L2638">
            <v>40744</v>
          </cell>
        </row>
        <row r="2639">
          <cell r="L2639">
            <v>40744</v>
          </cell>
        </row>
        <row r="2640">
          <cell r="L2640">
            <v>40744</v>
          </cell>
        </row>
        <row r="2641">
          <cell r="L2641">
            <v>40744</v>
          </cell>
        </row>
        <row r="2642">
          <cell r="L2642">
            <v>40744</v>
          </cell>
        </row>
        <row r="2643">
          <cell r="L2643">
            <v>40744</v>
          </cell>
        </row>
        <row r="2644">
          <cell r="L2644">
            <v>40744</v>
          </cell>
        </row>
        <row r="2645">
          <cell r="L2645">
            <v>40744</v>
          </cell>
        </row>
        <row r="2646">
          <cell r="L2646">
            <v>40744</v>
          </cell>
        </row>
        <row r="2647">
          <cell r="L2647">
            <v>40744</v>
          </cell>
        </row>
        <row r="2648">
          <cell r="L2648">
            <v>40744</v>
          </cell>
        </row>
        <row r="2649">
          <cell r="L2649">
            <v>40744</v>
          </cell>
        </row>
        <row r="2650">
          <cell r="L2650">
            <v>40744</v>
          </cell>
        </row>
        <row r="2651">
          <cell r="L2651">
            <v>40744</v>
          </cell>
        </row>
        <row r="2652">
          <cell r="L2652">
            <v>40744</v>
          </cell>
        </row>
        <row r="2653">
          <cell r="L2653">
            <v>40744</v>
          </cell>
        </row>
        <row r="2654">
          <cell r="L2654">
            <v>40744</v>
          </cell>
        </row>
        <row r="2655">
          <cell r="L2655">
            <v>40744</v>
          </cell>
        </row>
        <row r="2656">
          <cell r="L2656">
            <v>40744</v>
          </cell>
        </row>
        <row r="2657">
          <cell r="L2657">
            <v>40744</v>
          </cell>
        </row>
        <row r="2658">
          <cell r="L2658">
            <v>40744</v>
          </cell>
        </row>
        <row r="2659">
          <cell r="L2659">
            <v>40744</v>
          </cell>
        </row>
        <row r="2660">
          <cell r="L2660">
            <v>40744</v>
          </cell>
        </row>
        <row r="2661">
          <cell r="L2661">
            <v>40744</v>
          </cell>
        </row>
        <row r="2662">
          <cell r="L2662">
            <v>40744</v>
          </cell>
        </row>
        <row r="2663">
          <cell r="L2663">
            <v>40744</v>
          </cell>
        </row>
        <row r="2664">
          <cell r="L2664">
            <v>40744</v>
          </cell>
        </row>
        <row r="2665">
          <cell r="L2665">
            <v>40744</v>
          </cell>
        </row>
        <row r="2666">
          <cell r="L2666">
            <v>40744</v>
          </cell>
        </row>
        <row r="2667">
          <cell r="L2667">
            <v>40744</v>
          </cell>
        </row>
        <row r="2668">
          <cell r="L2668">
            <v>40744</v>
          </cell>
        </row>
        <row r="2669">
          <cell r="L2669">
            <v>40744</v>
          </cell>
        </row>
        <row r="2670">
          <cell r="L2670">
            <v>40744</v>
          </cell>
        </row>
        <row r="2671">
          <cell r="L2671">
            <v>40744</v>
          </cell>
        </row>
        <row r="2672">
          <cell r="L2672">
            <v>40744</v>
          </cell>
        </row>
        <row r="2673">
          <cell r="L2673">
            <v>40744</v>
          </cell>
        </row>
        <row r="2674">
          <cell r="L2674">
            <v>40744</v>
          </cell>
        </row>
        <row r="2675">
          <cell r="L2675">
            <v>40744</v>
          </cell>
        </row>
        <row r="2676">
          <cell r="L2676">
            <v>40744</v>
          </cell>
        </row>
        <row r="2677">
          <cell r="L2677">
            <v>40744</v>
          </cell>
        </row>
        <row r="2678">
          <cell r="L2678">
            <v>40744</v>
          </cell>
        </row>
        <row r="2679">
          <cell r="L2679">
            <v>40744</v>
          </cell>
        </row>
        <row r="2680">
          <cell r="L2680">
            <v>40744</v>
          </cell>
        </row>
        <row r="2681">
          <cell r="L2681">
            <v>40744</v>
          </cell>
        </row>
        <row r="2682">
          <cell r="L2682">
            <v>40744</v>
          </cell>
        </row>
        <row r="2683">
          <cell r="L2683">
            <v>40744</v>
          </cell>
        </row>
        <row r="2684">
          <cell r="L2684">
            <v>40744</v>
          </cell>
        </row>
        <row r="2685">
          <cell r="L2685">
            <v>40744</v>
          </cell>
        </row>
        <row r="2686">
          <cell r="L2686">
            <v>40744</v>
          </cell>
        </row>
        <row r="2687">
          <cell r="L2687">
            <v>40744</v>
          </cell>
        </row>
        <row r="2688">
          <cell r="L2688">
            <v>40744</v>
          </cell>
        </row>
        <row r="2689">
          <cell r="L2689">
            <v>40744</v>
          </cell>
        </row>
        <row r="2690">
          <cell r="L2690">
            <v>40744</v>
          </cell>
        </row>
        <row r="2691">
          <cell r="L2691">
            <v>40744</v>
          </cell>
        </row>
        <row r="2692">
          <cell r="L2692">
            <v>40744</v>
          </cell>
        </row>
        <row r="2693">
          <cell r="L2693">
            <v>40744</v>
          </cell>
        </row>
        <row r="2694">
          <cell r="L2694">
            <v>40744</v>
          </cell>
        </row>
        <row r="2695">
          <cell r="L2695">
            <v>40744</v>
          </cell>
        </row>
        <row r="2696">
          <cell r="L2696">
            <v>40744</v>
          </cell>
        </row>
        <row r="2697">
          <cell r="L2697">
            <v>40744</v>
          </cell>
        </row>
        <row r="2698">
          <cell r="L2698">
            <v>40744</v>
          </cell>
        </row>
        <row r="2699">
          <cell r="L2699">
            <v>40744</v>
          </cell>
        </row>
        <row r="2700">
          <cell r="L2700">
            <v>40744</v>
          </cell>
        </row>
        <row r="2701">
          <cell r="L2701">
            <v>40744</v>
          </cell>
        </row>
        <row r="2702">
          <cell r="L2702">
            <v>40744</v>
          </cell>
        </row>
        <row r="2703">
          <cell r="L2703">
            <v>40744</v>
          </cell>
        </row>
        <row r="2704">
          <cell r="L2704">
            <v>40744</v>
          </cell>
        </row>
        <row r="2705">
          <cell r="L2705">
            <v>40744</v>
          </cell>
        </row>
        <row r="2706">
          <cell r="L2706">
            <v>40744</v>
          </cell>
        </row>
        <row r="2707">
          <cell r="L2707">
            <v>40744</v>
          </cell>
        </row>
        <row r="2708">
          <cell r="L2708">
            <v>40744</v>
          </cell>
        </row>
        <row r="2709">
          <cell r="L2709">
            <v>40744</v>
          </cell>
        </row>
        <row r="2710">
          <cell r="L2710">
            <v>40744</v>
          </cell>
        </row>
        <row r="2711">
          <cell r="L2711">
            <v>40744</v>
          </cell>
        </row>
        <row r="2712">
          <cell r="L2712">
            <v>40744</v>
          </cell>
        </row>
        <row r="2713">
          <cell r="L2713">
            <v>40744</v>
          </cell>
        </row>
        <row r="2714">
          <cell r="L2714">
            <v>40744</v>
          </cell>
        </row>
        <row r="2715">
          <cell r="L2715">
            <v>40744</v>
          </cell>
        </row>
        <row r="2716">
          <cell r="L2716">
            <v>40744</v>
          </cell>
        </row>
        <row r="2717">
          <cell r="L2717">
            <v>40744</v>
          </cell>
        </row>
        <row r="2718">
          <cell r="L2718">
            <v>40744</v>
          </cell>
        </row>
        <row r="2719">
          <cell r="L2719">
            <v>40744</v>
          </cell>
        </row>
        <row r="2720">
          <cell r="L2720">
            <v>40744</v>
          </cell>
        </row>
        <row r="2721">
          <cell r="L2721">
            <v>40744</v>
          </cell>
        </row>
        <row r="2722">
          <cell r="L2722">
            <v>40744</v>
          </cell>
        </row>
        <row r="2723">
          <cell r="L2723">
            <v>40744</v>
          </cell>
        </row>
        <row r="2724">
          <cell r="L2724">
            <v>40744</v>
          </cell>
        </row>
        <row r="2725">
          <cell r="L2725">
            <v>40744</v>
          </cell>
        </row>
        <row r="2726">
          <cell r="L2726">
            <v>40745</v>
          </cell>
        </row>
        <row r="2727">
          <cell r="L2727">
            <v>40745</v>
          </cell>
        </row>
        <row r="2728">
          <cell r="L2728">
            <v>40745</v>
          </cell>
        </row>
        <row r="2729">
          <cell r="L2729">
            <v>40745</v>
          </cell>
        </row>
        <row r="2730">
          <cell r="L2730">
            <v>40745</v>
          </cell>
        </row>
        <row r="2731">
          <cell r="L2731">
            <v>40745</v>
          </cell>
        </row>
        <row r="2732">
          <cell r="L2732">
            <v>40745</v>
          </cell>
        </row>
        <row r="2733">
          <cell r="L2733">
            <v>40745</v>
          </cell>
        </row>
        <row r="2734">
          <cell r="L2734">
            <v>40745</v>
          </cell>
        </row>
        <row r="2735">
          <cell r="L2735">
            <v>40746</v>
          </cell>
        </row>
        <row r="2736">
          <cell r="L2736">
            <v>40746</v>
          </cell>
        </row>
        <row r="2737">
          <cell r="L2737">
            <v>40749</v>
          </cell>
        </row>
        <row r="2738">
          <cell r="L2738">
            <v>40749</v>
          </cell>
        </row>
        <row r="2739">
          <cell r="L2739">
            <v>40749</v>
          </cell>
        </row>
        <row r="2740">
          <cell r="L2740">
            <v>40749</v>
          </cell>
        </row>
        <row r="2741">
          <cell r="L2741">
            <v>40749</v>
          </cell>
        </row>
        <row r="2742">
          <cell r="L2742">
            <v>40749</v>
          </cell>
        </row>
        <row r="2743">
          <cell r="L2743">
            <v>40749</v>
          </cell>
        </row>
        <row r="2744">
          <cell r="L2744">
            <v>40749</v>
          </cell>
        </row>
        <row r="2745">
          <cell r="L2745">
            <v>40749</v>
          </cell>
        </row>
        <row r="2746">
          <cell r="L2746">
            <v>40749</v>
          </cell>
        </row>
        <row r="2747">
          <cell r="L2747">
            <v>40749</v>
          </cell>
        </row>
        <row r="2748">
          <cell r="L2748">
            <v>40749</v>
          </cell>
        </row>
        <row r="2749">
          <cell r="L2749">
            <v>40749</v>
          </cell>
        </row>
        <row r="2750">
          <cell r="L2750">
            <v>40749</v>
          </cell>
        </row>
        <row r="2751">
          <cell r="L2751">
            <v>40749</v>
          </cell>
        </row>
        <row r="2752">
          <cell r="L2752">
            <v>40749</v>
          </cell>
        </row>
        <row r="2753">
          <cell r="L2753">
            <v>40749</v>
          </cell>
        </row>
        <row r="2754">
          <cell r="L2754">
            <v>40749</v>
          </cell>
        </row>
        <row r="2755">
          <cell r="L2755">
            <v>40749</v>
          </cell>
        </row>
        <row r="2756">
          <cell r="L2756">
            <v>40749</v>
          </cell>
        </row>
        <row r="2757">
          <cell r="L2757">
            <v>40749</v>
          </cell>
        </row>
        <row r="2758">
          <cell r="L2758">
            <v>40749</v>
          </cell>
        </row>
        <row r="2759">
          <cell r="L2759">
            <v>40749</v>
          </cell>
        </row>
        <row r="2760">
          <cell r="L2760">
            <v>40749</v>
          </cell>
        </row>
        <row r="2761">
          <cell r="L2761">
            <v>40749</v>
          </cell>
        </row>
        <row r="2762">
          <cell r="L2762">
            <v>40749</v>
          </cell>
        </row>
        <row r="2763">
          <cell r="L2763">
            <v>40749</v>
          </cell>
        </row>
        <row r="2764">
          <cell r="L2764">
            <v>40749</v>
          </cell>
        </row>
        <row r="2765">
          <cell r="L2765">
            <v>40749</v>
          </cell>
        </row>
        <row r="2766">
          <cell r="L2766">
            <v>40749</v>
          </cell>
        </row>
        <row r="2767">
          <cell r="L2767">
            <v>40749</v>
          </cell>
        </row>
        <row r="2768">
          <cell r="L2768">
            <v>40749</v>
          </cell>
        </row>
        <row r="2769">
          <cell r="L2769">
            <v>40749</v>
          </cell>
        </row>
        <row r="2770">
          <cell r="L2770">
            <v>40749</v>
          </cell>
        </row>
        <row r="2771">
          <cell r="L2771">
            <v>40749</v>
          </cell>
        </row>
        <row r="2772">
          <cell r="L2772">
            <v>40749</v>
          </cell>
        </row>
        <row r="2773">
          <cell r="L2773">
            <v>40750</v>
          </cell>
        </row>
        <row r="2774">
          <cell r="L2774">
            <v>40750</v>
          </cell>
        </row>
        <row r="2775">
          <cell r="L2775">
            <v>40750</v>
          </cell>
        </row>
        <row r="2776">
          <cell r="L2776">
            <v>40750</v>
          </cell>
        </row>
        <row r="2777">
          <cell r="L2777">
            <v>40750</v>
          </cell>
        </row>
        <row r="2778">
          <cell r="L2778">
            <v>40750</v>
          </cell>
        </row>
        <row r="2779">
          <cell r="L2779">
            <v>40750</v>
          </cell>
        </row>
        <row r="2780">
          <cell r="L2780">
            <v>40750</v>
          </cell>
        </row>
        <row r="2781">
          <cell r="L2781">
            <v>40750</v>
          </cell>
        </row>
        <row r="2782">
          <cell r="L2782">
            <v>40751</v>
          </cell>
        </row>
        <row r="2783">
          <cell r="L2783">
            <v>40751</v>
          </cell>
        </row>
        <row r="2784">
          <cell r="L2784">
            <v>40751</v>
          </cell>
        </row>
        <row r="2785">
          <cell r="L2785">
            <v>40751</v>
          </cell>
        </row>
        <row r="2786">
          <cell r="L2786">
            <v>40751</v>
          </cell>
        </row>
        <row r="2787">
          <cell r="L2787">
            <v>40751</v>
          </cell>
        </row>
        <row r="2788">
          <cell r="L2788">
            <v>40751</v>
          </cell>
        </row>
        <row r="2789">
          <cell r="L2789">
            <v>40751</v>
          </cell>
        </row>
        <row r="2790">
          <cell r="L2790">
            <v>40751</v>
          </cell>
        </row>
        <row r="2791">
          <cell r="L2791">
            <v>40751</v>
          </cell>
        </row>
        <row r="2792">
          <cell r="L2792">
            <v>40751</v>
          </cell>
        </row>
        <row r="2793">
          <cell r="L2793">
            <v>40751</v>
          </cell>
        </row>
        <row r="2794">
          <cell r="L2794">
            <v>40751</v>
          </cell>
        </row>
        <row r="2795">
          <cell r="L2795">
            <v>40751</v>
          </cell>
        </row>
        <row r="2796">
          <cell r="L2796">
            <v>40751</v>
          </cell>
        </row>
        <row r="2797">
          <cell r="L2797">
            <v>40751</v>
          </cell>
        </row>
        <row r="2798">
          <cell r="L2798">
            <v>40751</v>
          </cell>
        </row>
        <row r="2799">
          <cell r="L2799">
            <v>40751</v>
          </cell>
        </row>
        <row r="2800">
          <cell r="L2800">
            <v>40751</v>
          </cell>
        </row>
        <row r="2801">
          <cell r="L2801">
            <v>40751</v>
          </cell>
        </row>
        <row r="2802">
          <cell r="L2802">
            <v>40751</v>
          </cell>
        </row>
        <row r="2803">
          <cell r="L2803">
            <v>40751</v>
          </cell>
        </row>
        <row r="2804">
          <cell r="L2804">
            <v>40751</v>
          </cell>
        </row>
        <row r="2805">
          <cell r="L2805">
            <v>40751</v>
          </cell>
        </row>
        <row r="2806">
          <cell r="L2806">
            <v>40751</v>
          </cell>
        </row>
        <row r="2807">
          <cell r="L2807">
            <v>40751</v>
          </cell>
        </row>
        <row r="2808">
          <cell r="L2808">
            <v>40751</v>
          </cell>
        </row>
        <row r="2809">
          <cell r="L2809">
            <v>40751</v>
          </cell>
        </row>
        <row r="2810">
          <cell r="L2810">
            <v>40751</v>
          </cell>
        </row>
        <row r="2811">
          <cell r="L2811">
            <v>40751</v>
          </cell>
        </row>
        <row r="2812">
          <cell r="L2812">
            <v>40752</v>
          </cell>
        </row>
        <row r="2813">
          <cell r="L2813">
            <v>40752</v>
          </cell>
        </row>
        <row r="2814">
          <cell r="L2814">
            <v>40752</v>
          </cell>
        </row>
        <row r="2815">
          <cell r="L2815">
            <v>40752</v>
          </cell>
        </row>
        <row r="2816">
          <cell r="L2816">
            <v>40752</v>
          </cell>
        </row>
        <row r="2817">
          <cell r="L2817">
            <v>40752</v>
          </cell>
        </row>
        <row r="2818">
          <cell r="L2818">
            <v>40752</v>
          </cell>
        </row>
        <row r="2819">
          <cell r="L2819">
            <v>40752</v>
          </cell>
        </row>
        <row r="2820">
          <cell r="L2820">
            <v>40752</v>
          </cell>
        </row>
        <row r="2821">
          <cell r="L2821">
            <v>40752</v>
          </cell>
        </row>
        <row r="2822">
          <cell r="L2822">
            <v>40752</v>
          </cell>
        </row>
        <row r="2823">
          <cell r="L2823">
            <v>40752</v>
          </cell>
        </row>
        <row r="2824">
          <cell r="L2824">
            <v>40752</v>
          </cell>
        </row>
        <row r="2825">
          <cell r="L2825">
            <v>40752</v>
          </cell>
        </row>
        <row r="2826">
          <cell r="L2826">
            <v>40752</v>
          </cell>
        </row>
        <row r="2827">
          <cell r="L2827">
            <v>40752</v>
          </cell>
        </row>
        <row r="2828">
          <cell r="L2828">
            <v>40752</v>
          </cell>
        </row>
        <row r="2829">
          <cell r="L2829">
            <v>40752</v>
          </cell>
        </row>
        <row r="2830">
          <cell r="L2830">
            <v>40752</v>
          </cell>
        </row>
        <row r="2831">
          <cell r="L2831">
            <v>40752</v>
          </cell>
        </row>
        <row r="2832">
          <cell r="L2832">
            <v>40752</v>
          </cell>
        </row>
        <row r="2833">
          <cell r="L2833">
            <v>40752</v>
          </cell>
        </row>
        <row r="2834">
          <cell r="L2834">
            <v>40752</v>
          </cell>
        </row>
        <row r="2835">
          <cell r="L2835">
            <v>40752</v>
          </cell>
        </row>
        <row r="2836">
          <cell r="L2836">
            <v>40752</v>
          </cell>
        </row>
        <row r="2837">
          <cell r="L2837">
            <v>40752</v>
          </cell>
        </row>
        <row r="2838">
          <cell r="L2838">
            <v>40752</v>
          </cell>
        </row>
        <row r="2839">
          <cell r="L2839">
            <v>40752</v>
          </cell>
        </row>
        <row r="2840">
          <cell r="L2840">
            <v>40752</v>
          </cell>
        </row>
        <row r="2841">
          <cell r="L2841">
            <v>40752</v>
          </cell>
        </row>
        <row r="2842">
          <cell r="L2842">
            <v>40752</v>
          </cell>
        </row>
        <row r="2843">
          <cell r="L2843">
            <v>40752</v>
          </cell>
        </row>
        <row r="2844">
          <cell r="L2844">
            <v>40752</v>
          </cell>
        </row>
        <row r="2845">
          <cell r="L2845">
            <v>40752</v>
          </cell>
        </row>
        <row r="2846">
          <cell r="L2846">
            <v>40752</v>
          </cell>
        </row>
        <row r="2847">
          <cell r="L2847">
            <v>40752</v>
          </cell>
        </row>
        <row r="2848">
          <cell r="L2848">
            <v>40752</v>
          </cell>
        </row>
        <row r="2849">
          <cell r="L2849">
            <v>40752</v>
          </cell>
        </row>
        <row r="2850">
          <cell r="L2850">
            <v>40752</v>
          </cell>
        </row>
        <row r="2851">
          <cell r="L2851">
            <v>40752</v>
          </cell>
        </row>
        <row r="2852">
          <cell r="L2852">
            <v>40752</v>
          </cell>
        </row>
        <row r="2853">
          <cell r="L2853">
            <v>40752</v>
          </cell>
        </row>
        <row r="2854">
          <cell r="L2854">
            <v>40752</v>
          </cell>
        </row>
        <row r="2855">
          <cell r="L2855">
            <v>40752</v>
          </cell>
        </row>
        <row r="2856">
          <cell r="L2856">
            <v>40752</v>
          </cell>
        </row>
        <row r="2857">
          <cell r="L2857">
            <v>40752</v>
          </cell>
        </row>
        <row r="2858">
          <cell r="L2858">
            <v>40752</v>
          </cell>
        </row>
        <row r="2859">
          <cell r="L2859">
            <v>40752</v>
          </cell>
        </row>
        <row r="2860">
          <cell r="L2860">
            <v>40752</v>
          </cell>
        </row>
        <row r="2861">
          <cell r="L2861">
            <v>40752</v>
          </cell>
        </row>
        <row r="2862">
          <cell r="L2862">
            <v>40752</v>
          </cell>
        </row>
        <row r="2863">
          <cell r="L2863">
            <v>40752</v>
          </cell>
        </row>
        <row r="2864">
          <cell r="L2864">
            <v>40752</v>
          </cell>
        </row>
        <row r="2865">
          <cell r="L2865">
            <v>40752</v>
          </cell>
        </row>
        <row r="2866">
          <cell r="L2866">
            <v>40752</v>
          </cell>
        </row>
        <row r="2867">
          <cell r="L2867">
            <v>40752</v>
          </cell>
        </row>
        <row r="2868">
          <cell r="L2868">
            <v>40752</v>
          </cell>
        </row>
        <row r="2869">
          <cell r="L2869">
            <v>40752</v>
          </cell>
        </row>
        <row r="2870">
          <cell r="L2870">
            <v>40752</v>
          </cell>
        </row>
        <row r="2871">
          <cell r="L2871">
            <v>40752</v>
          </cell>
        </row>
        <row r="2872">
          <cell r="L2872">
            <v>40752</v>
          </cell>
        </row>
        <row r="2873">
          <cell r="L2873">
            <v>40752</v>
          </cell>
        </row>
        <row r="2874">
          <cell r="L2874">
            <v>40752</v>
          </cell>
        </row>
        <row r="2875">
          <cell r="L2875">
            <v>40752</v>
          </cell>
        </row>
        <row r="2876">
          <cell r="L2876">
            <v>40752</v>
          </cell>
        </row>
        <row r="2877">
          <cell r="L2877">
            <v>40752</v>
          </cell>
        </row>
        <row r="2878">
          <cell r="L2878">
            <v>40752</v>
          </cell>
        </row>
        <row r="2879">
          <cell r="L2879">
            <v>40752</v>
          </cell>
        </row>
        <row r="2880">
          <cell r="L2880">
            <v>40752</v>
          </cell>
        </row>
        <row r="2881">
          <cell r="L2881">
            <v>40752</v>
          </cell>
        </row>
        <row r="2882">
          <cell r="L2882">
            <v>40752</v>
          </cell>
        </row>
        <row r="2883">
          <cell r="L2883">
            <v>40752</v>
          </cell>
        </row>
        <row r="2884">
          <cell r="L2884">
            <v>40752</v>
          </cell>
        </row>
        <row r="2885">
          <cell r="L2885">
            <v>40752</v>
          </cell>
        </row>
        <row r="2886">
          <cell r="L2886">
            <v>40752</v>
          </cell>
        </row>
        <row r="2887">
          <cell r="L2887">
            <v>40752</v>
          </cell>
        </row>
        <row r="2888">
          <cell r="L2888">
            <v>40752</v>
          </cell>
        </row>
        <row r="2889">
          <cell r="L2889">
            <v>40752</v>
          </cell>
        </row>
        <row r="2890">
          <cell r="L2890">
            <v>40752</v>
          </cell>
        </row>
        <row r="2891">
          <cell r="L2891">
            <v>40752</v>
          </cell>
        </row>
        <row r="2892">
          <cell r="L2892">
            <v>40752</v>
          </cell>
        </row>
        <row r="2893">
          <cell r="L2893">
            <v>40752</v>
          </cell>
        </row>
        <row r="2894">
          <cell r="L2894">
            <v>40752</v>
          </cell>
        </row>
        <row r="2895">
          <cell r="L2895">
            <v>40752</v>
          </cell>
        </row>
        <row r="2896">
          <cell r="L2896">
            <v>40752</v>
          </cell>
        </row>
        <row r="2897">
          <cell r="L2897">
            <v>40752</v>
          </cell>
        </row>
        <row r="2898">
          <cell r="L2898">
            <v>40752</v>
          </cell>
        </row>
        <row r="2899">
          <cell r="L2899">
            <v>40752</v>
          </cell>
        </row>
        <row r="2900">
          <cell r="L2900">
            <v>40752</v>
          </cell>
        </row>
        <row r="2901">
          <cell r="L2901">
            <v>40752</v>
          </cell>
        </row>
        <row r="2902">
          <cell r="L2902">
            <v>40752</v>
          </cell>
        </row>
        <row r="2903">
          <cell r="L2903">
            <v>40752</v>
          </cell>
        </row>
        <row r="2904">
          <cell r="L2904">
            <v>40752</v>
          </cell>
        </row>
        <row r="2905">
          <cell r="L2905">
            <v>40752</v>
          </cell>
        </row>
        <row r="2906">
          <cell r="L2906">
            <v>40752</v>
          </cell>
        </row>
        <row r="2907">
          <cell r="L2907">
            <v>40752</v>
          </cell>
        </row>
        <row r="2908">
          <cell r="L2908">
            <v>40752</v>
          </cell>
        </row>
        <row r="2909">
          <cell r="L2909">
            <v>40752</v>
          </cell>
        </row>
        <row r="2910">
          <cell r="L2910">
            <v>40752</v>
          </cell>
        </row>
        <row r="2911">
          <cell r="L2911">
            <v>40752</v>
          </cell>
        </row>
        <row r="2912">
          <cell r="L2912">
            <v>40752</v>
          </cell>
        </row>
        <row r="2913">
          <cell r="L2913">
            <v>40752</v>
          </cell>
        </row>
        <row r="2914">
          <cell r="L2914">
            <v>40752</v>
          </cell>
        </row>
        <row r="2915">
          <cell r="L2915">
            <v>40753</v>
          </cell>
        </row>
        <row r="2916">
          <cell r="L2916">
            <v>40753</v>
          </cell>
        </row>
        <row r="2917">
          <cell r="L2917">
            <v>40753</v>
          </cell>
        </row>
        <row r="2918">
          <cell r="L2918">
            <v>40753</v>
          </cell>
        </row>
        <row r="2919">
          <cell r="L2919">
            <v>40753</v>
          </cell>
        </row>
        <row r="2920">
          <cell r="L2920">
            <v>40753</v>
          </cell>
        </row>
        <row r="2921">
          <cell r="L2921">
            <v>40753</v>
          </cell>
        </row>
        <row r="2922">
          <cell r="L2922">
            <v>40753</v>
          </cell>
        </row>
        <row r="2923">
          <cell r="L2923">
            <v>40753</v>
          </cell>
        </row>
        <row r="2924">
          <cell r="L2924">
            <v>40753</v>
          </cell>
        </row>
        <row r="2925">
          <cell r="L2925">
            <v>40753</v>
          </cell>
        </row>
        <row r="2926">
          <cell r="L2926">
            <v>40753</v>
          </cell>
        </row>
        <row r="2927">
          <cell r="L2927">
            <v>40753</v>
          </cell>
        </row>
        <row r="2928">
          <cell r="L2928">
            <v>40753</v>
          </cell>
        </row>
        <row r="2929">
          <cell r="L2929">
            <v>40753</v>
          </cell>
        </row>
        <row r="2930">
          <cell r="L2930">
            <v>40753</v>
          </cell>
        </row>
        <row r="2931">
          <cell r="L2931">
            <v>40753</v>
          </cell>
        </row>
        <row r="2932">
          <cell r="L2932">
            <v>40753</v>
          </cell>
        </row>
        <row r="2933">
          <cell r="L2933">
            <v>40753</v>
          </cell>
        </row>
        <row r="2934">
          <cell r="L2934">
            <v>40753</v>
          </cell>
        </row>
        <row r="2935">
          <cell r="L2935">
            <v>40753</v>
          </cell>
        </row>
        <row r="2936">
          <cell r="L2936">
            <v>40753</v>
          </cell>
        </row>
        <row r="2937">
          <cell r="L2937">
            <v>40753</v>
          </cell>
        </row>
        <row r="2938">
          <cell r="L2938">
            <v>40753</v>
          </cell>
        </row>
        <row r="2939">
          <cell r="L2939">
            <v>40753</v>
          </cell>
        </row>
        <row r="2940">
          <cell r="L2940">
            <v>40753</v>
          </cell>
        </row>
        <row r="2941">
          <cell r="L2941">
            <v>40753</v>
          </cell>
        </row>
        <row r="2942">
          <cell r="L2942">
            <v>40753</v>
          </cell>
        </row>
        <row r="2943">
          <cell r="L2943">
            <v>40753</v>
          </cell>
        </row>
        <row r="2944">
          <cell r="L2944">
            <v>40753</v>
          </cell>
        </row>
        <row r="2945">
          <cell r="L2945">
            <v>40753</v>
          </cell>
        </row>
        <row r="2946">
          <cell r="L2946">
            <v>40753</v>
          </cell>
        </row>
        <row r="2947">
          <cell r="L2947">
            <v>40753</v>
          </cell>
        </row>
        <row r="2948">
          <cell r="L2948">
            <v>40753</v>
          </cell>
        </row>
        <row r="2949">
          <cell r="L2949">
            <v>40753</v>
          </cell>
        </row>
        <row r="2950">
          <cell r="L2950">
            <v>40753</v>
          </cell>
        </row>
        <row r="2951">
          <cell r="L2951">
            <v>40753</v>
          </cell>
        </row>
        <row r="2952">
          <cell r="L2952">
            <v>40753</v>
          </cell>
        </row>
        <row r="2953">
          <cell r="L2953">
            <v>40753</v>
          </cell>
        </row>
        <row r="2954">
          <cell r="L2954">
            <v>40753</v>
          </cell>
        </row>
        <row r="2955">
          <cell r="L2955">
            <v>40753</v>
          </cell>
        </row>
        <row r="2956">
          <cell r="L2956">
            <v>40753</v>
          </cell>
        </row>
        <row r="2957">
          <cell r="L2957">
            <v>40753</v>
          </cell>
        </row>
        <row r="2958">
          <cell r="L2958">
            <v>40753</v>
          </cell>
        </row>
        <row r="2959">
          <cell r="L2959">
            <v>40753</v>
          </cell>
        </row>
        <row r="2960">
          <cell r="L2960">
            <v>40753</v>
          </cell>
        </row>
        <row r="2961">
          <cell r="L2961">
            <v>40753</v>
          </cell>
        </row>
        <row r="2962">
          <cell r="L2962">
            <v>40753</v>
          </cell>
        </row>
        <row r="2963">
          <cell r="L2963">
            <v>40753</v>
          </cell>
        </row>
        <row r="2964">
          <cell r="L2964">
            <v>40753</v>
          </cell>
        </row>
        <row r="2965">
          <cell r="L2965">
            <v>40753</v>
          </cell>
        </row>
        <row r="2966">
          <cell r="L2966">
            <v>40753</v>
          </cell>
        </row>
        <row r="2967">
          <cell r="L2967">
            <v>40753</v>
          </cell>
        </row>
        <row r="2968">
          <cell r="L2968">
            <v>40753</v>
          </cell>
        </row>
        <row r="2969">
          <cell r="L2969">
            <v>40753</v>
          </cell>
        </row>
        <row r="2970">
          <cell r="L2970">
            <v>40753</v>
          </cell>
        </row>
        <row r="2971">
          <cell r="L2971">
            <v>40753</v>
          </cell>
        </row>
        <row r="2972">
          <cell r="L2972">
            <v>40753</v>
          </cell>
        </row>
        <row r="2973">
          <cell r="L2973">
            <v>40753</v>
          </cell>
        </row>
        <row r="2974">
          <cell r="L2974">
            <v>40753</v>
          </cell>
        </row>
        <row r="2975">
          <cell r="L2975">
            <v>40753</v>
          </cell>
        </row>
        <row r="2976">
          <cell r="L2976">
            <v>40753</v>
          </cell>
        </row>
        <row r="2977">
          <cell r="L2977">
            <v>40753</v>
          </cell>
        </row>
        <row r="2978">
          <cell r="L2978">
            <v>40753</v>
          </cell>
        </row>
        <row r="2979">
          <cell r="L2979">
            <v>40753</v>
          </cell>
        </row>
        <row r="2980">
          <cell r="L2980">
            <v>40753</v>
          </cell>
        </row>
        <row r="2981">
          <cell r="L2981">
            <v>40753</v>
          </cell>
        </row>
        <row r="2982">
          <cell r="L2982">
            <v>40753</v>
          </cell>
        </row>
        <row r="2983">
          <cell r="L2983">
            <v>40753</v>
          </cell>
        </row>
        <row r="2984">
          <cell r="L2984">
            <v>40753</v>
          </cell>
        </row>
        <row r="2985">
          <cell r="L2985">
            <v>40753</v>
          </cell>
        </row>
        <row r="2986">
          <cell r="L2986">
            <v>40753</v>
          </cell>
        </row>
        <row r="2987">
          <cell r="L2987">
            <v>40753</v>
          </cell>
        </row>
        <row r="2988">
          <cell r="L2988">
            <v>40753</v>
          </cell>
        </row>
        <row r="2989">
          <cell r="L2989">
            <v>40753</v>
          </cell>
        </row>
        <row r="2990">
          <cell r="L2990">
            <v>40753</v>
          </cell>
        </row>
        <row r="2991">
          <cell r="L2991">
            <v>40753</v>
          </cell>
        </row>
        <row r="2992">
          <cell r="L2992">
            <v>40753</v>
          </cell>
        </row>
        <row r="2993">
          <cell r="L2993">
            <v>40753</v>
          </cell>
        </row>
        <row r="2994">
          <cell r="L2994">
            <v>40753</v>
          </cell>
        </row>
        <row r="2995">
          <cell r="L2995">
            <v>40753</v>
          </cell>
        </row>
        <row r="2996">
          <cell r="L2996">
            <v>40753</v>
          </cell>
        </row>
        <row r="2997">
          <cell r="L2997">
            <v>40753</v>
          </cell>
        </row>
        <row r="2998">
          <cell r="L2998">
            <v>40753</v>
          </cell>
        </row>
        <row r="2999">
          <cell r="L2999">
            <v>40753</v>
          </cell>
        </row>
        <row r="3000">
          <cell r="L3000">
            <v>40753</v>
          </cell>
        </row>
        <row r="3001">
          <cell r="L3001">
            <v>40753</v>
          </cell>
        </row>
        <row r="3002">
          <cell r="L3002">
            <v>40753</v>
          </cell>
        </row>
        <row r="3003">
          <cell r="L3003">
            <v>40753</v>
          </cell>
        </row>
        <row r="3004">
          <cell r="L3004">
            <v>40753</v>
          </cell>
        </row>
        <row r="3005">
          <cell r="L3005">
            <v>40753</v>
          </cell>
        </row>
        <row r="3006">
          <cell r="L3006">
            <v>40753</v>
          </cell>
        </row>
        <row r="3007">
          <cell r="L3007">
            <v>40753</v>
          </cell>
        </row>
        <row r="3008">
          <cell r="L3008">
            <v>40753</v>
          </cell>
        </row>
        <row r="3009">
          <cell r="L3009">
            <v>40753</v>
          </cell>
        </row>
        <row r="3010">
          <cell r="L3010">
            <v>40753</v>
          </cell>
        </row>
        <row r="3011">
          <cell r="L3011">
            <v>40753</v>
          </cell>
        </row>
        <row r="3012">
          <cell r="L3012">
            <v>40753</v>
          </cell>
        </row>
        <row r="3013">
          <cell r="L3013">
            <v>40753</v>
          </cell>
        </row>
        <row r="3014">
          <cell r="L3014">
            <v>40753</v>
          </cell>
        </row>
        <row r="3015">
          <cell r="L3015">
            <v>40753</v>
          </cell>
        </row>
        <row r="3016">
          <cell r="L3016">
            <v>40753</v>
          </cell>
        </row>
        <row r="3017">
          <cell r="L3017">
            <v>40753</v>
          </cell>
        </row>
        <row r="3018">
          <cell r="L3018">
            <v>40753</v>
          </cell>
        </row>
        <row r="3019">
          <cell r="L3019">
            <v>40753</v>
          </cell>
        </row>
        <row r="3020">
          <cell r="L3020">
            <v>40753</v>
          </cell>
        </row>
        <row r="3021">
          <cell r="L3021">
            <v>40753</v>
          </cell>
        </row>
        <row r="3022">
          <cell r="L3022">
            <v>40753</v>
          </cell>
        </row>
        <row r="3023">
          <cell r="L3023">
            <v>40753</v>
          </cell>
        </row>
        <row r="3024">
          <cell r="L3024">
            <v>40753</v>
          </cell>
        </row>
        <row r="3025">
          <cell r="L3025">
            <v>40753</v>
          </cell>
        </row>
        <row r="3026">
          <cell r="L3026">
            <v>40753</v>
          </cell>
        </row>
        <row r="3027">
          <cell r="L3027">
            <v>40753</v>
          </cell>
        </row>
        <row r="3028">
          <cell r="L3028">
            <v>40753</v>
          </cell>
        </row>
        <row r="3029">
          <cell r="L3029">
            <v>40753</v>
          </cell>
        </row>
        <row r="3030">
          <cell r="L3030">
            <v>40753</v>
          </cell>
        </row>
        <row r="3031">
          <cell r="L3031">
            <v>40753</v>
          </cell>
        </row>
        <row r="3032">
          <cell r="L3032">
            <v>40753</v>
          </cell>
        </row>
        <row r="3033">
          <cell r="L3033">
            <v>40753</v>
          </cell>
        </row>
        <row r="3034">
          <cell r="L3034">
            <v>40753</v>
          </cell>
        </row>
        <row r="3035">
          <cell r="L3035">
            <v>40753</v>
          </cell>
        </row>
        <row r="3036">
          <cell r="L3036">
            <v>40753</v>
          </cell>
        </row>
        <row r="3037">
          <cell r="L3037">
            <v>40753</v>
          </cell>
        </row>
        <row r="3038">
          <cell r="L3038">
            <v>40753</v>
          </cell>
        </row>
        <row r="3039">
          <cell r="L3039">
            <v>40753</v>
          </cell>
        </row>
        <row r="3040">
          <cell r="L3040">
            <v>40753</v>
          </cell>
        </row>
        <row r="3041">
          <cell r="L3041">
            <v>40753</v>
          </cell>
        </row>
        <row r="3042">
          <cell r="L3042">
            <v>40753</v>
          </cell>
        </row>
        <row r="3043">
          <cell r="L3043">
            <v>40753</v>
          </cell>
        </row>
        <row r="3044">
          <cell r="L3044">
            <v>40753</v>
          </cell>
        </row>
        <row r="3045">
          <cell r="L3045">
            <v>40753</v>
          </cell>
        </row>
        <row r="3046">
          <cell r="L3046">
            <v>40753</v>
          </cell>
        </row>
        <row r="3047">
          <cell r="L3047">
            <v>40753</v>
          </cell>
        </row>
        <row r="3048">
          <cell r="L3048">
            <v>40753</v>
          </cell>
        </row>
        <row r="3049">
          <cell r="L3049">
            <v>40753</v>
          </cell>
        </row>
        <row r="3050">
          <cell r="L3050">
            <v>40753</v>
          </cell>
        </row>
        <row r="3051">
          <cell r="L3051">
            <v>40753</v>
          </cell>
        </row>
        <row r="3052">
          <cell r="L3052">
            <v>40753</v>
          </cell>
        </row>
        <row r="3053">
          <cell r="L3053">
            <v>40754</v>
          </cell>
        </row>
        <row r="3054">
          <cell r="L3054">
            <v>40754</v>
          </cell>
        </row>
        <row r="3055">
          <cell r="L3055">
            <v>40754</v>
          </cell>
        </row>
        <row r="3056">
          <cell r="L3056">
            <v>40754</v>
          </cell>
        </row>
        <row r="3057">
          <cell r="L3057">
            <v>40754</v>
          </cell>
        </row>
        <row r="3058">
          <cell r="L3058">
            <v>40754</v>
          </cell>
        </row>
        <row r="3059">
          <cell r="L3059">
            <v>40754</v>
          </cell>
        </row>
        <row r="3060">
          <cell r="L3060">
            <v>40754</v>
          </cell>
        </row>
        <row r="3061">
          <cell r="L3061">
            <v>40754</v>
          </cell>
        </row>
        <row r="3062">
          <cell r="L3062">
            <v>40754</v>
          </cell>
        </row>
        <row r="3063">
          <cell r="L3063">
            <v>40754</v>
          </cell>
        </row>
        <row r="3064">
          <cell r="L3064">
            <v>40754</v>
          </cell>
        </row>
        <row r="3065">
          <cell r="L3065">
            <v>40754</v>
          </cell>
        </row>
        <row r="3066">
          <cell r="L3066">
            <v>40754</v>
          </cell>
        </row>
        <row r="3067">
          <cell r="L3067">
            <v>40754</v>
          </cell>
        </row>
        <row r="3068">
          <cell r="L3068">
            <v>40754</v>
          </cell>
        </row>
        <row r="3069">
          <cell r="L3069">
            <v>40754</v>
          </cell>
        </row>
        <row r="3070">
          <cell r="L3070">
            <v>40754</v>
          </cell>
        </row>
        <row r="3071">
          <cell r="L3071">
            <v>40754</v>
          </cell>
        </row>
        <row r="3072">
          <cell r="L3072">
            <v>40754</v>
          </cell>
        </row>
        <row r="3073">
          <cell r="L3073">
            <v>40754</v>
          </cell>
        </row>
        <row r="3074">
          <cell r="L3074">
            <v>40754</v>
          </cell>
        </row>
        <row r="3075">
          <cell r="L3075">
            <v>40754</v>
          </cell>
        </row>
        <row r="3076">
          <cell r="L3076">
            <v>40754</v>
          </cell>
        </row>
        <row r="3077">
          <cell r="L3077">
            <v>40754</v>
          </cell>
        </row>
        <row r="3078">
          <cell r="L3078">
            <v>40754</v>
          </cell>
        </row>
        <row r="3079">
          <cell r="L3079">
            <v>40754</v>
          </cell>
        </row>
        <row r="3080">
          <cell r="L3080">
            <v>40754</v>
          </cell>
        </row>
        <row r="3081">
          <cell r="L3081">
            <v>40754</v>
          </cell>
        </row>
        <row r="3082">
          <cell r="L3082">
            <v>40754</v>
          </cell>
        </row>
        <row r="3083">
          <cell r="L3083">
            <v>40754</v>
          </cell>
        </row>
        <row r="3084">
          <cell r="L3084">
            <v>40754</v>
          </cell>
        </row>
        <row r="3085">
          <cell r="L3085">
            <v>40754</v>
          </cell>
        </row>
        <row r="3086">
          <cell r="L3086">
            <v>40754</v>
          </cell>
        </row>
        <row r="3087">
          <cell r="L3087">
            <v>40754</v>
          </cell>
        </row>
        <row r="3088">
          <cell r="L3088">
            <v>40754</v>
          </cell>
        </row>
        <row r="3089">
          <cell r="L3089">
            <v>40754</v>
          </cell>
        </row>
        <row r="3090">
          <cell r="L3090">
            <v>40754</v>
          </cell>
        </row>
        <row r="3091">
          <cell r="L3091">
            <v>40754</v>
          </cell>
        </row>
        <row r="3092">
          <cell r="L3092">
            <v>40754</v>
          </cell>
        </row>
        <row r="3093">
          <cell r="L3093">
            <v>40754</v>
          </cell>
        </row>
        <row r="3094">
          <cell r="L3094">
            <v>40754</v>
          </cell>
        </row>
        <row r="3095">
          <cell r="L3095">
            <v>40754</v>
          </cell>
        </row>
        <row r="3096">
          <cell r="L3096">
            <v>40754</v>
          </cell>
        </row>
        <row r="3097">
          <cell r="L3097">
            <v>40754</v>
          </cell>
        </row>
        <row r="3098">
          <cell r="L3098">
            <v>40754</v>
          </cell>
        </row>
        <row r="3099">
          <cell r="L3099">
            <v>40754</v>
          </cell>
        </row>
        <row r="3100">
          <cell r="L3100">
            <v>40754</v>
          </cell>
        </row>
        <row r="3101">
          <cell r="L3101">
            <v>40754</v>
          </cell>
        </row>
        <row r="3102">
          <cell r="L3102">
            <v>40754</v>
          </cell>
        </row>
        <row r="3103">
          <cell r="L3103">
            <v>40754</v>
          </cell>
        </row>
        <row r="3104">
          <cell r="L3104">
            <v>40754</v>
          </cell>
        </row>
        <row r="3105">
          <cell r="L3105">
            <v>40754</v>
          </cell>
        </row>
        <row r="3106">
          <cell r="L3106">
            <v>40754</v>
          </cell>
        </row>
        <row r="3107">
          <cell r="L3107">
            <v>40754</v>
          </cell>
        </row>
        <row r="3108">
          <cell r="L3108">
            <v>40754</v>
          </cell>
        </row>
        <row r="3109">
          <cell r="L3109">
            <v>40754</v>
          </cell>
        </row>
        <row r="3110">
          <cell r="L3110">
            <v>40754</v>
          </cell>
        </row>
        <row r="3111">
          <cell r="L3111">
            <v>40754</v>
          </cell>
        </row>
        <row r="3112">
          <cell r="L3112">
            <v>40754</v>
          </cell>
        </row>
        <row r="3113">
          <cell r="L3113">
            <v>40754</v>
          </cell>
        </row>
        <row r="3114">
          <cell r="L3114">
            <v>40754</v>
          </cell>
        </row>
        <row r="3115">
          <cell r="L3115">
            <v>40754</v>
          </cell>
        </row>
        <row r="3116">
          <cell r="L3116">
            <v>40754</v>
          </cell>
        </row>
        <row r="3117">
          <cell r="L3117">
            <v>40754</v>
          </cell>
        </row>
        <row r="3118">
          <cell r="L3118">
            <v>40754</v>
          </cell>
        </row>
        <row r="3119">
          <cell r="L3119">
            <v>40754</v>
          </cell>
        </row>
        <row r="3120">
          <cell r="L3120">
            <v>40754</v>
          </cell>
        </row>
        <row r="3121">
          <cell r="L3121">
            <v>40754</v>
          </cell>
        </row>
        <row r="3122">
          <cell r="L3122">
            <v>40754</v>
          </cell>
        </row>
        <row r="3123">
          <cell r="L3123">
            <v>40754</v>
          </cell>
        </row>
        <row r="3124">
          <cell r="L3124">
            <v>40754</v>
          </cell>
        </row>
        <row r="3125">
          <cell r="L3125">
            <v>40754</v>
          </cell>
        </row>
        <row r="3126">
          <cell r="L3126">
            <v>40754</v>
          </cell>
        </row>
        <row r="3127">
          <cell r="L3127">
            <v>40754</v>
          </cell>
        </row>
        <row r="3128">
          <cell r="L3128">
            <v>40754</v>
          </cell>
        </row>
        <row r="3129">
          <cell r="L3129">
            <v>40754</v>
          </cell>
        </row>
        <row r="3130">
          <cell r="L3130">
            <v>40754</v>
          </cell>
        </row>
        <row r="3131">
          <cell r="L3131">
            <v>40754</v>
          </cell>
        </row>
        <row r="3132">
          <cell r="L3132">
            <v>40754</v>
          </cell>
        </row>
        <row r="3133">
          <cell r="L3133">
            <v>40754</v>
          </cell>
        </row>
        <row r="3134">
          <cell r="L3134">
            <v>40754</v>
          </cell>
        </row>
        <row r="3135">
          <cell r="L3135">
            <v>40754</v>
          </cell>
        </row>
        <row r="3136">
          <cell r="L3136">
            <v>40754</v>
          </cell>
        </row>
        <row r="3137">
          <cell r="L3137">
            <v>40754</v>
          </cell>
        </row>
        <row r="3138">
          <cell r="L3138">
            <v>40754</v>
          </cell>
        </row>
        <row r="3139">
          <cell r="L3139">
            <v>40754</v>
          </cell>
        </row>
        <row r="3140">
          <cell r="L3140">
            <v>40754</v>
          </cell>
        </row>
        <row r="3141">
          <cell r="L3141">
            <v>40754</v>
          </cell>
        </row>
        <row r="3142">
          <cell r="L3142">
            <v>40754</v>
          </cell>
        </row>
        <row r="3143">
          <cell r="L3143">
            <v>40754</v>
          </cell>
        </row>
        <row r="3144">
          <cell r="L3144">
            <v>40754</v>
          </cell>
        </row>
        <row r="3145">
          <cell r="L3145">
            <v>40754</v>
          </cell>
        </row>
        <row r="3146">
          <cell r="L3146">
            <v>40754</v>
          </cell>
        </row>
        <row r="3147">
          <cell r="L3147">
            <v>40754</v>
          </cell>
        </row>
        <row r="3148">
          <cell r="L3148">
            <v>40754</v>
          </cell>
        </row>
        <row r="3149">
          <cell r="L3149">
            <v>40754</v>
          </cell>
        </row>
        <row r="3150">
          <cell r="L3150">
            <v>40754</v>
          </cell>
        </row>
        <row r="3151">
          <cell r="L3151">
            <v>40754</v>
          </cell>
        </row>
        <row r="3152">
          <cell r="L3152">
            <v>40754</v>
          </cell>
        </row>
        <row r="3153">
          <cell r="L3153">
            <v>40754</v>
          </cell>
        </row>
        <row r="3154">
          <cell r="L3154">
            <v>40754</v>
          </cell>
        </row>
        <row r="3155">
          <cell r="L3155">
            <v>40754</v>
          </cell>
        </row>
        <row r="3156">
          <cell r="L3156">
            <v>40754</v>
          </cell>
        </row>
        <row r="3157">
          <cell r="L3157">
            <v>40754</v>
          </cell>
        </row>
        <row r="3158">
          <cell r="L3158">
            <v>40754</v>
          </cell>
        </row>
        <row r="3159">
          <cell r="L3159">
            <v>40754</v>
          </cell>
        </row>
        <row r="3160">
          <cell r="L3160">
            <v>40754</v>
          </cell>
        </row>
        <row r="3161">
          <cell r="L3161">
            <v>40754</v>
          </cell>
        </row>
        <row r="3162">
          <cell r="L3162">
            <v>40754</v>
          </cell>
        </row>
        <row r="3163">
          <cell r="L3163">
            <v>40754</v>
          </cell>
        </row>
        <row r="3164">
          <cell r="L3164">
            <v>40754</v>
          </cell>
        </row>
        <row r="3165">
          <cell r="L3165">
            <v>40754</v>
          </cell>
        </row>
        <row r="3166">
          <cell r="L3166">
            <v>40754</v>
          </cell>
        </row>
        <row r="3167">
          <cell r="L3167">
            <v>40754</v>
          </cell>
        </row>
        <row r="3168">
          <cell r="L3168">
            <v>40754</v>
          </cell>
        </row>
        <row r="3169">
          <cell r="L3169">
            <v>40754</v>
          </cell>
        </row>
        <row r="3170">
          <cell r="L3170">
            <v>40754</v>
          </cell>
        </row>
        <row r="3171">
          <cell r="L3171">
            <v>40754</v>
          </cell>
        </row>
        <row r="3172">
          <cell r="L3172">
            <v>40754</v>
          </cell>
        </row>
        <row r="3173">
          <cell r="L3173">
            <v>40754</v>
          </cell>
        </row>
        <row r="3174">
          <cell r="L3174">
            <v>40754</v>
          </cell>
        </row>
        <row r="3175">
          <cell r="L3175">
            <v>40754</v>
          </cell>
        </row>
        <row r="3176">
          <cell r="L3176">
            <v>40754</v>
          </cell>
        </row>
        <row r="3177">
          <cell r="L3177">
            <v>40754</v>
          </cell>
        </row>
        <row r="3178">
          <cell r="L3178">
            <v>40754</v>
          </cell>
        </row>
        <row r="3179">
          <cell r="L3179">
            <v>40754</v>
          </cell>
        </row>
        <row r="3180">
          <cell r="L3180">
            <v>40754</v>
          </cell>
        </row>
        <row r="3181">
          <cell r="L3181">
            <v>40754</v>
          </cell>
        </row>
        <row r="3182">
          <cell r="L3182">
            <v>40754</v>
          </cell>
        </row>
        <row r="3183">
          <cell r="L3183">
            <v>40754</v>
          </cell>
        </row>
        <row r="3184">
          <cell r="L3184">
            <v>40754</v>
          </cell>
        </row>
        <row r="3185">
          <cell r="L3185">
            <v>40754</v>
          </cell>
        </row>
        <row r="3186">
          <cell r="L3186">
            <v>40754</v>
          </cell>
        </row>
        <row r="3187">
          <cell r="L3187">
            <v>40754</v>
          </cell>
        </row>
        <row r="3188">
          <cell r="L3188">
            <v>40754</v>
          </cell>
        </row>
        <row r="3189">
          <cell r="L3189">
            <v>40754</v>
          </cell>
        </row>
        <row r="3190">
          <cell r="L3190">
            <v>40754</v>
          </cell>
        </row>
        <row r="3191">
          <cell r="L3191">
            <v>40754</v>
          </cell>
        </row>
        <row r="3192">
          <cell r="L3192">
            <v>40754</v>
          </cell>
        </row>
        <row r="3193">
          <cell r="L3193">
            <v>40754</v>
          </cell>
        </row>
        <row r="3194">
          <cell r="L3194">
            <v>40754</v>
          </cell>
        </row>
        <row r="3195">
          <cell r="L3195">
            <v>40754</v>
          </cell>
        </row>
        <row r="3196">
          <cell r="L3196">
            <v>40754</v>
          </cell>
        </row>
        <row r="3197">
          <cell r="L3197">
            <v>40754</v>
          </cell>
        </row>
        <row r="3198">
          <cell r="L3198">
            <v>40754</v>
          </cell>
        </row>
        <row r="3199">
          <cell r="L3199">
            <v>40754</v>
          </cell>
        </row>
        <row r="3200">
          <cell r="L3200">
            <v>40754</v>
          </cell>
        </row>
        <row r="3201">
          <cell r="L3201">
            <v>40754</v>
          </cell>
        </row>
        <row r="3202">
          <cell r="L3202">
            <v>40754</v>
          </cell>
        </row>
        <row r="3203">
          <cell r="L3203">
            <v>40754</v>
          </cell>
        </row>
        <row r="3204">
          <cell r="L3204">
            <v>40754</v>
          </cell>
        </row>
        <row r="3205">
          <cell r="L3205">
            <v>40754</v>
          </cell>
        </row>
        <row r="3206">
          <cell r="L3206">
            <v>40754</v>
          </cell>
        </row>
        <row r="3207">
          <cell r="L3207">
            <v>40754</v>
          </cell>
        </row>
        <row r="3208">
          <cell r="L3208">
            <v>40754</v>
          </cell>
        </row>
        <row r="3209">
          <cell r="L3209">
            <v>40754</v>
          </cell>
        </row>
        <row r="3210">
          <cell r="L3210">
            <v>40754</v>
          </cell>
        </row>
        <row r="3211">
          <cell r="L3211">
            <v>40754</v>
          </cell>
        </row>
        <row r="3212">
          <cell r="L3212">
            <v>40754</v>
          </cell>
        </row>
        <row r="3213">
          <cell r="L3213">
            <v>40754</v>
          </cell>
        </row>
        <row r="3214">
          <cell r="L3214">
            <v>40754</v>
          </cell>
        </row>
        <row r="3215">
          <cell r="L3215">
            <v>40754</v>
          </cell>
        </row>
        <row r="3216">
          <cell r="L3216">
            <v>40754</v>
          </cell>
        </row>
        <row r="3217">
          <cell r="L3217">
            <v>40754</v>
          </cell>
        </row>
        <row r="3218">
          <cell r="L3218">
            <v>40754</v>
          </cell>
        </row>
        <row r="3219">
          <cell r="L3219">
            <v>40754</v>
          </cell>
        </row>
        <row r="3220">
          <cell r="L3220">
            <v>40754</v>
          </cell>
        </row>
        <row r="3221">
          <cell r="L3221">
            <v>40754</v>
          </cell>
        </row>
        <row r="3222">
          <cell r="L3222">
            <v>40754</v>
          </cell>
        </row>
        <row r="3223">
          <cell r="L3223">
            <v>40754</v>
          </cell>
        </row>
        <row r="3224">
          <cell r="L3224">
            <v>40754</v>
          </cell>
        </row>
        <row r="3225">
          <cell r="L3225">
            <v>40754</v>
          </cell>
        </row>
        <row r="3226">
          <cell r="L3226">
            <v>40754</v>
          </cell>
        </row>
        <row r="3227">
          <cell r="L3227">
            <v>40754</v>
          </cell>
        </row>
        <row r="3228">
          <cell r="L3228">
            <v>40754</v>
          </cell>
        </row>
        <row r="3229">
          <cell r="L3229">
            <v>40754</v>
          </cell>
        </row>
        <row r="3230">
          <cell r="L3230">
            <v>40754</v>
          </cell>
        </row>
        <row r="3231">
          <cell r="L3231">
            <v>40754</v>
          </cell>
        </row>
        <row r="3232">
          <cell r="L3232">
            <v>40754</v>
          </cell>
        </row>
        <row r="3233">
          <cell r="L3233">
            <v>40754</v>
          </cell>
        </row>
        <row r="3234">
          <cell r="L3234">
            <v>40754</v>
          </cell>
        </row>
        <row r="3235">
          <cell r="L3235">
            <v>40754</v>
          </cell>
        </row>
        <row r="3236">
          <cell r="L3236">
            <v>40754</v>
          </cell>
        </row>
        <row r="3237">
          <cell r="L3237">
            <v>40754</v>
          </cell>
        </row>
        <row r="3238">
          <cell r="L3238">
            <v>40754</v>
          </cell>
        </row>
        <row r="3239">
          <cell r="L3239">
            <v>40754</v>
          </cell>
        </row>
        <row r="3240">
          <cell r="L3240">
            <v>40754</v>
          </cell>
        </row>
        <row r="3241">
          <cell r="L3241">
            <v>40754</v>
          </cell>
        </row>
        <row r="3242">
          <cell r="L3242">
            <v>40754</v>
          </cell>
        </row>
        <row r="3243">
          <cell r="L3243">
            <v>40754</v>
          </cell>
        </row>
        <row r="3244">
          <cell r="L3244">
            <v>40754</v>
          </cell>
        </row>
        <row r="3245">
          <cell r="L3245">
            <v>40754</v>
          </cell>
        </row>
        <row r="3246">
          <cell r="L3246">
            <v>40754</v>
          </cell>
        </row>
        <row r="3247">
          <cell r="L3247">
            <v>40754</v>
          </cell>
        </row>
        <row r="3248">
          <cell r="L3248">
            <v>40754</v>
          </cell>
        </row>
        <row r="3249">
          <cell r="L3249">
            <v>40754</v>
          </cell>
        </row>
        <row r="3250">
          <cell r="L3250">
            <v>40754</v>
          </cell>
        </row>
        <row r="3251">
          <cell r="L3251">
            <v>40754</v>
          </cell>
        </row>
        <row r="3252">
          <cell r="L3252">
            <v>40754</v>
          </cell>
        </row>
        <row r="3253">
          <cell r="L3253">
            <v>40754</v>
          </cell>
        </row>
        <row r="3254">
          <cell r="L3254">
            <v>40754</v>
          </cell>
        </row>
        <row r="3255">
          <cell r="L3255">
            <v>40754</v>
          </cell>
        </row>
        <row r="3256">
          <cell r="L3256">
            <v>40754</v>
          </cell>
        </row>
        <row r="3257">
          <cell r="L3257">
            <v>40754</v>
          </cell>
        </row>
        <row r="3258">
          <cell r="L3258">
            <v>40754</v>
          </cell>
        </row>
        <row r="3259">
          <cell r="L3259">
            <v>40754</v>
          </cell>
        </row>
        <row r="3260">
          <cell r="L3260">
            <v>40754</v>
          </cell>
        </row>
        <row r="3261">
          <cell r="L3261">
            <v>40754</v>
          </cell>
        </row>
        <row r="3262">
          <cell r="L3262">
            <v>40754</v>
          </cell>
        </row>
        <row r="3263">
          <cell r="L3263">
            <v>40754</v>
          </cell>
        </row>
        <row r="3264">
          <cell r="L3264">
            <v>40754</v>
          </cell>
        </row>
        <row r="3265">
          <cell r="L3265">
            <v>40754</v>
          </cell>
        </row>
        <row r="3266">
          <cell r="L3266">
            <v>40754</v>
          </cell>
        </row>
        <row r="3267">
          <cell r="L3267">
            <v>40754</v>
          </cell>
        </row>
        <row r="3268">
          <cell r="L3268">
            <v>40754</v>
          </cell>
        </row>
        <row r="3269">
          <cell r="L3269">
            <v>40754</v>
          </cell>
        </row>
        <row r="3270">
          <cell r="L3270">
            <v>40754</v>
          </cell>
        </row>
        <row r="3271">
          <cell r="L3271">
            <v>40754</v>
          </cell>
        </row>
        <row r="3272">
          <cell r="L3272">
            <v>40754</v>
          </cell>
        </row>
        <row r="3273">
          <cell r="L3273">
            <v>40754</v>
          </cell>
        </row>
        <row r="3274">
          <cell r="L3274">
            <v>40754</v>
          </cell>
        </row>
        <row r="3275">
          <cell r="L3275">
            <v>40754</v>
          </cell>
        </row>
        <row r="3276">
          <cell r="L3276">
            <v>40754</v>
          </cell>
        </row>
        <row r="3277">
          <cell r="L3277">
            <v>40754</v>
          </cell>
        </row>
        <row r="3278">
          <cell r="L3278">
            <v>40754</v>
          </cell>
        </row>
        <row r="3279">
          <cell r="L3279">
            <v>40754</v>
          </cell>
        </row>
        <row r="3280">
          <cell r="L3280">
            <v>40754</v>
          </cell>
        </row>
        <row r="3281">
          <cell r="L3281">
            <v>40754</v>
          </cell>
        </row>
        <row r="3282">
          <cell r="L3282">
            <v>40754</v>
          </cell>
        </row>
        <row r="3283">
          <cell r="L3283">
            <v>40754</v>
          </cell>
        </row>
        <row r="3284">
          <cell r="L3284">
            <v>40754</v>
          </cell>
        </row>
        <row r="3285">
          <cell r="L3285">
            <v>40754</v>
          </cell>
        </row>
        <row r="3286">
          <cell r="L3286">
            <v>40754</v>
          </cell>
        </row>
        <row r="3287">
          <cell r="L3287">
            <v>40754</v>
          </cell>
        </row>
        <row r="3288">
          <cell r="L3288">
            <v>40754</v>
          </cell>
        </row>
        <row r="3289">
          <cell r="L3289">
            <v>40754</v>
          </cell>
        </row>
        <row r="3290">
          <cell r="L3290">
            <v>40754</v>
          </cell>
        </row>
        <row r="3291">
          <cell r="L3291">
            <v>40754</v>
          </cell>
        </row>
        <row r="3292">
          <cell r="L3292">
            <v>40754</v>
          </cell>
        </row>
        <row r="3293">
          <cell r="L3293">
            <v>40754</v>
          </cell>
        </row>
        <row r="3294">
          <cell r="L3294">
            <v>40754</v>
          </cell>
        </row>
        <row r="3295">
          <cell r="L3295">
            <v>40754</v>
          </cell>
        </row>
        <row r="3296">
          <cell r="L3296">
            <v>40754</v>
          </cell>
        </row>
        <row r="3297">
          <cell r="L3297">
            <v>40754</v>
          </cell>
        </row>
        <row r="3298">
          <cell r="L3298">
            <v>40754</v>
          </cell>
        </row>
        <row r="3299">
          <cell r="L3299">
            <v>40754</v>
          </cell>
        </row>
        <row r="3300">
          <cell r="L3300">
            <v>40754</v>
          </cell>
        </row>
        <row r="3301">
          <cell r="L3301">
            <v>40754</v>
          </cell>
        </row>
        <row r="3302">
          <cell r="L3302">
            <v>40754</v>
          </cell>
        </row>
        <row r="3303">
          <cell r="L3303">
            <v>40754</v>
          </cell>
        </row>
        <row r="3304">
          <cell r="L3304">
            <v>40754</v>
          </cell>
        </row>
        <row r="3305">
          <cell r="L3305">
            <v>40754</v>
          </cell>
        </row>
        <row r="3306">
          <cell r="L3306">
            <v>40754</v>
          </cell>
        </row>
        <row r="3307">
          <cell r="L3307">
            <v>40754</v>
          </cell>
        </row>
        <row r="3308">
          <cell r="L3308">
            <v>40754</v>
          </cell>
        </row>
        <row r="3309">
          <cell r="L3309">
            <v>40754</v>
          </cell>
        </row>
        <row r="3310">
          <cell r="L3310">
            <v>40754</v>
          </cell>
        </row>
        <row r="3311">
          <cell r="L3311">
            <v>40754</v>
          </cell>
        </row>
        <row r="3312">
          <cell r="L3312">
            <v>40754</v>
          </cell>
        </row>
        <row r="3313">
          <cell r="L3313">
            <v>40754</v>
          </cell>
        </row>
        <row r="3314">
          <cell r="L3314">
            <v>40754</v>
          </cell>
        </row>
        <row r="3315">
          <cell r="L3315">
            <v>40754</v>
          </cell>
        </row>
        <row r="3316">
          <cell r="L3316">
            <v>40754</v>
          </cell>
        </row>
        <row r="3317">
          <cell r="L3317">
            <v>40754</v>
          </cell>
        </row>
        <row r="3318">
          <cell r="L3318">
            <v>40754</v>
          </cell>
        </row>
        <row r="3319">
          <cell r="L3319">
            <v>40754</v>
          </cell>
        </row>
        <row r="3320">
          <cell r="L3320">
            <v>40754</v>
          </cell>
        </row>
        <row r="3321">
          <cell r="L3321">
            <v>40754</v>
          </cell>
        </row>
        <row r="3322">
          <cell r="L3322">
            <v>40754</v>
          </cell>
        </row>
        <row r="3323">
          <cell r="L3323">
            <v>40754</v>
          </cell>
        </row>
        <row r="3324">
          <cell r="L3324">
            <v>40754</v>
          </cell>
        </row>
        <row r="3325">
          <cell r="L3325">
            <v>40754</v>
          </cell>
        </row>
        <row r="3326">
          <cell r="L3326">
            <v>40754</v>
          </cell>
        </row>
        <row r="3327">
          <cell r="L3327">
            <v>40754</v>
          </cell>
        </row>
        <row r="3328">
          <cell r="L3328">
            <v>40754</v>
          </cell>
        </row>
        <row r="3329">
          <cell r="L3329">
            <v>40754</v>
          </cell>
        </row>
        <row r="3330">
          <cell r="L3330">
            <v>40754</v>
          </cell>
        </row>
        <row r="3331">
          <cell r="L3331">
            <v>40754</v>
          </cell>
        </row>
        <row r="3332">
          <cell r="L3332">
            <v>40754</v>
          </cell>
        </row>
        <row r="3333">
          <cell r="L3333">
            <v>40754</v>
          </cell>
        </row>
        <row r="3334">
          <cell r="L3334">
            <v>40754</v>
          </cell>
        </row>
        <row r="3335">
          <cell r="L3335">
            <v>40754</v>
          </cell>
        </row>
        <row r="3336">
          <cell r="L3336">
            <v>40754</v>
          </cell>
        </row>
        <row r="3337">
          <cell r="L3337">
            <v>40754</v>
          </cell>
        </row>
        <row r="3338">
          <cell r="L3338">
            <v>40754</v>
          </cell>
        </row>
        <row r="3339">
          <cell r="L3339">
            <v>40754</v>
          </cell>
        </row>
        <row r="3340">
          <cell r="L3340">
            <v>40736</v>
          </cell>
        </row>
        <row r="3341">
          <cell r="L3341">
            <v>40736</v>
          </cell>
        </row>
        <row r="3342">
          <cell r="L3342">
            <v>40725</v>
          </cell>
        </row>
        <row r="3343">
          <cell r="L3343">
            <v>40728</v>
          </cell>
        </row>
        <row r="3344">
          <cell r="L3344">
            <v>40728</v>
          </cell>
        </row>
        <row r="3345">
          <cell r="L3345">
            <v>40728</v>
          </cell>
        </row>
        <row r="3346">
          <cell r="L3346">
            <v>40728</v>
          </cell>
        </row>
        <row r="3347">
          <cell r="L3347">
            <v>40728</v>
          </cell>
        </row>
        <row r="3348">
          <cell r="L3348">
            <v>40728</v>
          </cell>
        </row>
        <row r="3349">
          <cell r="L3349">
            <v>40728</v>
          </cell>
        </row>
        <row r="3350">
          <cell r="L3350">
            <v>40728</v>
          </cell>
        </row>
        <row r="3351">
          <cell r="L3351">
            <v>40728</v>
          </cell>
        </row>
        <row r="3352">
          <cell r="L3352">
            <v>40728</v>
          </cell>
        </row>
        <row r="3353">
          <cell r="L3353">
            <v>40728</v>
          </cell>
        </row>
        <row r="3354">
          <cell r="L3354">
            <v>40728</v>
          </cell>
        </row>
        <row r="3355">
          <cell r="L3355">
            <v>40728</v>
          </cell>
        </row>
        <row r="3356">
          <cell r="L3356">
            <v>40728</v>
          </cell>
        </row>
        <row r="3357">
          <cell r="L3357">
            <v>40729</v>
          </cell>
        </row>
        <row r="3358">
          <cell r="L3358">
            <v>40729</v>
          </cell>
        </row>
        <row r="3359">
          <cell r="L3359">
            <v>40729</v>
          </cell>
        </row>
        <row r="3360">
          <cell r="L3360">
            <v>40729</v>
          </cell>
        </row>
        <row r="3361">
          <cell r="L3361">
            <v>40729</v>
          </cell>
        </row>
        <row r="3362">
          <cell r="L3362">
            <v>40729</v>
          </cell>
        </row>
        <row r="3363">
          <cell r="L3363">
            <v>40729</v>
          </cell>
        </row>
        <row r="3364">
          <cell r="L3364">
            <v>40729</v>
          </cell>
        </row>
        <row r="3365">
          <cell r="L3365">
            <v>40729</v>
          </cell>
        </row>
        <row r="3366">
          <cell r="L3366">
            <v>40729</v>
          </cell>
        </row>
        <row r="3367">
          <cell r="L3367">
            <v>40729</v>
          </cell>
        </row>
        <row r="3368">
          <cell r="L3368">
            <v>40729</v>
          </cell>
        </row>
        <row r="3369">
          <cell r="L3369">
            <v>40729</v>
          </cell>
        </row>
        <row r="3370">
          <cell r="L3370">
            <v>40729</v>
          </cell>
        </row>
        <row r="3371">
          <cell r="L3371">
            <v>40729</v>
          </cell>
        </row>
        <row r="3372">
          <cell r="L3372">
            <v>40730</v>
          </cell>
        </row>
        <row r="3373">
          <cell r="L3373">
            <v>40730</v>
          </cell>
        </row>
        <row r="3374">
          <cell r="L3374">
            <v>40730</v>
          </cell>
        </row>
        <row r="3375">
          <cell r="L3375">
            <v>40730</v>
          </cell>
        </row>
        <row r="3376">
          <cell r="L3376">
            <v>40730</v>
          </cell>
        </row>
        <row r="3377">
          <cell r="L3377">
            <v>40730</v>
          </cell>
        </row>
        <row r="3378">
          <cell r="L3378">
            <v>40730</v>
          </cell>
        </row>
        <row r="3379">
          <cell r="L3379">
            <v>40730</v>
          </cell>
        </row>
        <row r="3380">
          <cell r="L3380">
            <v>40730</v>
          </cell>
        </row>
        <row r="3381">
          <cell r="L3381">
            <v>40730</v>
          </cell>
        </row>
        <row r="3382">
          <cell r="L3382">
            <v>40730</v>
          </cell>
        </row>
        <row r="3383">
          <cell r="L3383">
            <v>40730</v>
          </cell>
        </row>
        <row r="3384">
          <cell r="L3384">
            <v>40730</v>
          </cell>
        </row>
        <row r="3385">
          <cell r="L3385">
            <v>40730</v>
          </cell>
        </row>
        <row r="3386">
          <cell r="L3386">
            <v>40730</v>
          </cell>
        </row>
        <row r="3387">
          <cell r="L3387">
            <v>40730</v>
          </cell>
        </row>
        <row r="3388">
          <cell r="L3388">
            <v>40730</v>
          </cell>
        </row>
        <row r="3389">
          <cell r="L3389">
            <v>40730</v>
          </cell>
        </row>
        <row r="3390">
          <cell r="L3390">
            <v>40730</v>
          </cell>
        </row>
        <row r="3391">
          <cell r="L3391">
            <v>40730</v>
          </cell>
        </row>
        <row r="3392">
          <cell r="L3392">
            <v>40730</v>
          </cell>
        </row>
        <row r="3393">
          <cell r="L3393">
            <v>40730</v>
          </cell>
        </row>
        <row r="3394">
          <cell r="L3394">
            <v>40730</v>
          </cell>
        </row>
        <row r="3395">
          <cell r="L3395">
            <v>40730</v>
          </cell>
        </row>
        <row r="3396">
          <cell r="L3396">
            <v>40730</v>
          </cell>
        </row>
        <row r="3397">
          <cell r="L3397">
            <v>40730</v>
          </cell>
        </row>
        <row r="3398">
          <cell r="L3398">
            <v>40730</v>
          </cell>
        </row>
        <row r="3399">
          <cell r="L3399">
            <v>40730</v>
          </cell>
        </row>
        <row r="3400">
          <cell r="L3400">
            <v>40730</v>
          </cell>
        </row>
        <row r="3401">
          <cell r="L3401">
            <v>40730</v>
          </cell>
        </row>
        <row r="3402">
          <cell r="L3402">
            <v>40730</v>
          </cell>
        </row>
        <row r="3403">
          <cell r="L3403">
            <v>40730</v>
          </cell>
        </row>
        <row r="3404">
          <cell r="L3404">
            <v>40730</v>
          </cell>
        </row>
        <row r="3405">
          <cell r="L3405">
            <v>40730</v>
          </cell>
        </row>
        <row r="3406">
          <cell r="L3406">
            <v>40730</v>
          </cell>
        </row>
        <row r="3407">
          <cell r="L3407">
            <v>40730</v>
          </cell>
        </row>
        <row r="3408">
          <cell r="L3408">
            <v>40730</v>
          </cell>
        </row>
        <row r="3409">
          <cell r="L3409">
            <v>40730</v>
          </cell>
        </row>
        <row r="3410">
          <cell r="L3410">
            <v>40730</v>
          </cell>
        </row>
        <row r="3411">
          <cell r="L3411">
            <v>40731</v>
          </cell>
        </row>
        <row r="3412">
          <cell r="L3412">
            <v>40731</v>
          </cell>
        </row>
        <row r="3413">
          <cell r="L3413">
            <v>40731</v>
          </cell>
        </row>
        <row r="3414">
          <cell r="L3414">
            <v>40731</v>
          </cell>
        </row>
        <row r="3415">
          <cell r="L3415">
            <v>40731</v>
          </cell>
        </row>
        <row r="3416">
          <cell r="L3416">
            <v>40731</v>
          </cell>
        </row>
        <row r="3417">
          <cell r="L3417">
            <v>40731</v>
          </cell>
        </row>
        <row r="3418">
          <cell r="L3418">
            <v>40731</v>
          </cell>
        </row>
        <row r="3419">
          <cell r="L3419">
            <v>40731</v>
          </cell>
        </row>
        <row r="3420">
          <cell r="L3420">
            <v>40731</v>
          </cell>
        </row>
        <row r="3421">
          <cell r="L3421">
            <v>40731</v>
          </cell>
        </row>
        <row r="3422">
          <cell r="L3422">
            <v>40731</v>
          </cell>
        </row>
        <row r="3423">
          <cell r="L3423">
            <v>40731</v>
          </cell>
        </row>
        <row r="3424">
          <cell r="L3424">
            <v>40731</v>
          </cell>
        </row>
        <row r="3425">
          <cell r="L3425">
            <v>40731</v>
          </cell>
        </row>
        <row r="3426">
          <cell r="L3426">
            <v>40732</v>
          </cell>
        </row>
        <row r="3427">
          <cell r="L3427">
            <v>40732</v>
          </cell>
        </row>
        <row r="3428">
          <cell r="L3428">
            <v>40732</v>
          </cell>
        </row>
        <row r="3429">
          <cell r="L3429">
            <v>40732</v>
          </cell>
        </row>
        <row r="3430">
          <cell r="L3430">
            <v>40732</v>
          </cell>
        </row>
        <row r="3431">
          <cell r="L3431">
            <v>40732</v>
          </cell>
        </row>
        <row r="3432">
          <cell r="L3432">
            <v>40735</v>
          </cell>
        </row>
        <row r="3433">
          <cell r="L3433">
            <v>40735</v>
          </cell>
        </row>
        <row r="3434">
          <cell r="L3434">
            <v>40735</v>
          </cell>
        </row>
        <row r="3435">
          <cell r="L3435">
            <v>40735</v>
          </cell>
        </row>
        <row r="3436">
          <cell r="L3436">
            <v>40735</v>
          </cell>
        </row>
        <row r="3437">
          <cell r="L3437">
            <v>40735</v>
          </cell>
        </row>
        <row r="3438">
          <cell r="L3438">
            <v>40735</v>
          </cell>
        </row>
        <row r="3439">
          <cell r="L3439">
            <v>40735</v>
          </cell>
        </row>
        <row r="3440">
          <cell r="L3440">
            <v>40735</v>
          </cell>
        </row>
        <row r="3441">
          <cell r="L3441">
            <v>40735</v>
          </cell>
        </row>
        <row r="3442">
          <cell r="L3442">
            <v>40735</v>
          </cell>
        </row>
        <row r="3443">
          <cell r="L3443">
            <v>40735</v>
          </cell>
        </row>
        <row r="3444">
          <cell r="L3444">
            <v>40735</v>
          </cell>
        </row>
        <row r="3445">
          <cell r="L3445">
            <v>40735</v>
          </cell>
        </row>
        <row r="3446">
          <cell r="L3446">
            <v>40735</v>
          </cell>
        </row>
        <row r="3447">
          <cell r="L3447">
            <v>40735</v>
          </cell>
        </row>
        <row r="3448">
          <cell r="L3448">
            <v>40735</v>
          </cell>
        </row>
        <row r="3449">
          <cell r="L3449">
            <v>40735</v>
          </cell>
        </row>
        <row r="3450">
          <cell r="L3450">
            <v>40735</v>
          </cell>
        </row>
        <row r="3451">
          <cell r="L3451">
            <v>40735</v>
          </cell>
        </row>
        <row r="3452">
          <cell r="L3452">
            <v>40735</v>
          </cell>
        </row>
        <row r="3453">
          <cell r="L3453">
            <v>40735</v>
          </cell>
        </row>
        <row r="3454">
          <cell r="L3454">
            <v>40735</v>
          </cell>
        </row>
        <row r="3455">
          <cell r="L3455">
            <v>40735</v>
          </cell>
        </row>
        <row r="3456">
          <cell r="L3456">
            <v>40735</v>
          </cell>
        </row>
        <row r="3457">
          <cell r="L3457">
            <v>40735</v>
          </cell>
        </row>
        <row r="3458">
          <cell r="L3458">
            <v>40735</v>
          </cell>
        </row>
        <row r="3459">
          <cell r="L3459">
            <v>40735</v>
          </cell>
        </row>
        <row r="3460">
          <cell r="L3460">
            <v>40735</v>
          </cell>
        </row>
        <row r="3461">
          <cell r="L3461">
            <v>40736</v>
          </cell>
        </row>
        <row r="3462">
          <cell r="L3462">
            <v>40736</v>
          </cell>
        </row>
        <row r="3463">
          <cell r="L3463">
            <v>40736</v>
          </cell>
        </row>
        <row r="3464">
          <cell r="L3464">
            <v>40736</v>
          </cell>
        </row>
        <row r="3465">
          <cell r="L3465">
            <v>40736</v>
          </cell>
        </row>
        <row r="3466">
          <cell r="L3466">
            <v>40736</v>
          </cell>
        </row>
        <row r="3467">
          <cell r="L3467">
            <v>40736</v>
          </cell>
        </row>
        <row r="3468">
          <cell r="L3468">
            <v>40736</v>
          </cell>
        </row>
        <row r="3469">
          <cell r="L3469">
            <v>40736</v>
          </cell>
        </row>
        <row r="3470">
          <cell r="L3470">
            <v>40736</v>
          </cell>
        </row>
        <row r="3471">
          <cell r="L3471">
            <v>40737</v>
          </cell>
        </row>
        <row r="3472">
          <cell r="L3472">
            <v>40737</v>
          </cell>
        </row>
        <row r="3473">
          <cell r="L3473">
            <v>40737</v>
          </cell>
        </row>
        <row r="3474">
          <cell r="L3474">
            <v>40737</v>
          </cell>
        </row>
        <row r="3475">
          <cell r="L3475">
            <v>40737</v>
          </cell>
        </row>
        <row r="3476">
          <cell r="L3476">
            <v>40737</v>
          </cell>
        </row>
        <row r="3477">
          <cell r="L3477">
            <v>40737</v>
          </cell>
        </row>
        <row r="3478">
          <cell r="L3478">
            <v>40737</v>
          </cell>
        </row>
        <row r="3479">
          <cell r="L3479">
            <v>40737</v>
          </cell>
        </row>
        <row r="3480">
          <cell r="L3480">
            <v>40737</v>
          </cell>
        </row>
        <row r="3481">
          <cell r="L3481">
            <v>40737</v>
          </cell>
        </row>
        <row r="3482">
          <cell r="L3482">
            <v>40737</v>
          </cell>
        </row>
        <row r="3483">
          <cell r="L3483">
            <v>40737</v>
          </cell>
        </row>
        <row r="3484">
          <cell r="L3484">
            <v>40737</v>
          </cell>
        </row>
        <row r="3485">
          <cell r="L3485">
            <v>40737</v>
          </cell>
        </row>
        <row r="3486">
          <cell r="L3486">
            <v>40737</v>
          </cell>
        </row>
        <row r="3487">
          <cell r="L3487">
            <v>40738</v>
          </cell>
        </row>
        <row r="3488">
          <cell r="L3488">
            <v>40738</v>
          </cell>
        </row>
        <row r="3489">
          <cell r="L3489">
            <v>40739</v>
          </cell>
        </row>
        <row r="3490">
          <cell r="L3490">
            <v>40739</v>
          </cell>
        </row>
        <row r="3491">
          <cell r="L3491">
            <v>40739</v>
          </cell>
        </row>
        <row r="3492">
          <cell r="L3492">
            <v>40739</v>
          </cell>
        </row>
        <row r="3493">
          <cell r="L3493">
            <v>40739</v>
          </cell>
        </row>
        <row r="3494">
          <cell r="L3494">
            <v>40739</v>
          </cell>
        </row>
        <row r="3495">
          <cell r="L3495">
            <v>40739</v>
          </cell>
        </row>
        <row r="3496">
          <cell r="L3496">
            <v>40739</v>
          </cell>
        </row>
        <row r="3497">
          <cell r="L3497">
            <v>40739</v>
          </cell>
        </row>
        <row r="3498">
          <cell r="L3498">
            <v>40739</v>
          </cell>
        </row>
        <row r="3499">
          <cell r="L3499">
            <v>40739</v>
          </cell>
        </row>
        <row r="3500">
          <cell r="L3500">
            <v>40739</v>
          </cell>
        </row>
        <row r="3501">
          <cell r="L3501">
            <v>40739</v>
          </cell>
        </row>
        <row r="3502">
          <cell r="L3502">
            <v>40739</v>
          </cell>
        </row>
        <row r="3503">
          <cell r="L3503">
            <v>40739</v>
          </cell>
        </row>
        <row r="3504">
          <cell r="L3504">
            <v>40739</v>
          </cell>
        </row>
        <row r="3505">
          <cell r="L3505">
            <v>40739</v>
          </cell>
        </row>
        <row r="3506">
          <cell r="L3506">
            <v>40739</v>
          </cell>
        </row>
        <row r="3507">
          <cell r="L3507">
            <v>40739</v>
          </cell>
        </row>
        <row r="3508">
          <cell r="L3508">
            <v>40739</v>
          </cell>
        </row>
        <row r="3509">
          <cell r="L3509">
            <v>40739</v>
          </cell>
        </row>
        <row r="3510">
          <cell r="L3510">
            <v>40740</v>
          </cell>
        </row>
        <row r="3511">
          <cell r="L3511">
            <v>40740</v>
          </cell>
        </row>
        <row r="3512">
          <cell r="L3512">
            <v>40740</v>
          </cell>
        </row>
        <row r="3513">
          <cell r="L3513">
            <v>40740</v>
          </cell>
        </row>
        <row r="3514">
          <cell r="L3514">
            <v>40740</v>
          </cell>
        </row>
        <row r="3515">
          <cell r="L3515">
            <v>40740</v>
          </cell>
        </row>
        <row r="3516">
          <cell r="L3516">
            <v>40740</v>
          </cell>
        </row>
        <row r="3517">
          <cell r="L3517">
            <v>40740</v>
          </cell>
        </row>
        <row r="3518">
          <cell r="L3518">
            <v>40740</v>
          </cell>
        </row>
        <row r="3519">
          <cell r="L3519">
            <v>40740</v>
          </cell>
        </row>
        <row r="3520">
          <cell r="L3520">
            <v>40742</v>
          </cell>
        </row>
        <row r="3521">
          <cell r="L3521">
            <v>40742</v>
          </cell>
        </row>
        <row r="3522">
          <cell r="L3522">
            <v>40742</v>
          </cell>
        </row>
        <row r="3523">
          <cell r="L3523">
            <v>40742</v>
          </cell>
        </row>
        <row r="3524">
          <cell r="L3524">
            <v>40742</v>
          </cell>
        </row>
        <row r="3525">
          <cell r="L3525">
            <v>40742</v>
          </cell>
        </row>
        <row r="3526">
          <cell r="L3526">
            <v>40742</v>
          </cell>
        </row>
        <row r="3527">
          <cell r="L3527">
            <v>40742</v>
          </cell>
        </row>
        <row r="3528">
          <cell r="L3528">
            <v>40742</v>
          </cell>
        </row>
        <row r="3529">
          <cell r="L3529">
            <v>40742</v>
          </cell>
        </row>
        <row r="3530">
          <cell r="L3530">
            <v>40742</v>
          </cell>
        </row>
        <row r="3531">
          <cell r="L3531">
            <v>40742</v>
          </cell>
        </row>
        <row r="3532">
          <cell r="L3532">
            <v>40742</v>
          </cell>
        </row>
        <row r="3533">
          <cell r="L3533">
            <v>40743</v>
          </cell>
        </row>
        <row r="3534">
          <cell r="L3534">
            <v>40743</v>
          </cell>
        </row>
        <row r="3535">
          <cell r="L3535">
            <v>40743</v>
          </cell>
        </row>
        <row r="3536">
          <cell r="L3536">
            <v>40743</v>
          </cell>
        </row>
        <row r="3537">
          <cell r="L3537">
            <v>40743</v>
          </cell>
        </row>
        <row r="3538">
          <cell r="L3538">
            <v>40743</v>
          </cell>
        </row>
        <row r="3539">
          <cell r="L3539">
            <v>40743</v>
          </cell>
        </row>
        <row r="3540">
          <cell r="L3540">
            <v>40743</v>
          </cell>
        </row>
        <row r="3541">
          <cell r="L3541">
            <v>40743</v>
          </cell>
        </row>
        <row r="3542">
          <cell r="L3542">
            <v>40743</v>
          </cell>
        </row>
        <row r="3543">
          <cell r="L3543">
            <v>40743</v>
          </cell>
        </row>
        <row r="3544">
          <cell r="L3544">
            <v>40743</v>
          </cell>
        </row>
        <row r="3545">
          <cell r="L3545">
            <v>40743</v>
          </cell>
        </row>
        <row r="3546">
          <cell r="L3546">
            <v>40743</v>
          </cell>
        </row>
        <row r="3547">
          <cell r="L3547">
            <v>40743</v>
          </cell>
        </row>
        <row r="3548">
          <cell r="L3548">
            <v>40743</v>
          </cell>
        </row>
        <row r="3549">
          <cell r="L3549">
            <v>40743</v>
          </cell>
        </row>
        <row r="3550">
          <cell r="L3550">
            <v>40743</v>
          </cell>
        </row>
        <row r="3551">
          <cell r="L3551">
            <v>40743</v>
          </cell>
        </row>
        <row r="3552">
          <cell r="L3552">
            <v>40743</v>
          </cell>
        </row>
        <row r="3553">
          <cell r="L3553">
            <v>40744</v>
          </cell>
        </row>
        <row r="3554">
          <cell r="L3554">
            <v>40744</v>
          </cell>
        </row>
        <row r="3555">
          <cell r="L3555">
            <v>40744</v>
          </cell>
        </row>
        <row r="3556">
          <cell r="L3556">
            <v>40744</v>
          </cell>
        </row>
        <row r="3557">
          <cell r="L3557">
            <v>40744</v>
          </cell>
        </row>
        <row r="3558">
          <cell r="L3558">
            <v>40744</v>
          </cell>
        </row>
        <row r="3559">
          <cell r="L3559">
            <v>40744</v>
          </cell>
        </row>
        <row r="3560">
          <cell r="L3560">
            <v>40744</v>
          </cell>
        </row>
        <row r="3561">
          <cell r="L3561">
            <v>40744</v>
          </cell>
        </row>
        <row r="3562">
          <cell r="L3562">
            <v>40744</v>
          </cell>
        </row>
        <row r="3563">
          <cell r="L3563">
            <v>40745</v>
          </cell>
        </row>
        <row r="3564">
          <cell r="L3564">
            <v>40746</v>
          </cell>
        </row>
        <row r="3565">
          <cell r="L3565">
            <v>40746</v>
          </cell>
        </row>
        <row r="3566">
          <cell r="L3566">
            <v>40746</v>
          </cell>
        </row>
        <row r="3567">
          <cell r="L3567">
            <v>40746</v>
          </cell>
        </row>
        <row r="3568">
          <cell r="L3568">
            <v>40746</v>
          </cell>
        </row>
        <row r="3569">
          <cell r="L3569">
            <v>40746</v>
          </cell>
        </row>
        <row r="3570">
          <cell r="L3570">
            <v>40746</v>
          </cell>
        </row>
        <row r="3571">
          <cell r="L3571">
            <v>40746</v>
          </cell>
        </row>
        <row r="3572">
          <cell r="L3572">
            <v>40746</v>
          </cell>
        </row>
        <row r="3573">
          <cell r="L3573">
            <v>40746</v>
          </cell>
        </row>
        <row r="3574">
          <cell r="L3574">
            <v>40746</v>
          </cell>
        </row>
        <row r="3575">
          <cell r="L3575">
            <v>40746</v>
          </cell>
        </row>
        <row r="3576">
          <cell r="L3576">
            <v>40746</v>
          </cell>
        </row>
        <row r="3577">
          <cell r="L3577">
            <v>40746</v>
          </cell>
        </row>
        <row r="3578">
          <cell r="L3578">
            <v>40746</v>
          </cell>
        </row>
        <row r="3579">
          <cell r="L3579">
            <v>40746</v>
          </cell>
        </row>
        <row r="3580">
          <cell r="L3580">
            <v>40746</v>
          </cell>
        </row>
        <row r="3581">
          <cell r="L3581">
            <v>40746</v>
          </cell>
        </row>
        <row r="3582">
          <cell r="L3582">
            <v>40746</v>
          </cell>
        </row>
        <row r="3583">
          <cell r="L3583">
            <v>40746</v>
          </cell>
        </row>
        <row r="3584">
          <cell r="L3584">
            <v>40746</v>
          </cell>
        </row>
        <row r="3585">
          <cell r="L3585">
            <v>40746</v>
          </cell>
        </row>
        <row r="3586">
          <cell r="L3586">
            <v>40746</v>
          </cell>
        </row>
        <row r="3587">
          <cell r="L3587">
            <v>40746</v>
          </cell>
        </row>
        <row r="3588">
          <cell r="L3588">
            <v>40746</v>
          </cell>
        </row>
        <row r="3589">
          <cell r="L3589">
            <v>40746</v>
          </cell>
        </row>
        <row r="3590">
          <cell r="L3590">
            <v>40747</v>
          </cell>
        </row>
        <row r="3591">
          <cell r="L3591">
            <v>40747</v>
          </cell>
        </row>
        <row r="3592">
          <cell r="L3592">
            <v>40747</v>
          </cell>
        </row>
        <row r="3593">
          <cell r="L3593">
            <v>40747</v>
          </cell>
        </row>
        <row r="3594">
          <cell r="L3594">
            <v>40749</v>
          </cell>
        </row>
        <row r="3595">
          <cell r="L3595">
            <v>40749</v>
          </cell>
        </row>
        <row r="3596">
          <cell r="L3596">
            <v>40749</v>
          </cell>
        </row>
        <row r="3597">
          <cell r="L3597">
            <v>40746</v>
          </cell>
        </row>
        <row r="3598">
          <cell r="L3598">
            <v>40749</v>
          </cell>
        </row>
        <row r="3599">
          <cell r="L3599">
            <v>40749</v>
          </cell>
        </row>
        <row r="3600">
          <cell r="L3600">
            <v>40749</v>
          </cell>
        </row>
        <row r="3601">
          <cell r="L3601">
            <v>40749</v>
          </cell>
        </row>
        <row r="3602">
          <cell r="L3602">
            <v>40749</v>
          </cell>
        </row>
        <row r="3603">
          <cell r="L3603">
            <v>40749</v>
          </cell>
        </row>
        <row r="3604">
          <cell r="L3604">
            <v>40744</v>
          </cell>
        </row>
        <row r="3605">
          <cell r="L3605">
            <v>40749</v>
          </cell>
        </row>
        <row r="3606">
          <cell r="L3606">
            <v>40749</v>
          </cell>
        </row>
        <row r="3607">
          <cell r="L3607">
            <v>40749</v>
          </cell>
        </row>
        <row r="3608">
          <cell r="L3608">
            <v>40749</v>
          </cell>
        </row>
        <row r="3609">
          <cell r="L3609">
            <v>40749</v>
          </cell>
        </row>
        <row r="3610">
          <cell r="L3610">
            <v>40744</v>
          </cell>
        </row>
        <row r="3611">
          <cell r="L3611">
            <v>40750</v>
          </cell>
        </row>
        <row r="3612">
          <cell r="L3612">
            <v>40750</v>
          </cell>
        </row>
        <row r="3613">
          <cell r="L3613">
            <v>40750</v>
          </cell>
        </row>
        <row r="3614">
          <cell r="L3614">
            <v>40750</v>
          </cell>
        </row>
        <row r="3615">
          <cell r="L3615">
            <v>40750</v>
          </cell>
        </row>
        <row r="3616">
          <cell r="L3616">
            <v>40750</v>
          </cell>
        </row>
        <row r="3617">
          <cell r="L3617">
            <v>40750</v>
          </cell>
        </row>
        <row r="3618">
          <cell r="L3618">
            <v>40750</v>
          </cell>
        </row>
        <row r="3619">
          <cell r="L3619">
            <v>40750</v>
          </cell>
        </row>
        <row r="3620">
          <cell r="L3620">
            <v>40750</v>
          </cell>
        </row>
        <row r="3621">
          <cell r="L3621">
            <v>40750</v>
          </cell>
        </row>
        <row r="3622">
          <cell r="L3622">
            <v>40750</v>
          </cell>
        </row>
        <row r="3623">
          <cell r="L3623">
            <v>40750</v>
          </cell>
        </row>
        <row r="3624">
          <cell r="L3624">
            <v>40750</v>
          </cell>
        </row>
        <row r="3625">
          <cell r="L3625">
            <v>40750</v>
          </cell>
        </row>
        <row r="3626">
          <cell r="L3626">
            <v>40750</v>
          </cell>
        </row>
        <row r="3627">
          <cell r="L3627">
            <v>40750</v>
          </cell>
        </row>
        <row r="3628">
          <cell r="L3628">
            <v>40750</v>
          </cell>
        </row>
        <row r="3629">
          <cell r="L3629">
            <v>40751</v>
          </cell>
        </row>
        <row r="3630">
          <cell r="L3630">
            <v>40751</v>
          </cell>
        </row>
        <row r="3631">
          <cell r="L3631">
            <v>40751</v>
          </cell>
        </row>
        <row r="3632">
          <cell r="L3632">
            <v>40752</v>
          </cell>
        </row>
        <row r="3633">
          <cell r="L3633">
            <v>40752</v>
          </cell>
        </row>
        <row r="3634">
          <cell r="L3634">
            <v>40752</v>
          </cell>
        </row>
        <row r="3635">
          <cell r="L3635">
            <v>40752</v>
          </cell>
        </row>
        <row r="3636">
          <cell r="L3636">
            <v>40752</v>
          </cell>
        </row>
        <row r="3637">
          <cell r="L3637">
            <v>40752</v>
          </cell>
        </row>
        <row r="3638">
          <cell r="L3638">
            <v>40752</v>
          </cell>
        </row>
        <row r="3639">
          <cell r="L3639">
            <v>40752</v>
          </cell>
        </row>
        <row r="3640">
          <cell r="L3640">
            <v>40753</v>
          </cell>
        </row>
        <row r="3641">
          <cell r="L3641">
            <v>40753</v>
          </cell>
        </row>
        <row r="3642">
          <cell r="L3642">
            <v>40753</v>
          </cell>
        </row>
        <row r="3643">
          <cell r="L3643">
            <v>40753</v>
          </cell>
        </row>
        <row r="3644">
          <cell r="L3644">
            <v>40753</v>
          </cell>
        </row>
        <row r="3645">
          <cell r="L3645">
            <v>40753</v>
          </cell>
        </row>
        <row r="3646">
          <cell r="L3646">
            <v>40753</v>
          </cell>
        </row>
        <row r="3647">
          <cell r="L3647">
            <v>40753</v>
          </cell>
        </row>
        <row r="3648">
          <cell r="L3648">
            <v>40753</v>
          </cell>
        </row>
        <row r="3649">
          <cell r="L3649">
            <v>40753</v>
          </cell>
        </row>
        <row r="3650">
          <cell r="L3650">
            <v>40753</v>
          </cell>
        </row>
        <row r="3651">
          <cell r="L3651">
            <v>40753</v>
          </cell>
        </row>
        <row r="3652">
          <cell r="L3652">
            <v>40753</v>
          </cell>
        </row>
        <row r="3653">
          <cell r="L3653">
            <v>40753</v>
          </cell>
        </row>
        <row r="3654">
          <cell r="L3654">
            <v>40753</v>
          </cell>
        </row>
        <row r="3655">
          <cell r="L3655">
            <v>40753</v>
          </cell>
        </row>
        <row r="3656">
          <cell r="L3656">
            <v>40753</v>
          </cell>
        </row>
        <row r="3657">
          <cell r="L3657">
            <v>40753</v>
          </cell>
        </row>
        <row r="3658">
          <cell r="L3658">
            <v>40753</v>
          </cell>
        </row>
        <row r="3659">
          <cell r="L3659">
            <v>40753</v>
          </cell>
        </row>
        <row r="3660">
          <cell r="L3660">
            <v>40753</v>
          </cell>
        </row>
        <row r="3661">
          <cell r="L3661">
            <v>40753</v>
          </cell>
        </row>
        <row r="3662">
          <cell r="L3662">
            <v>40753</v>
          </cell>
        </row>
        <row r="3663">
          <cell r="L3663">
            <v>40753</v>
          </cell>
        </row>
        <row r="3664">
          <cell r="L3664">
            <v>40753</v>
          </cell>
        </row>
        <row r="3665">
          <cell r="L3665">
            <v>40753</v>
          </cell>
        </row>
        <row r="3666">
          <cell r="L3666">
            <v>40753</v>
          </cell>
        </row>
        <row r="3667">
          <cell r="L3667">
            <v>40753</v>
          </cell>
        </row>
        <row r="3668">
          <cell r="L3668">
            <v>40753</v>
          </cell>
        </row>
        <row r="3669">
          <cell r="L3669">
            <v>40753</v>
          </cell>
        </row>
        <row r="3670">
          <cell r="L3670">
            <v>40753</v>
          </cell>
        </row>
        <row r="3671">
          <cell r="L3671">
            <v>40753</v>
          </cell>
        </row>
        <row r="3672">
          <cell r="L3672">
            <v>40753</v>
          </cell>
        </row>
        <row r="3673">
          <cell r="L3673">
            <v>40755</v>
          </cell>
        </row>
        <row r="3674">
          <cell r="L3674">
            <v>40755</v>
          </cell>
        </row>
        <row r="3675">
          <cell r="L3675">
            <v>40755</v>
          </cell>
        </row>
        <row r="3676">
          <cell r="L3676">
            <v>40755</v>
          </cell>
        </row>
        <row r="3677">
          <cell r="L3677">
            <v>40755</v>
          </cell>
        </row>
        <row r="3678">
          <cell r="L3678">
            <v>40753</v>
          </cell>
        </row>
        <row r="3679">
          <cell r="L3679">
            <v>40755</v>
          </cell>
        </row>
        <row r="3680">
          <cell r="L3680">
            <v>40749</v>
          </cell>
        </row>
        <row r="3681">
          <cell r="L3681">
            <v>40725</v>
          </cell>
        </row>
        <row r="3682">
          <cell r="L3682">
            <v>40726</v>
          </cell>
        </row>
        <row r="3683">
          <cell r="L3683">
            <v>40729</v>
          </cell>
        </row>
        <row r="3684">
          <cell r="L3684">
            <v>40731</v>
          </cell>
        </row>
        <row r="3685">
          <cell r="L3685">
            <v>40731</v>
          </cell>
        </row>
        <row r="3686">
          <cell r="L3686">
            <v>40731</v>
          </cell>
        </row>
        <row r="3687">
          <cell r="L3687">
            <v>40735</v>
          </cell>
        </row>
        <row r="3688">
          <cell r="L3688">
            <v>40735</v>
          </cell>
        </row>
        <row r="3689">
          <cell r="L3689">
            <v>40735</v>
          </cell>
        </row>
        <row r="3690">
          <cell r="L3690">
            <v>40735</v>
          </cell>
        </row>
        <row r="3691">
          <cell r="L3691">
            <v>40735</v>
          </cell>
        </row>
        <row r="3692">
          <cell r="L3692">
            <v>40735</v>
          </cell>
        </row>
        <row r="3693">
          <cell r="L3693">
            <v>40735</v>
          </cell>
        </row>
        <row r="3694">
          <cell r="L3694">
            <v>40735</v>
          </cell>
        </row>
        <row r="3695">
          <cell r="L3695">
            <v>40735</v>
          </cell>
        </row>
        <row r="3696">
          <cell r="L3696">
            <v>40736</v>
          </cell>
        </row>
        <row r="3697">
          <cell r="L3697">
            <v>40736</v>
          </cell>
        </row>
        <row r="3698">
          <cell r="L3698">
            <v>40736</v>
          </cell>
        </row>
        <row r="3699">
          <cell r="L3699">
            <v>40736</v>
          </cell>
        </row>
        <row r="3700">
          <cell r="L3700">
            <v>40735</v>
          </cell>
        </row>
        <row r="3701">
          <cell r="L3701">
            <v>40736</v>
          </cell>
        </row>
        <row r="3702">
          <cell r="L3702">
            <v>40736</v>
          </cell>
        </row>
        <row r="3703">
          <cell r="L3703">
            <v>40736</v>
          </cell>
        </row>
        <row r="3704">
          <cell r="L3704">
            <v>40736</v>
          </cell>
        </row>
        <row r="3705">
          <cell r="L3705">
            <v>40739</v>
          </cell>
        </row>
        <row r="3706">
          <cell r="L3706">
            <v>40739</v>
          </cell>
        </row>
        <row r="3707">
          <cell r="L3707">
            <v>40743</v>
          </cell>
        </row>
        <row r="3708">
          <cell r="L3708">
            <v>40743</v>
          </cell>
        </row>
        <row r="3709">
          <cell r="L3709">
            <v>40743</v>
          </cell>
        </row>
        <row r="3710">
          <cell r="L3710">
            <v>40743</v>
          </cell>
        </row>
        <row r="3711">
          <cell r="L3711">
            <v>40749</v>
          </cell>
        </row>
        <row r="3712">
          <cell r="L3712">
            <v>40749</v>
          </cell>
        </row>
        <row r="3713">
          <cell r="L3713">
            <v>40735</v>
          </cell>
        </row>
        <row r="3714">
          <cell r="L3714">
            <v>40735</v>
          </cell>
        </row>
        <row r="3715">
          <cell r="L3715">
            <v>40730</v>
          </cell>
        </row>
        <row r="3716">
          <cell r="L3716">
            <v>40737</v>
          </cell>
        </row>
        <row r="3717">
          <cell r="L3717">
            <v>40739</v>
          </cell>
        </row>
        <row r="3718">
          <cell r="L3718">
            <v>40750</v>
          </cell>
        </row>
        <row r="3719">
          <cell r="L3719">
            <v>40730</v>
          </cell>
        </row>
        <row r="3720">
          <cell r="L3720">
            <v>40731</v>
          </cell>
        </row>
        <row r="3721">
          <cell r="L3721">
            <v>40731</v>
          </cell>
        </row>
        <row r="3722">
          <cell r="L3722">
            <v>40731</v>
          </cell>
        </row>
        <row r="3723">
          <cell r="L3723">
            <v>40735</v>
          </cell>
        </row>
        <row r="3724">
          <cell r="L3724">
            <v>40735</v>
          </cell>
        </row>
        <row r="3725">
          <cell r="L3725">
            <v>40743</v>
          </cell>
        </row>
        <row r="3726">
          <cell r="L3726">
            <v>40749</v>
          </cell>
        </row>
        <row r="3727">
          <cell r="L3727">
            <v>40736</v>
          </cell>
        </row>
        <row r="3728">
          <cell r="L3728">
            <v>40736</v>
          </cell>
        </row>
        <row r="3729">
          <cell r="L3729">
            <v>40736</v>
          </cell>
        </row>
        <row r="3730">
          <cell r="L3730">
            <v>40742</v>
          </cell>
        </row>
        <row r="3731">
          <cell r="L3731">
            <v>40744</v>
          </cell>
        </row>
        <row r="3732">
          <cell r="L3732">
            <v>40745</v>
          </cell>
        </row>
        <row r="3733">
          <cell r="L3733">
            <v>40750</v>
          </cell>
        </row>
        <row r="3734">
          <cell r="L3734">
            <v>40753</v>
          </cell>
        </row>
        <row r="3735">
          <cell r="L3735">
            <v>40737</v>
          </cell>
        </row>
        <row r="3736">
          <cell r="L3736">
            <v>40737</v>
          </cell>
        </row>
        <row r="3737">
          <cell r="L3737">
            <v>40737</v>
          </cell>
        </row>
        <row r="3738">
          <cell r="L3738">
            <v>40737</v>
          </cell>
        </row>
        <row r="3739">
          <cell r="L3739">
            <v>40742</v>
          </cell>
        </row>
        <row r="3740">
          <cell r="L3740">
            <v>40728</v>
          </cell>
        </row>
        <row r="3741">
          <cell r="L3741">
            <v>40729</v>
          </cell>
        </row>
        <row r="3742">
          <cell r="L3742">
            <v>40730</v>
          </cell>
        </row>
        <row r="3743">
          <cell r="L3743">
            <v>40730</v>
          </cell>
        </row>
        <row r="3744">
          <cell r="L3744">
            <v>40731</v>
          </cell>
        </row>
        <row r="3745">
          <cell r="L3745">
            <v>40731</v>
          </cell>
        </row>
        <row r="3746">
          <cell r="L3746">
            <v>40731</v>
          </cell>
        </row>
        <row r="3747">
          <cell r="L3747">
            <v>40731</v>
          </cell>
        </row>
        <row r="3748">
          <cell r="L3748">
            <v>40731</v>
          </cell>
        </row>
        <row r="3749">
          <cell r="L3749">
            <v>40731</v>
          </cell>
        </row>
        <row r="3750">
          <cell r="L3750">
            <v>40731</v>
          </cell>
        </row>
        <row r="3751">
          <cell r="L3751">
            <v>40731</v>
          </cell>
        </row>
        <row r="3752">
          <cell r="L3752">
            <v>40731</v>
          </cell>
        </row>
        <row r="3753">
          <cell r="L3753">
            <v>40732</v>
          </cell>
        </row>
        <row r="3754">
          <cell r="L3754">
            <v>40735</v>
          </cell>
        </row>
        <row r="3755">
          <cell r="L3755">
            <v>40735</v>
          </cell>
        </row>
        <row r="3756">
          <cell r="L3756">
            <v>40735</v>
          </cell>
        </row>
        <row r="3757">
          <cell r="L3757">
            <v>40736</v>
          </cell>
        </row>
        <row r="3758">
          <cell r="L3758">
            <v>40737</v>
          </cell>
        </row>
        <row r="3759">
          <cell r="L3759">
            <v>40737</v>
          </cell>
        </row>
        <row r="3760">
          <cell r="L3760">
            <v>40737</v>
          </cell>
        </row>
        <row r="3761">
          <cell r="L3761">
            <v>40737</v>
          </cell>
        </row>
        <row r="3762">
          <cell r="L3762">
            <v>40742</v>
          </cell>
        </row>
        <row r="3763">
          <cell r="L3763">
            <v>40742</v>
          </cell>
        </row>
        <row r="3764">
          <cell r="L3764">
            <v>40742</v>
          </cell>
        </row>
        <row r="3765">
          <cell r="L3765">
            <v>40742</v>
          </cell>
        </row>
        <row r="3766">
          <cell r="L3766">
            <v>40743</v>
          </cell>
        </row>
        <row r="3767">
          <cell r="L3767">
            <v>40743</v>
          </cell>
        </row>
        <row r="3768">
          <cell r="L3768">
            <v>40743</v>
          </cell>
        </row>
        <row r="3769">
          <cell r="L3769">
            <v>40743</v>
          </cell>
        </row>
        <row r="3770">
          <cell r="L3770">
            <v>40743</v>
          </cell>
        </row>
        <row r="3771">
          <cell r="L3771">
            <v>40743</v>
          </cell>
        </row>
        <row r="3772">
          <cell r="L3772">
            <v>40743</v>
          </cell>
        </row>
        <row r="3773">
          <cell r="L3773">
            <v>40743</v>
          </cell>
        </row>
        <row r="3774">
          <cell r="L3774">
            <v>40743</v>
          </cell>
        </row>
        <row r="3775">
          <cell r="L3775">
            <v>40743</v>
          </cell>
        </row>
        <row r="3776">
          <cell r="L3776">
            <v>40743</v>
          </cell>
        </row>
        <row r="3777">
          <cell r="L3777">
            <v>40743</v>
          </cell>
        </row>
        <row r="3778">
          <cell r="L3778">
            <v>40743</v>
          </cell>
        </row>
        <row r="3779">
          <cell r="L3779">
            <v>40743</v>
          </cell>
        </row>
        <row r="3780">
          <cell r="L3780">
            <v>40744</v>
          </cell>
        </row>
        <row r="3781">
          <cell r="L3781">
            <v>40744</v>
          </cell>
        </row>
        <row r="3782">
          <cell r="L3782">
            <v>40744</v>
          </cell>
        </row>
        <row r="3783">
          <cell r="L3783">
            <v>40744</v>
          </cell>
        </row>
        <row r="3784">
          <cell r="L3784">
            <v>40744</v>
          </cell>
        </row>
        <row r="3785">
          <cell r="L3785">
            <v>40744</v>
          </cell>
        </row>
        <row r="3786">
          <cell r="L3786">
            <v>40744</v>
          </cell>
        </row>
        <row r="3787">
          <cell r="L3787">
            <v>40744</v>
          </cell>
        </row>
        <row r="3788">
          <cell r="L3788">
            <v>40744</v>
          </cell>
        </row>
        <row r="3789">
          <cell r="L3789">
            <v>40744</v>
          </cell>
        </row>
        <row r="3790">
          <cell r="L3790">
            <v>40744</v>
          </cell>
        </row>
        <row r="3791">
          <cell r="L3791">
            <v>40746</v>
          </cell>
        </row>
        <row r="3792">
          <cell r="L3792">
            <v>40751</v>
          </cell>
        </row>
        <row r="3793">
          <cell r="L3793">
            <v>40751</v>
          </cell>
        </row>
        <row r="3794">
          <cell r="L3794">
            <v>40751</v>
          </cell>
        </row>
        <row r="3795">
          <cell r="L3795">
            <v>40751</v>
          </cell>
        </row>
        <row r="3796">
          <cell r="L3796">
            <v>40751</v>
          </cell>
        </row>
        <row r="3797">
          <cell r="L3797">
            <v>40752</v>
          </cell>
        </row>
        <row r="3798">
          <cell r="L3798">
            <v>40752</v>
          </cell>
        </row>
        <row r="3799">
          <cell r="L3799">
            <v>40752</v>
          </cell>
        </row>
        <row r="3800">
          <cell r="L3800">
            <v>40752</v>
          </cell>
        </row>
        <row r="3801">
          <cell r="L3801">
            <v>40752</v>
          </cell>
        </row>
        <row r="3802">
          <cell r="L3802">
            <v>40753</v>
          </cell>
        </row>
        <row r="3803">
          <cell r="L3803">
            <v>40753</v>
          </cell>
        </row>
        <row r="3804">
          <cell r="L3804">
            <v>40753</v>
          </cell>
        </row>
        <row r="3805">
          <cell r="L3805">
            <v>40753</v>
          </cell>
        </row>
        <row r="3806">
          <cell r="L3806">
            <v>40753</v>
          </cell>
        </row>
        <row r="3807">
          <cell r="L3807">
            <v>40753</v>
          </cell>
        </row>
        <row r="3808">
          <cell r="L3808">
            <v>40753</v>
          </cell>
        </row>
        <row r="3809">
          <cell r="L3809">
            <v>40753</v>
          </cell>
        </row>
        <row r="3810">
          <cell r="L3810">
            <v>40753</v>
          </cell>
        </row>
        <row r="3811">
          <cell r="L3811">
            <v>40753</v>
          </cell>
        </row>
        <row r="3812">
          <cell r="L3812">
            <v>40753</v>
          </cell>
        </row>
        <row r="3813">
          <cell r="L3813">
            <v>40753</v>
          </cell>
        </row>
        <row r="3814">
          <cell r="L3814">
            <v>40754</v>
          </cell>
        </row>
        <row r="3815">
          <cell r="L3815">
            <v>40754</v>
          </cell>
        </row>
        <row r="3816">
          <cell r="L3816">
            <v>40755</v>
          </cell>
        </row>
        <row r="3817">
          <cell r="L3817">
            <v>40728</v>
          </cell>
        </row>
        <row r="3818">
          <cell r="L3818">
            <v>40728</v>
          </cell>
        </row>
        <row r="3819">
          <cell r="L3819">
            <v>40728</v>
          </cell>
        </row>
        <row r="3820">
          <cell r="L3820">
            <v>40729</v>
          </cell>
        </row>
        <row r="3821">
          <cell r="L3821">
            <v>40731</v>
          </cell>
        </row>
        <row r="3822">
          <cell r="L3822">
            <v>40732</v>
          </cell>
        </row>
        <row r="3823">
          <cell r="L3823">
            <v>40735</v>
          </cell>
        </row>
        <row r="3824">
          <cell r="L3824">
            <v>40725</v>
          </cell>
        </row>
        <row r="3825">
          <cell r="L3825">
            <v>40736</v>
          </cell>
        </row>
        <row r="3826">
          <cell r="L3826">
            <v>40737</v>
          </cell>
        </row>
        <row r="3827">
          <cell r="L3827">
            <v>40725</v>
          </cell>
        </row>
        <row r="3828">
          <cell r="L3828">
            <v>40743</v>
          </cell>
        </row>
        <row r="3829">
          <cell r="L3829">
            <v>40745</v>
          </cell>
        </row>
        <row r="3830">
          <cell r="L3830">
            <v>40746</v>
          </cell>
        </row>
        <row r="3831">
          <cell r="L3831">
            <v>40746</v>
          </cell>
        </row>
        <row r="3832">
          <cell r="L3832">
            <v>40750</v>
          </cell>
        </row>
        <row r="3833">
          <cell r="L3833">
            <v>40750</v>
          </cell>
        </row>
        <row r="3834">
          <cell r="L3834">
            <v>40750</v>
          </cell>
        </row>
        <row r="3835">
          <cell r="L3835">
            <v>40751</v>
          </cell>
        </row>
        <row r="3836">
          <cell r="L3836">
            <v>40752</v>
          </cell>
        </row>
        <row r="3837">
          <cell r="L3837">
            <v>40752</v>
          </cell>
        </row>
        <row r="3838">
          <cell r="L3838">
            <v>40728</v>
          </cell>
        </row>
        <row r="3839">
          <cell r="L3839">
            <v>40728</v>
          </cell>
        </row>
        <row r="3840">
          <cell r="L3840">
            <v>40728</v>
          </cell>
        </row>
        <row r="3841">
          <cell r="L3841">
            <v>40728</v>
          </cell>
        </row>
        <row r="3842">
          <cell r="L3842">
            <v>40728</v>
          </cell>
        </row>
        <row r="3843">
          <cell r="L3843">
            <v>40728</v>
          </cell>
        </row>
        <row r="3844">
          <cell r="L3844">
            <v>40728</v>
          </cell>
        </row>
        <row r="3845">
          <cell r="L3845">
            <v>40728</v>
          </cell>
        </row>
        <row r="3846">
          <cell r="L3846">
            <v>40730</v>
          </cell>
        </row>
        <row r="3847">
          <cell r="L3847">
            <v>40730</v>
          </cell>
        </row>
        <row r="3848">
          <cell r="L3848">
            <v>40730</v>
          </cell>
        </row>
        <row r="3849">
          <cell r="L3849">
            <v>40730</v>
          </cell>
        </row>
        <row r="3850">
          <cell r="L3850">
            <v>40730</v>
          </cell>
        </row>
        <row r="3851">
          <cell r="L3851">
            <v>40730</v>
          </cell>
        </row>
        <row r="3852">
          <cell r="L3852">
            <v>40739</v>
          </cell>
        </row>
        <row r="3853">
          <cell r="L3853">
            <v>40739</v>
          </cell>
        </row>
        <row r="3854">
          <cell r="L3854">
            <v>40739</v>
          </cell>
        </row>
        <row r="3855">
          <cell r="L3855">
            <v>40739</v>
          </cell>
        </row>
        <row r="3856">
          <cell r="L3856">
            <v>40744</v>
          </cell>
        </row>
        <row r="3857">
          <cell r="L3857">
            <v>40744</v>
          </cell>
        </row>
        <row r="3858">
          <cell r="L3858">
            <v>40744</v>
          </cell>
        </row>
        <row r="3859">
          <cell r="L3859">
            <v>40738</v>
          </cell>
        </row>
        <row r="3860">
          <cell r="L3860">
            <v>40744</v>
          </cell>
        </row>
        <row r="3861">
          <cell r="L3861">
            <v>40751</v>
          </cell>
        </row>
        <row r="3862">
          <cell r="L3862">
            <v>40751</v>
          </cell>
        </row>
        <row r="3863">
          <cell r="L3863">
            <v>40751</v>
          </cell>
        </row>
        <row r="3864">
          <cell r="L3864">
            <v>40751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cation combination"/>
      <sheetName val="Recipe combination"/>
      <sheetName val="List"/>
    </sheetNames>
    <sheetDataSet>
      <sheetData sheetId="0" refreshError="1"/>
      <sheetData sheetId="1" refreshError="1"/>
      <sheetData sheetId="2" refreshError="1">
        <row r="3">
          <cell r="C3">
            <v>0.05</v>
          </cell>
          <cell r="D3" t="str">
            <v>CPO</v>
          </cell>
        </row>
        <row r="4">
          <cell r="C4">
            <v>0.1</v>
          </cell>
          <cell r="D4" t="str">
            <v>CPS</v>
          </cell>
        </row>
        <row r="5">
          <cell r="C5">
            <v>0.15</v>
          </cell>
          <cell r="D5" t="str">
            <v>RBDPS</v>
          </cell>
        </row>
        <row r="6">
          <cell r="C6">
            <v>0.2</v>
          </cell>
          <cell r="D6" t="str">
            <v>PFAD</v>
          </cell>
        </row>
        <row r="7">
          <cell r="C7">
            <v>0.25</v>
          </cell>
          <cell r="D7" t="str">
            <v>PKFAD</v>
          </cell>
        </row>
        <row r="8">
          <cell r="C8">
            <v>0.3</v>
          </cell>
          <cell r="D8" t="str">
            <v>B/P PKO</v>
          </cell>
        </row>
        <row r="9">
          <cell r="C9">
            <v>0.35</v>
          </cell>
          <cell r="D9" t="str">
            <v>CNO</v>
          </cell>
        </row>
        <row r="10">
          <cell r="C10">
            <v>0.4</v>
          </cell>
          <cell r="D10" t="str">
            <v>B/P CNO</v>
          </cell>
        </row>
        <row r="11">
          <cell r="C11">
            <v>0.45</v>
          </cell>
          <cell r="D11" t="str">
            <v>PKO</v>
          </cell>
        </row>
        <row r="12">
          <cell r="C12">
            <v>0.5</v>
          </cell>
          <cell r="D12" t="str">
            <v>PKO residue</v>
          </cell>
        </row>
        <row r="13">
          <cell r="C13">
            <v>0.55000000000000004</v>
          </cell>
        </row>
        <row r="14">
          <cell r="C14">
            <v>0.6</v>
          </cell>
        </row>
        <row r="15">
          <cell r="C15">
            <v>0.65</v>
          </cell>
        </row>
        <row r="16">
          <cell r="C16">
            <v>0.7</v>
          </cell>
        </row>
        <row r="17">
          <cell r="C17">
            <v>0.75</v>
          </cell>
        </row>
        <row r="18">
          <cell r="C18">
            <v>0.8</v>
          </cell>
        </row>
        <row r="19">
          <cell r="C19">
            <v>0.85</v>
          </cell>
        </row>
        <row r="20">
          <cell r="C20">
            <v>0.9</v>
          </cell>
        </row>
        <row r="21">
          <cell r="C21">
            <v>0.95</v>
          </cell>
        </row>
        <row r="22">
          <cell r="C22">
            <v>1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yer jamming"/>
      <sheetName val="savings_summary"/>
      <sheetName val="Comments of Steering Committee"/>
      <sheetName val="Ass.Sheet"/>
      <sheetName val="Consolidated Cost"/>
      <sheetName val="Start up energy reduction"/>
      <sheetName val=" Reduction in voltage_final"/>
      <sheetName val=" 03HC77 vent to be use as fuel"/>
      <sheetName val="CBD Throtlling"/>
      <sheetName val="NG compressor(final)"/>
      <sheetName val="Syn Comp suction pr"/>
      <sheetName val=" Lube oil pump GV"/>
      <sheetName val=" Cooling eff of E303"/>
      <sheetName val=" P-309AB Stoppage"/>
      <sheetName val="Sub_station_light(final)"/>
      <sheetName val=" FV_32"/>
      <sheetName val=" 03TV78"/>
      <sheetName val=" TG loading "/>
      <sheetName val=" Turbine conde pump"/>
      <sheetName val=" 03PV76"/>
      <sheetName val=" Trim the valve size(final)"/>
      <sheetName val=" IG plant air to K 421"/>
      <sheetName val=" Syn_gas_E312"/>
      <sheetName val="BFW (T) on auto"/>
      <sheetName val="E-205 tube leakage"/>
      <sheetName val=" Fuel NG heating by E204B"/>
      <sheetName val=" C-03 offgases"/>
      <sheetName val="Air heater with hot suction"/>
      <sheetName val="BFW(T) to BFW(M) final"/>
      <sheetName val="MP Stripper"/>
      <sheetName val=" Magnetic resonator"/>
      <sheetName val="Tube replacement E522"/>
      <sheetName val="Junk"/>
      <sheetName val="BFW turbine refurbishing"/>
      <sheetName val="inlet piping modi. TP601A"/>
      <sheetName val="B-602 Condensate"/>
      <sheetName val="Production"/>
      <sheetName val="Mr. P.S. Dwivedi"/>
      <sheetName val="BFW(T) to BFW(M)"/>
      <sheetName val=" Replace Recycle H BY PGR "/>
      <sheetName val=" Trim the valve size"/>
      <sheetName val="Steam in sec reformer"/>
      <sheetName val="Pressure_AC"/>
      <sheetName val=" Masspectrometer"/>
      <sheetName val=" Expander"/>
      <sheetName val="Investment "/>
      <sheetName val="Ass_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Info"/>
      <sheetName val="Index"/>
      <sheetName val="Product Groups ASR movement"/>
      <sheetName val="Price-Volume analyses"/>
      <sheetName val="Product wise ASR- Oleo"/>
      <sheetName val="Top 10 Oleo products"/>
      <sheetName val="Sales - Domestic vs. Exports"/>
      <sheetName val="Customerwise group wise"/>
      <sheetName val="Customer wise overall"/>
      <sheetName val="Sheet (4)"/>
      <sheetName val="Plant wise sales"/>
      <sheetName val="Sheet (2)"/>
      <sheetName val="Trend in key products "/>
      <sheetName val="Monthly sales trend - Key prods"/>
      <sheetName val="V1214"/>
      <sheetName val="V1216"/>
      <sheetName val="UTSR trend"/>
      <sheetName val="Erucic acid"/>
      <sheetName val="V 12 16"/>
      <sheetName val="V 12 14"/>
      <sheetName val="Glycerine"/>
      <sheetName val="Monthly trend - Top customers"/>
      <sheetName val="Sheet (3)"/>
      <sheetName val="RM price trend - Key oils"/>
      <sheetName val="Top 10 based on FY09"/>
      <sheetName val="Top 10 based on FY08"/>
    </sheetNames>
    <sheetDataSet>
      <sheetData sheetId="0" refreshError="1">
        <row r="3">
          <cell r="D3" t="str">
            <v>Project Daffodil - Oleo Revenue analyses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gment Reporting"/>
      <sheetName val="Rev.1"/>
      <sheetName val="VVF"/>
      <sheetName val="Location-Power,Fuel,Water"/>
      <sheetName val="UNALLOCATED EXPS"/>
      <sheetName val="Interest"/>
      <sheetName val="Write Off"/>
      <sheetName val="Depreciation"/>
      <sheetName val="forex gain loss"/>
      <sheetName val="COB Commission"/>
      <sheetName val="Exchange R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st quarter"/>
      <sheetName val="2nd quarter"/>
      <sheetName val="3rd quarter"/>
      <sheetName val="DATA"/>
    </sheetNames>
    <sheetDataSet>
      <sheetData sheetId="0"/>
      <sheetData sheetId="1"/>
      <sheetData sheetId="2">
        <row r="306">
          <cell r="A306">
            <v>1</v>
          </cell>
        </row>
      </sheetData>
      <sheetData sheetId="3">
        <row r="306">
          <cell r="A306">
            <v>1</v>
          </cell>
          <cell r="B306" t="str">
            <v>RM</v>
          </cell>
          <cell r="C306" t="str">
            <v>FM</v>
          </cell>
          <cell r="D306" t="str">
            <v>CPKO-5%</v>
          </cell>
          <cell r="E306" t="str">
            <v>CPKO-5%</v>
          </cell>
          <cell r="K306">
            <v>4183.1679999999997</v>
          </cell>
          <cell r="L306">
            <v>4950.4129999999996</v>
          </cell>
          <cell r="M306">
            <v>2750</v>
          </cell>
          <cell r="T306">
            <v>4597.5730000000003</v>
          </cell>
          <cell r="U306">
            <v>2543.81</v>
          </cell>
          <cell r="V306">
            <v>3009.9789999999998</v>
          </cell>
          <cell r="AC306">
            <v>4361.4989999999998</v>
          </cell>
          <cell r="AD306">
            <v>3032.1689999999999</v>
          </cell>
          <cell r="AL306">
            <v>902.69100000000003</v>
          </cell>
          <cell r="AM306">
            <v>2653.3090000000002</v>
          </cell>
          <cell r="AU306">
            <v>896.35900000000004</v>
          </cell>
          <cell r="AV306">
            <v>5530.192</v>
          </cell>
          <cell r="BD306">
            <v>1171.327</v>
          </cell>
          <cell r="BE306">
            <v>4617.7820000000002</v>
          </cell>
          <cell r="BM306">
            <v>1943.8330000000001</v>
          </cell>
          <cell r="BN306">
            <v>3518.7520000000004</v>
          </cell>
          <cell r="BV306">
            <v>2449.3850000000002</v>
          </cell>
          <cell r="BW306">
            <v>1794.5619999999999</v>
          </cell>
          <cell r="CE306">
            <v>1552.1210000000001</v>
          </cell>
          <cell r="CF306">
            <v>6742.53</v>
          </cell>
          <cell r="CN306">
            <v>1199.366</v>
          </cell>
          <cell r="CO306">
            <v>5646.67</v>
          </cell>
          <cell r="CU306">
            <v>0</v>
          </cell>
          <cell r="CW306">
            <v>899.97699999999998</v>
          </cell>
          <cell r="CX306">
            <v>4947.1080000000002</v>
          </cell>
          <cell r="CY306">
            <v>316.02</v>
          </cell>
          <cell r="DF306">
            <v>1916.125</v>
          </cell>
          <cell r="DG306">
            <v>8188.5259999999998</v>
          </cell>
          <cell r="DO306">
            <v>2732.4940000000001</v>
          </cell>
          <cell r="DP306">
            <v>4864.348</v>
          </cell>
          <cell r="DX306">
            <v>696.46500000000003</v>
          </cell>
          <cell r="DY306">
            <v>6864.0280000000002</v>
          </cell>
          <cell r="EG306">
            <v>1223.788</v>
          </cell>
          <cell r="EH306">
            <v>3552.2939999999999</v>
          </cell>
          <cell r="EP306">
            <v>1805.3820000000001</v>
          </cell>
          <cell r="EQ306">
            <v>1564.769</v>
          </cell>
        </row>
        <row r="307">
          <cell r="A307">
            <v>2</v>
          </cell>
          <cell r="B307" t="str">
            <v>RM</v>
          </cell>
          <cell r="C307" t="str">
            <v>FM</v>
          </cell>
          <cell r="D307" t="str">
            <v>CPKO-23%</v>
          </cell>
          <cell r="E307" t="str">
            <v>CPKO-23%</v>
          </cell>
        </row>
        <row r="308">
          <cell r="A308">
            <v>3</v>
          </cell>
          <cell r="B308" t="str">
            <v>RM</v>
          </cell>
          <cell r="C308" t="str">
            <v>FM</v>
          </cell>
          <cell r="D308" t="str">
            <v>CNO-C</v>
          </cell>
          <cell r="E308" t="str">
            <v>CNO-C</v>
          </cell>
        </row>
        <row r="309">
          <cell r="A309">
            <v>4</v>
          </cell>
          <cell r="B309" t="str">
            <v>RM</v>
          </cell>
          <cell r="C309" t="str">
            <v>FM</v>
          </cell>
          <cell r="D309" t="str">
            <v>CNO-R</v>
          </cell>
          <cell r="E309" t="str">
            <v>CNO-R</v>
          </cell>
        </row>
        <row r="310">
          <cell r="A310">
            <v>5</v>
          </cell>
          <cell r="B310" t="str">
            <v>RM</v>
          </cell>
          <cell r="C310" t="str">
            <v>FM</v>
          </cell>
          <cell r="D310" t="str">
            <v>PKFAD</v>
          </cell>
          <cell r="E310" t="str">
            <v>PKFAD</v>
          </cell>
          <cell r="K310">
            <v>13.683999999999999</v>
          </cell>
        </row>
        <row r="311">
          <cell r="A311">
            <v>6</v>
          </cell>
          <cell r="B311" t="str">
            <v>RM</v>
          </cell>
          <cell r="C311" t="str">
            <v>FM</v>
          </cell>
          <cell r="D311" t="str">
            <v>RBDPS</v>
          </cell>
          <cell r="E311" t="str">
            <v>RBDPS</v>
          </cell>
          <cell r="H311">
            <v>184.226</v>
          </cell>
          <cell r="I311">
            <v>768.5</v>
          </cell>
          <cell r="K311">
            <v>27.177</v>
          </cell>
          <cell r="Q311">
            <v>184.226</v>
          </cell>
          <cell r="R311">
            <v>768.5</v>
          </cell>
          <cell r="Z311">
            <v>184.226</v>
          </cell>
          <cell r="AA311">
            <v>602.4</v>
          </cell>
          <cell r="AI311">
            <v>184.226</v>
          </cell>
          <cell r="AJ311">
            <v>391.8</v>
          </cell>
          <cell r="AR311">
            <v>184.226</v>
          </cell>
          <cell r="AS311">
            <v>391.79828571428573</v>
          </cell>
          <cell r="AU311">
            <v>121.36</v>
          </cell>
          <cell r="BA311">
            <v>184.226</v>
          </cell>
          <cell r="BB311">
            <v>419.38971428571432</v>
          </cell>
          <cell r="BD311">
            <v>155.19</v>
          </cell>
          <cell r="BJ311">
            <v>184.226</v>
          </cell>
          <cell r="BK311">
            <v>419.38971428571432</v>
          </cell>
          <cell r="BM311">
            <v>362.76</v>
          </cell>
          <cell r="BS311">
            <v>184.226</v>
          </cell>
          <cell r="BT311">
            <v>323.73942857142862</v>
          </cell>
          <cell r="BV311">
            <v>39.65</v>
          </cell>
          <cell r="CB311">
            <v>184.226</v>
          </cell>
          <cell r="CC311">
            <v>183.94285714285712</v>
          </cell>
          <cell r="CE311">
            <v>144.11000000000001</v>
          </cell>
          <cell r="CL311">
            <v>362.4</v>
          </cell>
          <cell r="CN311">
            <v>242.63</v>
          </cell>
          <cell r="CW311">
            <v>305.54000000000002</v>
          </cell>
          <cell r="DD311">
            <v>372.5</v>
          </cell>
          <cell r="DF311">
            <v>416.08</v>
          </cell>
          <cell r="DM311">
            <v>138</v>
          </cell>
          <cell r="DO311">
            <v>57.07</v>
          </cell>
          <cell r="DX311">
            <v>138.05000000000001</v>
          </cell>
          <cell r="EE311">
            <v>9.1971428571428575</v>
          </cell>
          <cell r="EG311">
            <v>239.84</v>
          </cell>
          <cell r="EN311">
            <v>248.68</v>
          </cell>
          <cell r="EP311">
            <v>258.79000000000002</v>
          </cell>
          <cell r="ER311">
            <v>43.79</v>
          </cell>
        </row>
        <row r="312">
          <cell r="A312">
            <v>7</v>
          </cell>
          <cell r="B312" t="str">
            <v>RM</v>
          </cell>
          <cell r="C312" t="str">
            <v>FM</v>
          </cell>
          <cell r="D312" t="str">
            <v>CPS-5%</v>
          </cell>
          <cell r="E312" t="str">
            <v>CPS-5%</v>
          </cell>
        </row>
        <row r="313">
          <cell r="A313">
            <v>8</v>
          </cell>
          <cell r="B313" t="str">
            <v>RM</v>
          </cell>
          <cell r="C313" t="str">
            <v>FM</v>
          </cell>
          <cell r="D313" t="str">
            <v>CPS-20%</v>
          </cell>
          <cell r="E313" t="str">
            <v>CPS-20%</v>
          </cell>
        </row>
        <row r="314">
          <cell r="A314">
            <v>9</v>
          </cell>
          <cell r="B314" t="str">
            <v>RM</v>
          </cell>
          <cell r="C314" t="str">
            <v>FM</v>
          </cell>
          <cell r="D314" t="str">
            <v>CPS-23%-HLL</v>
          </cell>
          <cell r="E314" t="str">
            <v>CPS-23%-HLL</v>
          </cell>
        </row>
        <row r="315">
          <cell r="A315">
            <v>10</v>
          </cell>
          <cell r="B315" t="str">
            <v>RM</v>
          </cell>
          <cell r="C315" t="str">
            <v>FM</v>
          </cell>
          <cell r="D315" t="str">
            <v>CPO</v>
          </cell>
          <cell r="E315" t="str">
            <v>CPO</v>
          </cell>
        </row>
        <row r="316">
          <cell r="A316">
            <v>11</v>
          </cell>
          <cell r="B316" t="str">
            <v>RM</v>
          </cell>
          <cell r="C316" t="str">
            <v>FM</v>
          </cell>
          <cell r="D316" t="str">
            <v>RBDPN</v>
          </cell>
          <cell r="E316" t="str">
            <v>RBDPN</v>
          </cell>
        </row>
        <row r="317">
          <cell r="A317">
            <v>12</v>
          </cell>
          <cell r="B317" t="str">
            <v>RM</v>
          </cell>
          <cell r="C317" t="str">
            <v>FM</v>
          </cell>
          <cell r="D317" t="str">
            <v>PFAD</v>
          </cell>
          <cell r="E317" t="str">
            <v>PFAD</v>
          </cell>
          <cell r="J317">
            <v>64.656000000000006</v>
          </cell>
          <cell r="S317">
            <v>48.347999999999999</v>
          </cell>
          <cell r="Y317">
            <v>172.27080000000001</v>
          </cell>
          <cell r="AB317">
            <v>41.411999999999999</v>
          </cell>
          <cell r="AC317">
            <v>17.486999999999998</v>
          </cell>
          <cell r="AH317">
            <v>342.33300000000003</v>
          </cell>
          <cell r="AK317">
            <v>4.8959999999999999</v>
          </cell>
          <cell r="AL317">
            <v>51.626999999999995</v>
          </cell>
          <cell r="AQ317">
            <v>130.3074</v>
          </cell>
          <cell r="AT317">
            <v>35.292000000000002</v>
          </cell>
          <cell r="AU317">
            <v>484.3889999999999</v>
          </cell>
          <cell r="AV317">
            <v>2171.768</v>
          </cell>
          <cell r="AZ317">
            <v>46.38</v>
          </cell>
          <cell r="BD317">
            <v>615.54200000000003</v>
          </cell>
          <cell r="BE317">
            <v>1763.2080000000001</v>
          </cell>
          <cell r="BI317">
            <v>13.2516</v>
          </cell>
          <cell r="BM317">
            <v>238.69699999999995</v>
          </cell>
          <cell r="BN317">
            <v>3799.6669999999999</v>
          </cell>
          <cell r="BR317">
            <v>13.2516</v>
          </cell>
          <cell r="BV317">
            <v>658.38499999999999</v>
          </cell>
          <cell r="BW317">
            <v>2702.3870000000002</v>
          </cell>
          <cell r="CA317">
            <v>13.2516</v>
          </cell>
          <cell r="CE317">
            <v>468.98099999999999</v>
          </cell>
          <cell r="CF317">
            <v>3840.0880000000002</v>
          </cell>
          <cell r="CJ317">
            <v>22</v>
          </cell>
          <cell r="CN317">
            <v>780.7</v>
          </cell>
          <cell r="CO317">
            <v>2776.04</v>
          </cell>
          <cell r="CS317">
            <v>15.46</v>
          </cell>
          <cell r="CW317">
            <v>2113.3040000000001</v>
          </cell>
          <cell r="CX317">
            <v>1182.6300000000001</v>
          </cell>
          <cell r="DF317">
            <v>1373.6030000000001</v>
          </cell>
          <cell r="DG317">
            <v>1182.633</v>
          </cell>
          <cell r="DO317">
            <v>368.81200000000001</v>
          </cell>
          <cell r="DP317">
            <v>3356.3629999999998</v>
          </cell>
          <cell r="DX317">
            <v>693.02600000000007</v>
          </cell>
          <cell r="DY317">
            <v>2066.4029999999998</v>
          </cell>
          <cell r="EF317">
            <v>1510.48</v>
          </cell>
          <cell r="EG317">
            <v>238.22</v>
          </cell>
          <cell r="EH317">
            <v>736.75699999999995</v>
          </cell>
          <cell r="EO317">
            <v>162.99600000000001</v>
          </cell>
          <cell r="EP317">
            <v>674.99799999999993</v>
          </cell>
          <cell r="EQ317">
            <v>83.997</v>
          </cell>
        </row>
        <row r="318">
          <cell r="A318">
            <v>13</v>
          </cell>
          <cell r="B318" t="str">
            <v>RM</v>
          </cell>
          <cell r="C318" t="str">
            <v>FM</v>
          </cell>
          <cell r="D318" t="str">
            <v>MUSTARD OIL-EXPELLER</v>
          </cell>
          <cell r="E318" t="str">
            <v>MUSTARD OIL-EXPELLER</v>
          </cell>
          <cell r="K318">
            <v>2242.2219999999998</v>
          </cell>
          <cell r="T318">
            <v>2017.954</v>
          </cell>
          <cell r="AC318">
            <v>2190.576</v>
          </cell>
          <cell r="AL318">
            <v>2190.576</v>
          </cell>
          <cell r="AU318">
            <v>2336.1260000000002</v>
          </cell>
          <cell r="BD318">
            <v>2384.029</v>
          </cell>
          <cell r="BM318">
            <v>1782.653</v>
          </cell>
          <cell r="BN318">
            <v>319.33999999999997</v>
          </cell>
          <cell r="BV318">
            <v>611.56799999999998</v>
          </cell>
          <cell r="BW318">
            <v>813.52499999999998</v>
          </cell>
          <cell r="CE318">
            <v>711.55499999999995</v>
          </cell>
          <cell r="CN318">
            <v>937.17500000000007</v>
          </cell>
          <cell r="CW318">
            <v>1075.0050000000001</v>
          </cell>
          <cell r="DF318">
            <v>826.57500000000005</v>
          </cell>
          <cell r="DG318">
            <v>311.91000000000003</v>
          </cell>
          <cell r="DO318">
            <v>118.325</v>
          </cell>
          <cell r="DP318">
            <v>1221.925</v>
          </cell>
          <cell r="DX318">
            <v>372.39499999999998</v>
          </cell>
          <cell r="EG318">
            <v>743.41499999999996</v>
          </cell>
          <cell r="EP318">
            <v>790.89499999999998</v>
          </cell>
        </row>
        <row r="319">
          <cell r="A319">
            <v>14</v>
          </cell>
          <cell r="B319" t="str">
            <v>RM</v>
          </cell>
          <cell r="C319" t="str">
            <v>FM</v>
          </cell>
          <cell r="D319" t="str">
            <v>MUSTARD OIL-REFINED</v>
          </cell>
          <cell r="E319" t="str">
            <v>MUSTARD OIL-REFINED</v>
          </cell>
          <cell r="CE319">
            <v>702.91800000000001</v>
          </cell>
          <cell r="CF319">
            <v>105.70399999999999</v>
          </cell>
          <cell r="CN319">
            <v>624.34699999999998</v>
          </cell>
          <cell r="CO319">
            <v>9.4740000000000002</v>
          </cell>
          <cell r="CW319">
            <v>96.513000000000005</v>
          </cell>
          <cell r="CX319">
            <v>4.9740000000000002</v>
          </cell>
          <cell r="DF319">
            <v>0.85399999999999998</v>
          </cell>
          <cell r="DG319">
            <v>4.9740000000000002</v>
          </cell>
          <cell r="DO319">
            <v>0.50900000000000001</v>
          </cell>
          <cell r="DP319">
            <v>4.9740000000000002</v>
          </cell>
          <cell r="DX319">
            <v>896.98400000000004</v>
          </cell>
        </row>
        <row r="320">
          <cell r="A320">
            <v>15</v>
          </cell>
          <cell r="B320" t="str">
            <v>RM</v>
          </cell>
          <cell r="C320" t="str">
            <v>FM</v>
          </cell>
          <cell r="D320" t="str">
            <v>CRUDE GLYCERINE</v>
          </cell>
          <cell r="E320" t="str">
            <v>CRUDE GLYCERINE</v>
          </cell>
          <cell r="F320">
            <v>205.67</v>
          </cell>
          <cell r="J320">
            <v>1125.268</v>
          </cell>
          <cell r="K320">
            <v>1290.8679999999999</v>
          </cell>
          <cell r="O320">
            <v>142.79</v>
          </cell>
          <cell r="S320">
            <v>1164.0820000000001</v>
          </cell>
          <cell r="T320">
            <v>1284.605</v>
          </cell>
          <cell r="X320">
            <v>224.67</v>
          </cell>
          <cell r="AB320">
            <v>1201.329</v>
          </cell>
          <cell r="AC320">
            <v>1323.3240000000001</v>
          </cell>
          <cell r="AG320">
            <v>319.64</v>
          </cell>
          <cell r="AK320">
            <v>1059.682</v>
          </cell>
          <cell r="AL320">
            <v>1726.078</v>
          </cell>
          <cell r="AP320">
            <v>270.52</v>
          </cell>
          <cell r="AT320">
            <v>1047.9079999999999</v>
          </cell>
          <cell r="AU320">
            <v>1697.7270000000001</v>
          </cell>
          <cell r="AY320">
            <v>263.97000000000003</v>
          </cell>
          <cell r="BC320">
            <v>1038.3699999999999</v>
          </cell>
          <cell r="BD320">
            <v>1706.269</v>
          </cell>
          <cell r="BH320">
            <v>331.43</v>
          </cell>
          <cell r="BL320">
            <v>956.32600000000002</v>
          </cell>
          <cell r="BM320">
            <v>1614.434</v>
          </cell>
          <cell r="BQ320">
            <v>323.57</v>
          </cell>
          <cell r="BU320">
            <v>1067.076</v>
          </cell>
          <cell r="BV320">
            <v>2158.384</v>
          </cell>
          <cell r="BZ320">
            <v>296.72000000000003</v>
          </cell>
          <cell r="CD320">
            <v>969.44600000000003</v>
          </cell>
          <cell r="CE320">
            <v>1467.7249999999999</v>
          </cell>
          <cell r="CG320">
            <v>750</v>
          </cell>
          <cell r="CI320">
            <v>359.6</v>
          </cell>
          <cell r="CJ320">
            <v>577.9</v>
          </cell>
          <cell r="CN320">
            <v>1646.7860000000001</v>
          </cell>
          <cell r="CR320">
            <v>350.43</v>
          </cell>
          <cell r="CS320">
            <v>577.9</v>
          </cell>
          <cell r="CW320">
            <v>1825.2170000000001</v>
          </cell>
          <cell r="DA320">
            <v>909.32999999999993</v>
          </cell>
          <cell r="DF320">
            <v>1864.5010000000002</v>
          </cell>
          <cell r="DJ320">
            <v>222.05</v>
          </cell>
          <cell r="DK320">
            <v>577.9</v>
          </cell>
          <cell r="DO320">
            <v>2063.4539999999997</v>
          </cell>
          <cell r="DS320">
            <v>221.39</v>
          </cell>
          <cell r="DT320">
            <v>577.9</v>
          </cell>
          <cell r="DW320">
            <v>777.73500000000001</v>
          </cell>
          <cell r="EB320">
            <v>264.62</v>
          </cell>
          <cell r="EC320">
            <v>357.9</v>
          </cell>
          <cell r="EG320">
            <v>1989.135</v>
          </cell>
          <cell r="EK320">
            <v>264.62</v>
          </cell>
          <cell r="EL320">
            <v>357.9</v>
          </cell>
          <cell r="EO320">
            <v>1223.1969999999999</v>
          </cell>
          <cell r="EP320">
            <v>1949.511</v>
          </cell>
        </row>
        <row r="321">
          <cell r="A321">
            <v>16</v>
          </cell>
          <cell r="B321" t="str">
            <v>RM</v>
          </cell>
          <cell r="C321" t="str">
            <v>FM</v>
          </cell>
          <cell r="D321" t="str">
            <v>CAUSTIC SODA</v>
          </cell>
          <cell r="E321" t="str">
            <v>CAUSTIC SODA</v>
          </cell>
          <cell r="I321">
            <v>119.4</v>
          </cell>
          <cell r="J321">
            <v>0.96499999999999997</v>
          </cell>
          <cell r="M321">
            <v>74.2</v>
          </cell>
          <cell r="R321">
            <v>255.5</v>
          </cell>
          <cell r="S321">
            <v>112.908</v>
          </cell>
          <cell r="V321">
            <v>77.489999999999995</v>
          </cell>
          <cell r="AA321">
            <v>404.5</v>
          </cell>
          <cell r="AB321">
            <v>143.57400000000001</v>
          </cell>
          <cell r="AE321">
            <v>17.18</v>
          </cell>
          <cell r="AJ321">
            <v>324.2</v>
          </cell>
          <cell r="AK321">
            <v>174.863</v>
          </cell>
          <cell r="AN321">
            <v>33.229999999999997</v>
          </cell>
          <cell r="AS321">
            <v>413.4</v>
          </cell>
          <cell r="AT321">
            <v>138.494</v>
          </cell>
          <cell r="AW321">
            <v>48.9</v>
          </cell>
          <cell r="BB321">
            <v>409.8</v>
          </cell>
          <cell r="BC321">
            <v>167.94300000000001</v>
          </cell>
          <cell r="BK321">
            <v>386</v>
          </cell>
          <cell r="BL321">
            <v>151.017</v>
          </cell>
          <cell r="BO321">
            <v>48.47</v>
          </cell>
          <cell r="BT321">
            <v>775.2</v>
          </cell>
          <cell r="BU321">
            <v>114.685</v>
          </cell>
          <cell r="BX321">
            <v>134.94</v>
          </cell>
          <cell r="CC321">
            <v>1338</v>
          </cell>
          <cell r="CD321">
            <v>78.165999999999997</v>
          </cell>
          <cell r="CL321">
            <v>1502.6</v>
          </cell>
          <cell r="CP321">
            <v>35</v>
          </cell>
          <cell r="CU321">
            <v>1536.5</v>
          </cell>
          <cell r="CY321">
            <v>33.630000000000003</v>
          </cell>
          <cell r="DD321">
            <v>1517.9</v>
          </cell>
          <cell r="DM321">
            <v>1279.2</v>
          </cell>
          <cell r="DV321">
            <v>1042.2</v>
          </cell>
          <cell r="DW321">
            <v>94.655000000000001</v>
          </cell>
          <cell r="DX321">
            <v>2033.354</v>
          </cell>
          <cell r="EE321">
            <v>830.1</v>
          </cell>
          <cell r="EN321">
            <v>609.70000000000005</v>
          </cell>
          <cell r="EO321">
            <v>153.61099999999999</v>
          </cell>
        </row>
        <row r="322">
          <cell r="A322">
            <v>17</v>
          </cell>
          <cell r="B322" t="str">
            <v>RM</v>
          </cell>
          <cell r="C322" t="str">
            <v>FM</v>
          </cell>
          <cell r="D322" t="str">
            <v>MINERAL OIL(SAVANOL-82)</v>
          </cell>
          <cell r="E322" t="str">
            <v>MINERAL OIL(SAVANOL-82)</v>
          </cell>
        </row>
        <row r="323">
          <cell r="A323">
            <v>237</v>
          </cell>
          <cell r="B323" t="str">
            <v>RM</v>
          </cell>
          <cell r="C323" t="str">
            <v>FM</v>
          </cell>
          <cell r="D323" t="str">
            <v>NEEM OIL</v>
          </cell>
          <cell r="E323" t="str">
            <v>NEEM OIL</v>
          </cell>
          <cell r="J323">
            <v>26.04</v>
          </cell>
          <cell r="S323">
            <v>22.088000000000001</v>
          </cell>
          <cell r="AB323">
            <v>38.118000000000002</v>
          </cell>
          <cell r="AK323">
            <v>38.118000000000002</v>
          </cell>
          <cell r="AT323">
            <v>38.118000000000002</v>
          </cell>
          <cell r="BC323">
            <v>38.118000000000002</v>
          </cell>
          <cell r="BL323">
            <v>38.118000000000002</v>
          </cell>
          <cell r="BU323">
            <v>38.118000000000002</v>
          </cell>
          <cell r="CD323">
            <v>38.118000000000002</v>
          </cell>
          <cell r="CM323">
            <v>38.118000000000002</v>
          </cell>
          <cell r="CV323">
            <v>38.118000000000002</v>
          </cell>
          <cell r="DE323">
            <v>38.118000000000002</v>
          </cell>
          <cell r="DN323">
            <v>38.118000000000002</v>
          </cell>
          <cell r="DW323">
            <v>38.118000000000002</v>
          </cell>
          <cell r="EF323">
            <v>38.118000000000002</v>
          </cell>
          <cell r="EO323">
            <v>38.118000000000002</v>
          </cell>
        </row>
        <row r="324">
          <cell r="D324" t="str">
            <v>RM TOTAL</v>
          </cell>
          <cell r="E324" t="str">
            <v>RM TOTAL</v>
          </cell>
          <cell r="F324">
            <v>205.67</v>
          </cell>
          <cell r="G324">
            <v>0</v>
          </cell>
          <cell r="H324">
            <v>184.226</v>
          </cell>
          <cell r="I324">
            <v>887.9</v>
          </cell>
          <cell r="J324">
            <v>1216.9289999999999</v>
          </cell>
          <cell r="K324">
            <v>7757.1189999999988</v>
          </cell>
          <cell r="L324">
            <v>4950.4129999999996</v>
          </cell>
          <cell r="M324">
            <v>2824.2</v>
          </cell>
          <cell r="N324">
            <v>0</v>
          </cell>
          <cell r="O324">
            <v>142.79</v>
          </cell>
          <cell r="P324">
            <v>0</v>
          </cell>
          <cell r="Q324">
            <v>184.226</v>
          </cell>
          <cell r="R324">
            <v>1024</v>
          </cell>
          <cell r="S324">
            <v>1347.4259999999999</v>
          </cell>
          <cell r="T324">
            <v>7900.1319999999996</v>
          </cell>
          <cell r="U324">
            <v>2543.81</v>
          </cell>
          <cell r="V324">
            <v>3087.4689999999996</v>
          </cell>
          <cell r="W324">
            <v>0</v>
          </cell>
          <cell r="X324">
            <v>224.67</v>
          </cell>
          <cell r="Y324">
            <v>172.27080000000001</v>
          </cell>
          <cell r="Z324">
            <v>184.226</v>
          </cell>
          <cell r="AA324">
            <v>1006.9</v>
          </cell>
          <cell r="AB324">
            <v>1424.433</v>
          </cell>
          <cell r="AC324">
            <v>7892.8860000000004</v>
          </cell>
          <cell r="AD324">
            <v>3032.1689999999999</v>
          </cell>
          <cell r="AE324">
            <v>17.18</v>
          </cell>
          <cell r="AF324">
            <v>0</v>
          </cell>
          <cell r="AG324">
            <v>319.64</v>
          </cell>
          <cell r="AH324">
            <v>342.33300000000003</v>
          </cell>
          <cell r="AI324">
            <v>184.226</v>
          </cell>
          <cell r="AJ324">
            <v>716</v>
          </cell>
          <cell r="AK324">
            <v>1277.559</v>
          </cell>
          <cell r="AL324">
            <v>4870.9719999999998</v>
          </cell>
          <cell r="AM324">
            <v>2653.3090000000002</v>
          </cell>
          <cell r="AN324">
            <v>33.229999999999997</v>
          </cell>
          <cell r="AO324">
            <v>0</v>
          </cell>
          <cell r="AP324">
            <v>270.52</v>
          </cell>
          <cell r="AQ324">
            <v>130.3074</v>
          </cell>
          <cell r="AR324">
            <v>184.226</v>
          </cell>
          <cell r="AS324">
            <v>805.1982857142857</v>
          </cell>
          <cell r="AT324">
            <v>1259.8119999999997</v>
          </cell>
          <cell r="AU324">
            <v>5535.9610000000002</v>
          </cell>
          <cell r="AV324">
            <v>7701.96</v>
          </cell>
          <cell r="AW324">
            <v>48.9</v>
          </cell>
          <cell r="AX324">
            <v>0</v>
          </cell>
          <cell r="AY324">
            <v>263.97000000000003</v>
          </cell>
          <cell r="AZ324">
            <v>46.38</v>
          </cell>
          <cell r="BA324">
            <v>184.226</v>
          </cell>
          <cell r="BB324">
            <v>829.18971428571433</v>
          </cell>
          <cell r="BC324">
            <v>1244.4309999999998</v>
          </cell>
          <cell r="BD324">
            <v>6032.357</v>
          </cell>
          <cell r="BE324">
            <v>6380.99</v>
          </cell>
          <cell r="BF324">
            <v>0</v>
          </cell>
          <cell r="BG324">
            <v>0</v>
          </cell>
          <cell r="BH324">
            <v>331.43</v>
          </cell>
          <cell r="BI324">
            <v>13.2516</v>
          </cell>
          <cell r="BJ324">
            <v>184.226</v>
          </cell>
          <cell r="BK324">
            <v>805.38971428571426</v>
          </cell>
          <cell r="BL324">
            <v>1145.461</v>
          </cell>
          <cell r="BM324">
            <v>5942.3770000000004</v>
          </cell>
          <cell r="BN324">
            <v>7637.759</v>
          </cell>
          <cell r="BO324">
            <v>48.47</v>
          </cell>
          <cell r="BP324">
            <v>0</v>
          </cell>
          <cell r="BQ324">
            <v>323.57</v>
          </cell>
          <cell r="BR324">
            <v>13.2516</v>
          </cell>
          <cell r="BS324">
            <v>184.226</v>
          </cell>
          <cell r="BT324">
            <v>1098.9394285714286</v>
          </cell>
          <cell r="BU324">
            <v>1219.8789999999999</v>
          </cell>
          <cell r="BV324">
            <v>5917.3720000000003</v>
          </cell>
          <cell r="BW324">
            <v>5310.4740000000002</v>
          </cell>
          <cell r="BX324">
            <v>134.94</v>
          </cell>
          <cell r="BY324">
            <v>0</v>
          </cell>
          <cell r="BZ324">
            <v>296.72000000000003</v>
          </cell>
          <cell r="CA324">
            <v>13.2516</v>
          </cell>
          <cell r="CB324">
            <v>184.226</v>
          </cell>
          <cell r="CC324">
            <v>1521.9428571428571</v>
          </cell>
          <cell r="CD324">
            <v>1085.73</v>
          </cell>
          <cell r="CE324">
            <v>5047.41</v>
          </cell>
          <cell r="CF324">
            <v>10688.322</v>
          </cell>
          <cell r="CG324">
            <v>750</v>
          </cell>
          <cell r="CH324">
            <v>0</v>
          </cell>
          <cell r="CI324">
            <v>359.6</v>
          </cell>
          <cell r="CJ324">
            <v>599.9</v>
          </cell>
          <cell r="CK324">
            <v>0</v>
          </cell>
          <cell r="CL324">
            <v>1865</v>
          </cell>
          <cell r="CM324">
            <v>38.118000000000002</v>
          </cell>
          <cell r="CN324">
            <v>5431.0039999999999</v>
          </cell>
          <cell r="CO324">
            <v>8432.1839999999993</v>
          </cell>
          <cell r="CP324">
            <v>35</v>
          </cell>
          <cell r="CQ324">
            <v>0</v>
          </cell>
          <cell r="CR324">
            <v>350.43</v>
          </cell>
          <cell r="CS324">
            <v>593.36</v>
          </cell>
          <cell r="CT324">
            <v>0</v>
          </cell>
          <cell r="CU324">
            <v>1536.5</v>
          </cell>
          <cell r="CV324">
            <v>38.118000000000002</v>
          </cell>
          <cell r="CW324">
            <v>6315.5560000000005</v>
          </cell>
          <cell r="CX324">
            <v>6134.7120000000004</v>
          </cell>
          <cell r="CY324">
            <v>349.65</v>
          </cell>
          <cell r="CZ324">
            <v>0</v>
          </cell>
          <cell r="DA324">
            <v>909.32999999999993</v>
          </cell>
          <cell r="DB324">
            <v>0</v>
          </cell>
          <cell r="DC324">
            <v>0</v>
          </cell>
          <cell r="DD324">
            <v>1890.4</v>
          </cell>
          <cell r="DE324">
            <v>38.118000000000002</v>
          </cell>
          <cell r="DF324">
            <v>6397.7380000000003</v>
          </cell>
          <cell r="DG324">
            <v>9688.0429999999997</v>
          </cell>
          <cell r="DH324">
            <v>0</v>
          </cell>
          <cell r="DI324">
            <v>0</v>
          </cell>
          <cell r="DJ324">
            <v>222.05</v>
          </cell>
          <cell r="DK324">
            <v>577.9</v>
          </cell>
          <cell r="DL324">
            <v>0</v>
          </cell>
          <cell r="DM324">
            <v>1417.2</v>
          </cell>
          <cell r="DN324">
            <v>38.118000000000002</v>
          </cell>
          <cell r="DO324">
            <v>5340.6639999999998</v>
          </cell>
          <cell r="DP324">
            <v>9447.6099999999988</v>
          </cell>
          <cell r="DQ324">
            <v>0</v>
          </cell>
          <cell r="DR324">
            <v>0</v>
          </cell>
          <cell r="DS324">
            <v>221.39</v>
          </cell>
          <cell r="DT324">
            <v>577.9</v>
          </cell>
          <cell r="DU324">
            <v>0</v>
          </cell>
          <cell r="DV324">
            <v>1042.2</v>
          </cell>
          <cell r="DW324">
            <v>910.50800000000004</v>
          </cell>
          <cell r="DX324">
            <v>4830.2740000000003</v>
          </cell>
          <cell r="DY324">
            <v>8930.4310000000005</v>
          </cell>
          <cell r="DZ324">
            <v>0</v>
          </cell>
          <cell r="EA324">
            <v>0</v>
          </cell>
          <cell r="EB324">
            <v>264.62</v>
          </cell>
          <cell r="EC324">
            <v>357.9</v>
          </cell>
          <cell r="ED324">
            <v>0</v>
          </cell>
          <cell r="EE324">
            <v>839.29714285714283</v>
          </cell>
          <cell r="EF324">
            <v>1548.598</v>
          </cell>
          <cell r="EG324">
            <v>4434.3980000000001</v>
          </cell>
          <cell r="EH324">
            <v>4289.0509999999995</v>
          </cell>
          <cell r="EI324">
            <v>0</v>
          </cell>
          <cell r="EJ324">
            <v>0</v>
          </cell>
          <cell r="EK324">
            <v>264.62</v>
          </cell>
          <cell r="EL324">
            <v>357.9</v>
          </cell>
          <cell r="EM324">
            <v>0</v>
          </cell>
          <cell r="EN324">
            <v>858.38000000000011</v>
          </cell>
          <cell r="EO324">
            <v>1577.922</v>
          </cell>
          <cell r="EP324">
            <v>5479.576</v>
          </cell>
          <cell r="EQ324">
            <v>1648.7660000000001</v>
          </cell>
          <cell r="ER324">
            <v>43.79</v>
          </cell>
          <cell r="ES324">
            <v>0</v>
          </cell>
        </row>
        <row r="325">
          <cell r="A325" t="str">
            <v>SPLIT FATTY ACIDS</v>
          </cell>
        </row>
        <row r="326">
          <cell r="A326">
            <v>18</v>
          </cell>
          <cell r="B326" t="str">
            <v>SRM</v>
          </cell>
          <cell r="C326" t="str">
            <v>FM</v>
          </cell>
          <cell r="D326" t="str">
            <v>SCPKO</v>
          </cell>
          <cell r="E326" t="str">
            <v>SCPKO</v>
          </cell>
          <cell r="G326">
            <v>584.46</v>
          </cell>
          <cell r="I326">
            <v>260.3</v>
          </cell>
          <cell r="K326">
            <v>391.70799999999997</v>
          </cell>
          <cell r="M326">
            <v>395.21</v>
          </cell>
          <cell r="R326">
            <v>164.4</v>
          </cell>
          <cell r="T326">
            <v>403.73900000000003</v>
          </cell>
          <cell r="V326">
            <v>843.53</v>
          </cell>
          <cell r="Y326">
            <v>370.26</v>
          </cell>
          <cell r="AA326">
            <v>82.2</v>
          </cell>
          <cell r="AC326">
            <v>860.62200000000007</v>
          </cell>
          <cell r="AE326">
            <v>603.62</v>
          </cell>
          <cell r="AH326">
            <v>425.34</v>
          </cell>
          <cell r="AJ326">
            <v>433.9</v>
          </cell>
          <cell r="AL326">
            <v>1520.4939999999999</v>
          </cell>
          <cell r="AN326">
            <v>1423.3200000000002</v>
          </cell>
          <cell r="AP326">
            <v>260.77499999999998</v>
          </cell>
          <cell r="AQ326">
            <v>376.38</v>
          </cell>
          <cell r="AS326">
            <v>489.63600000000008</v>
          </cell>
          <cell r="AU326">
            <v>1165.508</v>
          </cell>
          <cell r="AW326">
            <v>1055.68</v>
          </cell>
          <cell r="AY326">
            <v>260.77499999999998</v>
          </cell>
          <cell r="AZ326">
            <v>517.14</v>
          </cell>
          <cell r="BB326">
            <v>487.80899999999991</v>
          </cell>
          <cell r="BD326">
            <v>1262.5609999999999</v>
          </cell>
          <cell r="BF326">
            <v>917.55</v>
          </cell>
          <cell r="BH326">
            <v>260.77499999999998</v>
          </cell>
          <cell r="BI326">
            <v>434.52</v>
          </cell>
          <cell r="BK326">
            <v>164.43</v>
          </cell>
          <cell r="BM326">
            <v>692.15200000000004</v>
          </cell>
          <cell r="BO326">
            <v>848.89</v>
          </cell>
          <cell r="BR326">
            <v>370.26</v>
          </cell>
          <cell r="BT326">
            <v>173.565</v>
          </cell>
          <cell r="BV326">
            <v>446.11699999999996</v>
          </cell>
          <cell r="BX326">
            <v>841.8900000000001</v>
          </cell>
          <cell r="CA326">
            <v>48.96</v>
          </cell>
          <cell r="CC326">
            <v>60.291000000000011</v>
          </cell>
          <cell r="CE326">
            <v>364.60300000000001</v>
          </cell>
          <cell r="CG326">
            <v>1197</v>
          </cell>
          <cell r="CI326">
            <v>322.8</v>
          </cell>
          <cell r="CJ326">
            <v>651.78</v>
          </cell>
          <cell r="CL326">
            <v>189.1</v>
          </cell>
          <cell r="CN326">
            <v>534.00700000000006</v>
          </cell>
          <cell r="CP326">
            <v>18</v>
          </cell>
          <cell r="CR326">
            <v>410.4</v>
          </cell>
          <cell r="CS326">
            <v>572.22</v>
          </cell>
          <cell r="CU326">
            <v>195.5</v>
          </cell>
          <cell r="CW326">
            <v>386.40499999999997</v>
          </cell>
          <cell r="CY326">
            <v>901.91000000000008</v>
          </cell>
          <cell r="DA326">
            <v>805.2</v>
          </cell>
          <cell r="DD326">
            <v>566.4</v>
          </cell>
          <cell r="DF326">
            <v>257.71299999999997</v>
          </cell>
          <cell r="DH326">
            <v>170</v>
          </cell>
          <cell r="DK326">
            <v>6.12</v>
          </cell>
          <cell r="DM326">
            <v>96.8</v>
          </cell>
          <cell r="DO326">
            <v>824.07100000000003</v>
          </cell>
          <cell r="DQ326">
            <v>1513</v>
          </cell>
          <cell r="DT326">
            <v>474.3</v>
          </cell>
          <cell r="DV326">
            <v>241.16399999999999</v>
          </cell>
          <cell r="DX326">
            <v>383.83899999999994</v>
          </cell>
          <cell r="DZ326">
            <v>1248</v>
          </cell>
          <cell r="EC326">
            <v>1142.82</v>
          </cell>
          <cell r="EE326">
            <v>85.868999999999986</v>
          </cell>
          <cell r="EG326">
            <v>376.18</v>
          </cell>
          <cell r="EL326">
            <v>792.15</v>
          </cell>
          <cell r="EN326">
            <v>345.303</v>
          </cell>
          <cell r="EP326">
            <v>341.04200000000003</v>
          </cell>
          <cell r="ER326">
            <v>661.44</v>
          </cell>
        </row>
        <row r="327">
          <cell r="A327">
            <v>19</v>
          </cell>
          <cell r="B327" t="str">
            <v>SRM</v>
          </cell>
          <cell r="C327" t="str">
            <v>FM</v>
          </cell>
          <cell r="D327" t="str">
            <v>SCNO</v>
          </cell>
          <cell r="E327" t="str">
            <v>SCNO</v>
          </cell>
        </row>
        <row r="328">
          <cell r="A328">
            <v>20</v>
          </cell>
          <cell r="B328" t="str">
            <v>SRM</v>
          </cell>
          <cell r="C328" t="str">
            <v>FM</v>
          </cell>
          <cell r="D328" t="str">
            <v>SCPKO-HLL</v>
          </cell>
          <cell r="E328" t="str">
            <v>SCPKO-HLL</v>
          </cell>
        </row>
        <row r="329">
          <cell r="A329">
            <v>21</v>
          </cell>
          <cell r="B329" t="str">
            <v>SRM</v>
          </cell>
          <cell r="C329" t="str">
            <v>FM</v>
          </cell>
          <cell r="D329" t="str">
            <v>SPKFAD</v>
          </cell>
          <cell r="E329" t="str">
            <v>SPKFAD</v>
          </cell>
          <cell r="K329">
            <v>117.163</v>
          </cell>
          <cell r="T329">
            <v>13.177</v>
          </cell>
          <cell r="AC329">
            <v>13.177</v>
          </cell>
          <cell r="AL329">
            <v>13.177</v>
          </cell>
          <cell r="AU329">
            <v>209.65</v>
          </cell>
          <cell r="BD329">
            <v>209.65</v>
          </cell>
          <cell r="BM329">
            <v>209.65</v>
          </cell>
          <cell r="BV329">
            <v>209.65</v>
          </cell>
          <cell r="CE329">
            <v>209.65</v>
          </cell>
          <cell r="CN329">
            <v>209.65</v>
          </cell>
          <cell r="CW329">
            <v>209.65</v>
          </cell>
          <cell r="DF329">
            <v>209.65</v>
          </cell>
          <cell r="DO329">
            <v>209.65</v>
          </cell>
          <cell r="DQ329">
            <v>593.39</v>
          </cell>
          <cell r="DX329">
            <v>209.65</v>
          </cell>
          <cell r="EG329">
            <v>209.65</v>
          </cell>
          <cell r="EP329">
            <v>209.65</v>
          </cell>
        </row>
        <row r="330">
          <cell r="A330">
            <v>22</v>
          </cell>
          <cell r="B330" t="str">
            <v>SRM</v>
          </cell>
          <cell r="C330" t="str">
            <v>FM</v>
          </cell>
          <cell r="D330" t="str">
            <v>SCPS</v>
          </cell>
          <cell r="E330" t="str">
            <v>SCPS</v>
          </cell>
        </row>
        <row r="331">
          <cell r="A331">
            <v>23</v>
          </cell>
          <cell r="B331" t="str">
            <v>SRM</v>
          </cell>
          <cell r="C331" t="str">
            <v>FM</v>
          </cell>
          <cell r="D331" t="str">
            <v>SRBDPS</v>
          </cell>
          <cell r="E331" t="str">
            <v>SRBDPS</v>
          </cell>
          <cell r="G331">
            <v>491.59800000000007</v>
          </cell>
          <cell r="K331">
            <v>60.232999999999997</v>
          </cell>
          <cell r="P331">
            <v>364.73399999999998</v>
          </cell>
          <cell r="T331">
            <v>11.805999999999999</v>
          </cell>
          <cell r="Y331">
            <v>119.72790000000001</v>
          </cell>
          <cell r="AC331">
            <v>11.805999999999999</v>
          </cell>
          <cell r="AL331">
            <v>11.805999999999999</v>
          </cell>
          <cell r="AU331">
            <v>11.805999999999999</v>
          </cell>
          <cell r="BD331">
            <v>11.805999999999999</v>
          </cell>
          <cell r="BM331">
            <v>11.805999999999999</v>
          </cell>
          <cell r="BR331">
            <v>98.319600000000008</v>
          </cell>
          <cell r="BV331">
            <v>49.21</v>
          </cell>
          <cell r="BX331">
            <v>353.71</v>
          </cell>
          <cell r="CA331">
            <v>250.55640000000002</v>
          </cell>
          <cell r="CE331">
            <v>49.21</v>
          </cell>
          <cell r="CJ331">
            <v>236.38</v>
          </cell>
          <cell r="CN331">
            <v>49.21</v>
          </cell>
          <cell r="CS331">
            <v>181.57</v>
          </cell>
          <cell r="CU331">
            <v>372.5</v>
          </cell>
          <cell r="CW331">
            <v>49.21</v>
          </cell>
          <cell r="DA331">
            <v>11.1</v>
          </cell>
          <cell r="DF331">
            <v>49.21</v>
          </cell>
          <cell r="DK331">
            <v>31.72</v>
          </cell>
          <cell r="DO331">
            <v>28.806999999999999</v>
          </cell>
          <cell r="DQ331">
            <v>593.39</v>
          </cell>
          <cell r="DT331">
            <v>356.80500000000001</v>
          </cell>
          <cell r="DV331">
            <v>9.1971428571428575</v>
          </cell>
          <cell r="DX331">
            <v>28.806999999999999</v>
          </cell>
          <cell r="EC331">
            <v>201.39660000000001</v>
          </cell>
          <cell r="EG331">
            <v>28.806999999999999</v>
          </cell>
          <cell r="EL331">
            <v>201.39660000000001</v>
          </cell>
          <cell r="EP331">
            <v>28.806999999999999</v>
          </cell>
        </row>
        <row r="332">
          <cell r="A332">
            <v>24</v>
          </cell>
          <cell r="B332" t="str">
            <v>SRM</v>
          </cell>
          <cell r="C332" t="str">
            <v>FM</v>
          </cell>
          <cell r="D332" t="str">
            <v>SCPO</v>
          </cell>
          <cell r="E332" t="str">
            <v>SCPO</v>
          </cell>
        </row>
        <row r="333">
          <cell r="A333">
            <v>25</v>
          </cell>
          <cell r="B333" t="str">
            <v>SRM</v>
          </cell>
          <cell r="C333" t="str">
            <v>FM</v>
          </cell>
          <cell r="D333" t="str">
            <v>SPFAD</v>
          </cell>
          <cell r="E333" t="str">
            <v>SPFAD</v>
          </cell>
          <cell r="G333">
            <v>31.716000000000005</v>
          </cell>
          <cell r="H333">
            <v>4.42</v>
          </cell>
          <cell r="K333">
            <v>410.24</v>
          </cell>
          <cell r="M333">
            <v>155</v>
          </cell>
          <cell r="Q333">
            <v>4.42</v>
          </cell>
          <cell r="T333">
            <v>792.71899999999994</v>
          </cell>
          <cell r="Y333">
            <v>82.461600000000004</v>
          </cell>
          <cell r="Z333">
            <v>4.42</v>
          </cell>
          <cell r="AC333">
            <v>463.959</v>
          </cell>
          <cell r="AG333">
            <v>14</v>
          </cell>
          <cell r="AH333">
            <v>114.17760000000001</v>
          </cell>
          <cell r="AI333">
            <v>4.42</v>
          </cell>
          <cell r="AL333">
            <v>431.03899999999999</v>
          </cell>
          <cell r="AN333">
            <v>32.78</v>
          </cell>
          <cell r="AQ333">
            <v>14.272200000000002</v>
          </cell>
          <cell r="AR333">
            <v>4.42</v>
          </cell>
          <cell r="AU333">
            <v>721.327</v>
          </cell>
          <cell r="AW333">
            <v>619.73</v>
          </cell>
          <cell r="AZ333">
            <v>85.63</v>
          </cell>
          <cell r="BA333">
            <v>4.42</v>
          </cell>
          <cell r="BD333">
            <v>654.36699999999996</v>
          </cell>
          <cell r="BF333">
            <v>675.99</v>
          </cell>
          <cell r="BI333">
            <v>42.816600000000008</v>
          </cell>
          <cell r="BJ333">
            <v>4.42</v>
          </cell>
          <cell r="BK333">
            <v>76.733999999999995</v>
          </cell>
          <cell r="BM333">
            <v>830.86199999999997</v>
          </cell>
          <cell r="BO333">
            <v>868.16</v>
          </cell>
          <cell r="BQ333">
            <v>7</v>
          </cell>
          <cell r="BR333">
            <v>340.947</v>
          </cell>
          <cell r="BS333">
            <v>4.42</v>
          </cell>
          <cell r="BT333">
            <v>64.38</v>
          </cell>
          <cell r="BU333">
            <v>36.920999999999999</v>
          </cell>
          <cell r="BV333">
            <v>434.99400000000003</v>
          </cell>
          <cell r="BX333">
            <v>417.18</v>
          </cell>
          <cell r="BZ333">
            <v>71.760000000000005</v>
          </cell>
          <cell r="CA333">
            <v>172.85220000000001</v>
          </cell>
          <cell r="CB333">
            <v>4.42</v>
          </cell>
          <cell r="CC333">
            <v>152.67257142857144</v>
          </cell>
          <cell r="CE333">
            <v>443.64200000000005</v>
          </cell>
          <cell r="CG333">
            <v>1227</v>
          </cell>
          <cell r="CJ333">
            <v>496.99</v>
          </cell>
          <cell r="CK333">
            <v>4.42</v>
          </cell>
          <cell r="CL333">
            <v>75.400000000000006</v>
          </cell>
          <cell r="CM333">
            <v>125.05200000000001</v>
          </cell>
          <cell r="CN333">
            <v>396.73700000000002</v>
          </cell>
          <cell r="CP333">
            <v>70</v>
          </cell>
          <cell r="CS333">
            <v>268.97000000000003</v>
          </cell>
          <cell r="CT333">
            <v>4.42</v>
          </cell>
          <cell r="CU333">
            <v>186.7</v>
          </cell>
          <cell r="CV333">
            <v>15.708</v>
          </cell>
          <cell r="CW333">
            <v>456.76799999999997</v>
          </cell>
          <cell r="CY333">
            <v>146.49</v>
          </cell>
          <cell r="DA333">
            <v>149.07</v>
          </cell>
          <cell r="DC333">
            <v>4.42</v>
          </cell>
          <cell r="DD333">
            <v>88.3</v>
          </cell>
          <cell r="DE333">
            <v>81.396000000000001</v>
          </cell>
          <cell r="DF333">
            <v>704.03</v>
          </cell>
          <cell r="DK333">
            <v>307.64999999999998</v>
          </cell>
          <cell r="DL333">
            <v>4.42</v>
          </cell>
          <cell r="DM333">
            <v>460.8</v>
          </cell>
          <cell r="DN333">
            <v>65.075999999999993</v>
          </cell>
          <cell r="DO333">
            <v>782.75099999999998</v>
          </cell>
          <cell r="DQ333">
            <v>626</v>
          </cell>
          <cell r="DT333">
            <v>4.7574000000000005</v>
          </cell>
          <cell r="DU333">
            <v>4.42</v>
          </cell>
          <cell r="DV333">
            <v>229.92857142857142</v>
          </cell>
          <cell r="DW333">
            <v>23.664000000000001</v>
          </cell>
          <cell r="DX333">
            <v>612.65</v>
          </cell>
          <cell r="DZ333">
            <v>371.98</v>
          </cell>
          <cell r="ED333">
            <v>4.42</v>
          </cell>
          <cell r="EF333">
            <v>71.400000000000006</v>
          </cell>
          <cell r="EG333">
            <v>255.446</v>
          </cell>
          <cell r="EK333">
            <v>163.30500000000001</v>
          </cell>
          <cell r="EL333">
            <v>18.75</v>
          </cell>
          <cell r="EM333">
            <v>4.42</v>
          </cell>
          <cell r="EP333">
            <v>524.18499999999995</v>
          </cell>
          <cell r="ER333">
            <v>832.73</v>
          </cell>
        </row>
        <row r="334">
          <cell r="A334">
            <v>26</v>
          </cell>
          <cell r="B334" t="str">
            <v>SRM</v>
          </cell>
          <cell r="C334" t="str">
            <v>FM</v>
          </cell>
          <cell r="D334" t="str">
            <v>SCPS-HLL</v>
          </cell>
          <cell r="E334" t="str">
            <v>SCPS-HLL</v>
          </cell>
        </row>
        <row r="335">
          <cell r="A335">
            <v>27</v>
          </cell>
          <cell r="B335" t="str">
            <v>SRM</v>
          </cell>
          <cell r="C335" t="str">
            <v>FM</v>
          </cell>
          <cell r="D335" t="str">
            <v>SMUSTARD OIL</v>
          </cell>
          <cell r="E335" t="str">
            <v>SMUSTARD OIL</v>
          </cell>
          <cell r="I335">
            <v>1.8</v>
          </cell>
          <cell r="M335">
            <v>350.09</v>
          </cell>
          <cell r="R335">
            <v>487.8</v>
          </cell>
          <cell r="AA335">
            <v>45.7</v>
          </cell>
          <cell r="CL335">
            <v>567.29999999999995</v>
          </cell>
          <cell r="CN335">
            <v>226.34200000000001</v>
          </cell>
          <cell r="CU335">
            <v>247.2</v>
          </cell>
          <cell r="CW335">
            <v>204.52699999999999</v>
          </cell>
          <cell r="CY335">
            <v>137.01</v>
          </cell>
          <cell r="DD335">
            <v>339.32</v>
          </cell>
          <cell r="DF335">
            <v>181.60900000000001</v>
          </cell>
          <cell r="DH335">
            <v>60</v>
          </cell>
          <cell r="DM335">
            <v>216.5</v>
          </cell>
          <cell r="DO335">
            <v>54.838999999999999</v>
          </cell>
        </row>
        <row r="336">
          <cell r="A336">
            <v>28</v>
          </cell>
          <cell r="B336" t="str">
            <v>SRM</v>
          </cell>
          <cell r="C336" t="str">
            <v>FM</v>
          </cell>
          <cell r="D336" t="str">
            <v>SMUSTARD OIL-EXPELLER</v>
          </cell>
          <cell r="E336" t="str">
            <v>SMUSTARD OIL-EXPELLER</v>
          </cell>
          <cell r="H336">
            <v>40.11</v>
          </cell>
          <cell r="K336">
            <v>193.61</v>
          </cell>
          <cell r="Q336">
            <v>40.11</v>
          </cell>
          <cell r="T336">
            <v>361.625</v>
          </cell>
          <cell r="V336">
            <v>173.28</v>
          </cell>
          <cell r="Z336">
            <v>40.11</v>
          </cell>
          <cell r="AC336">
            <v>207.45399999999998</v>
          </cell>
          <cell r="AE336">
            <v>301.95999999999998</v>
          </cell>
          <cell r="AI336">
            <v>40.11</v>
          </cell>
          <cell r="AJ336">
            <v>138.9</v>
          </cell>
          <cell r="AL336">
            <v>51.624000000000002</v>
          </cell>
          <cell r="AN336">
            <v>45.12</v>
          </cell>
          <cell r="AR336">
            <v>40.11</v>
          </cell>
          <cell r="AU336">
            <v>51.624000000000002</v>
          </cell>
          <cell r="BA336">
            <v>40.11</v>
          </cell>
          <cell r="BD336">
            <v>51.624000000000002</v>
          </cell>
          <cell r="BJ336">
            <v>40.11</v>
          </cell>
          <cell r="BM336">
            <v>348.00300000000004</v>
          </cell>
          <cell r="BS336">
            <v>40.11</v>
          </cell>
          <cell r="BT336">
            <v>432.99899999999997</v>
          </cell>
          <cell r="BV336">
            <v>684.447</v>
          </cell>
          <cell r="BX336">
            <v>192.76</v>
          </cell>
          <cell r="CB336">
            <v>40.11</v>
          </cell>
          <cell r="CC336">
            <v>358.09200000000004</v>
          </cell>
          <cell r="CE336">
            <v>54.006999999999998</v>
          </cell>
          <cell r="DV336">
            <v>14.615999999999948</v>
          </cell>
          <cell r="DX336">
            <v>208.19400000000002</v>
          </cell>
          <cell r="DZ336">
            <v>111.04</v>
          </cell>
          <cell r="EE336">
            <v>590.12099999999998</v>
          </cell>
          <cell r="EG336">
            <v>626.49099999999999</v>
          </cell>
          <cell r="EN336">
            <v>590.12099999999998</v>
          </cell>
          <cell r="EP336">
            <v>626.49099999999999</v>
          </cell>
        </row>
        <row r="337">
          <cell r="D337" t="str">
            <v>SRM TOTAL</v>
          </cell>
          <cell r="E337" t="str">
            <v>SRM TOTAL</v>
          </cell>
          <cell r="F337">
            <v>0</v>
          </cell>
          <cell r="G337">
            <v>1107.7739999999999</v>
          </cell>
          <cell r="H337">
            <v>44.53</v>
          </cell>
          <cell r="I337">
            <v>262.10000000000002</v>
          </cell>
          <cell r="J337">
            <v>0</v>
          </cell>
          <cell r="K337">
            <v>1172.954</v>
          </cell>
          <cell r="L337">
            <v>0</v>
          </cell>
          <cell r="M337">
            <v>900.3</v>
          </cell>
          <cell r="N337">
            <v>0</v>
          </cell>
          <cell r="O337">
            <v>0</v>
          </cell>
          <cell r="P337">
            <v>364.73399999999998</v>
          </cell>
          <cell r="Q337">
            <v>44.53</v>
          </cell>
          <cell r="R337">
            <v>652.20000000000005</v>
          </cell>
          <cell r="S337">
            <v>0</v>
          </cell>
          <cell r="T337">
            <v>1583.066</v>
          </cell>
          <cell r="U337">
            <v>0</v>
          </cell>
          <cell r="V337">
            <v>1016.81</v>
          </cell>
          <cell r="W337">
            <v>0</v>
          </cell>
          <cell r="X337">
            <v>0</v>
          </cell>
          <cell r="Y337">
            <v>572.44949999999994</v>
          </cell>
          <cell r="Z337">
            <v>44.53</v>
          </cell>
          <cell r="AA337">
            <v>127.9</v>
          </cell>
          <cell r="AB337">
            <v>0</v>
          </cell>
          <cell r="AC337">
            <v>1557.018</v>
          </cell>
          <cell r="AD337">
            <v>0</v>
          </cell>
          <cell r="AE337">
            <v>905.57999999999993</v>
          </cell>
          <cell r="AF337">
            <v>0</v>
          </cell>
          <cell r="AG337">
            <v>14</v>
          </cell>
          <cell r="AH337">
            <v>539.51760000000002</v>
          </cell>
          <cell r="AI337">
            <v>44.53</v>
          </cell>
          <cell r="AJ337">
            <v>572.79999999999995</v>
          </cell>
          <cell r="AK337">
            <v>0</v>
          </cell>
          <cell r="AL337">
            <v>2028.1399999999999</v>
          </cell>
          <cell r="AM337">
            <v>0</v>
          </cell>
          <cell r="AN337">
            <v>1501.22</v>
          </cell>
          <cell r="AO337">
            <v>0</v>
          </cell>
          <cell r="AP337">
            <v>260.77499999999998</v>
          </cell>
          <cell r="AQ337">
            <v>390.65219999999999</v>
          </cell>
          <cell r="AR337">
            <v>44.53</v>
          </cell>
          <cell r="AS337">
            <v>489.63600000000008</v>
          </cell>
          <cell r="AT337">
            <v>0</v>
          </cell>
          <cell r="AU337">
            <v>2159.915</v>
          </cell>
          <cell r="AV337">
            <v>0</v>
          </cell>
          <cell r="AW337">
            <v>1675.41</v>
          </cell>
          <cell r="AX337">
            <v>0</v>
          </cell>
          <cell r="AY337">
            <v>260.77499999999998</v>
          </cell>
          <cell r="AZ337">
            <v>602.77</v>
          </cell>
          <cell r="BA337">
            <v>44.53</v>
          </cell>
          <cell r="BB337">
            <v>487.80899999999991</v>
          </cell>
          <cell r="BC337">
            <v>0</v>
          </cell>
          <cell r="BD337">
            <v>2190.0079999999998</v>
          </cell>
          <cell r="BE337">
            <v>0</v>
          </cell>
          <cell r="BF337">
            <v>1593.54</v>
          </cell>
          <cell r="BG337">
            <v>0</v>
          </cell>
          <cell r="BH337">
            <v>260.77499999999998</v>
          </cell>
          <cell r="BI337">
            <v>477.33659999999998</v>
          </cell>
          <cell r="BJ337">
            <v>44.53</v>
          </cell>
          <cell r="BK337">
            <v>241.16399999999999</v>
          </cell>
          <cell r="BL337">
            <v>0</v>
          </cell>
          <cell r="BM337">
            <v>2092.473</v>
          </cell>
          <cell r="BN337">
            <v>0</v>
          </cell>
          <cell r="BO337">
            <v>1717.05</v>
          </cell>
          <cell r="BP337">
            <v>0</v>
          </cell>
          <cell r="BQ337">
            <v>7</v>
          </cell>
          <cell r="BR337">
            <v>809.52660000000003</v>
          </cell>
          <cell r="BS337">
            <v>44.53</v>
          </cell>
          <cell r="BT337">
            <v>670.94399999999996</v>
          </cell>
          <cell r="BU337">
            <v>36.920999999999999</v>
          </cell>
          <cell r="BV337">
            <v>1824.4180000000001</v>
          </cell>
          <cell r="BW337">
            <v>0</v>
          </cell>
          <cell r="BX337">
            <v>1805.5400000000002</v>
          </cell>
          <cell r="BY337">
            <v>0</v>
          </cell>
          <cell r="BZ337">
            <v>71.760000000000005</v>
          </cell>
          <cell r="CA337">
            <v>472.36860000000001</v>
          </cell>
          <cell r="CB337">
            <v>44.53</v>
          </cell>
          <cell r="CC337">
            <v>571.05557142857151</v>
          </cell>
          <cell r="CD337">
            <v>0</v>
          </cell>
          <cell r="CE337">
            <v>1121.1120000000001</v>
          </cell>
          <cell r="CF337">
            <v>0</v>
          </cell>
          <cell r="CG337">
            <v>2424</v>
          </cell>
          <cell r="CH337">
            <v>0</v>
          </cell>
          <cell r="CI337">
            <v>322.8</v>
          </cell>
          <cell r="CJ337">
            <v>1385.15</v>
          </cell>
          <cell r="CK337">
            <v>4.42</v>
          </cell>
          <cell r="CL337">
            <v>831.8</v>
          </cell>
          <cell r="CM337">
            <v>125.05200000000001</v>
          </cell>
          <cell r="CN337">
            <v>1415.9460000000001</v>
          </cell>
          <cell r="CO337">
            <v>0</v>
          </cell>
          <cell r="CP337">
            <v>88</v>
          </cell>
          <cell r="CQ337">
            <v>0</v>
          </cell>
          <cell r="CR337">
            <v>410.4</v>
          </cell>
          <cell r="CS337">
            <v>1022.76</v>
          </cell>
          <cell r="CT337">
            <v>4.42</v>
          </cell>
          <cell r="CU337">
            <v>1001.9000000000001</v>
          </cell>
          <cell r="CV337">
            <v>15.708</v>
          </cell>
          <cell r="CW337">
            <v>1306.56</v>
          </cell>
          <cell r="CX337">
            <v>0</v>
          </cell>
          <cell r="CY337">
            <v>1185.4100000000001</v>
          </cell>
          <cell r="CZ337">
            <v>0</v>
          </cell>
          <cell r="DA337">
            <v>965.37000000000012</v>
          </cell>
          <cell r="DB337">
            <v>0</v>
          </cell>
          <cell r="DC337">
            <v>4.42</v>
          </cell>
          <cell r="DD337">
            <v>994.02</v>
          </cell>
          <cell r="DE337">
            <v>81.396000000000001</v>
          </cell>
          <cell r="DF337">
            <v>1402.212</v>
          </cell>
          <cell r="DG337">
            <v>0</v>
          </cell>
          <cell r="DH337">
            <v>230</v>
          </cell>
          <cell r="DI337">
            <v>0</v>
          </cell>
          <cell r="DJ337">
            <v>0</v>
          </cell>
          <cell r="DK337">
            <v>345.48999999999995</v>
          </cell>
          <cell r="DL337">
            <v>4.42</v>
          </cell>
          <cell r="DM337">
            <v>774.1</v>
          </cell>
          <cell r="DN337">
            <v>65.075999999999993</v>
          </cell>
          <cell r="DO337">
            <v>1900.1179999999999</v>
          </cell>
          <cell r="DP337">
            <v>0</v>
          </cell>
          <cell r="DQ337">
            <v>3325.7799999999997</v>
          </cell>
          <cell r="DR337">
            <v>0</v>
          </cell>
          <cell r="DS337">
            <v>0</v>
          </cell>
          <cell r="DT337">
            <v>835.86239999999998</v>
          </cell>
          <cell r="DU337">
            <v>4.42</v>
          </cell>
          <cell r="DV337">
            <v>494.90571428571417</v>
          </cell>
          <cell r="DW337">
            <v>23.664000000000001</v>
          </cell>
          <cell r="DX337">
            <v>1443.1399999999999</v>
          </cell>
          <cell r="DY337">
            <v>0</v>
          </cell>
          <cell r="DZ337">
            <v>1731.02</v>
          </cell>
          <cell r="EA337">
            <v>0</v>
          </cell>
          <cell r="EB337">
            <v>0</v>
          </cell>
          <cell r="EC337">
            <v>1344.2166</v>
          </cell>
          <cell r="ED337">
            <v>4.42</v>
          </cell>
          <cell r="EE337">
            <v>675.99</v>
          </cell>
          <cell r="EF337">
            <v>71.400000000000006</v>
          </cell>
          <cell r="EG337">
            <v>1496.5740000000001</v>
          </cell>
          <cell r="EH337">
            <v>0</v>
          </cell>
          <cell r="EI337">
            <v>0</v>
          </cell>
          <cell r="EJ337">
            <v>0</v>
          </cell>
          <cell r="EK337">
            <v>163.30500000000001</v>
          </cell>
          <cell r="EL337">
            <v>1012.2966</v>
          </cell>
          <cell r="EM337">
            <v>4.42</v>
          </cell>
          <cell r="EN337">
            <v>935.42399999999998</v>
          </cell>
          <cell r="EO337">
            <v>0</v>
          </cell>
          <cell r="EP337">
            <v>1730.175</v>
          </cell>
          <cell r="EQ337">
            <v>0</v>
          </cell>
          <cell r="ER337">
            <v>1494.17</v>
          </cell>
          <cell r="ES337">
            <v>0</v>
          </cell>
        </row>
        <row r="338">
          <cell r="A338" t="str">
            <v>IN-PROCESS FATTY ACIDS</v>
          </cell>
        </row>
        <row r="339">
          <cell r="A339">
            <v>29</v>
          </cell>
          <cell r="B339" t="str">
            <v>IPRM</v>
          </cell>
          <cell r="C339" t="str">
            <v>FM</v>
          </cell>
          <cell r="D339" t="str">
            <v>B/PSCPKO&gt;C14</v>
          </cell>
          <cell r="E339" t="str">
            <v xml:space="preserve">B/P PKO </v>
          </cell>
          <cell r="F339">
            <v>71.28</v>
          </cell>
          <cell r="G339">
            <v>1010.04</v>
          </cell>
          <cell r="I339">
            <v>138</v>
          </cell>
          <cell r="M339">
            <v>30.69</v>
          </cell>
          <cell r="P339">
            <v>447.43</v>
          </cell>
          <cell r="R339">
            <v>328.8</v>
          </cell>
          <cell r="Y339">
            <v>248.08</v>
          </cell>
          <cell r="AA339">
            <v>389.2</v>
          </cell>
          <cell r="AE339">
            <v>30.33</v>
          </cell>
          <cell r="AG339">
            <v>82.367999999999995</v>
          </cell>
          <cell r="AH339">
            <v>292.38</v>
          </cell>
          <cell r="AJ339">
            <v>614.6</v>
          </cell>
          <cell r="AP339">
            <v>12.48</v>
          </cell>
          <cell r="AQ339">
            <v>141.76</v>
          </cell>
          <cell r="AS339">
            <v>195.9</v>
          </cell>
          <cell r="AZ339">
            <v>8.86</v>
          </cell>
          <cell r="BB339">
            <v>235.44685714285714</v>
          </cell>
          <cell r="BH339">
            <v>130.185</v>
          </cell>
          <cell r="BI339">
            <v>15.505000000000001</v>
          </cell>
          <cell r="BK339">
            <v>73.57714285714286</v>
          </cell>
          <cell r="BQ339">
            <v>1.98</v>
          </cell>
          <cell r="BR339">
            <v>17.72</v>
          </cell>
          <cell r="BT339">
            <v>112.20514285714287</v>
          </cell>
          <cell r="BX339">
            <v>15.34</v>
          </cell>
          <cell r="BZ339">
            <v>71.819999999999993</v>
          </cell>
          <cell r="CC339">
            <v>70.818000000000026</v>
          </cell>
          <cell r="CI339">
            <v>57.29</v>
          </cell>
          <cell r="CL339">
            <v>14.6</v>
          </cell>
          <cell r="CR339">
            <v>188.1</v>
          </cell>
          <cell r="CU339">
            <v>48.7</v>
          </cell>
          <cell r="DA339">
            <v>123.68</v>
          </cell>
          <cell r="DD339">
            <v>117.7</v>
          </cell>
          <cell r="DJ339">
            <v>89.23</v>
          </cell>
          <cell r="DK339">
            <v>351.17</v>
          </cell>
          <cell r="DM339">
            <v>154.5</v>
          </cell>
          <cell r="DS339">
            <v>29.327999999999999</v>
          </cell>
          <cell r="DT339">
            <v>347.85449999999997</v>
          </cell>
          <cell r="DV339">
            <v>39.970285714285723</v>
          </cell>
          <cell r="DZ339">
            <v>105.43</v>
          </cell>
          <cell r="EC339">
            <v>673.62300000000005</v>
          </cell>
          <cell r="EE339">
            <v>184.86257142857141</v>
          </cell>
          <cell r="EK339">
            <v>200.4</v>
          </cell>
          <cell r="EL339">
            <v>340.12440000000004</v>
          </cell>
          <cell r="EN339">
            <v>134.06700000000001</v>
          </cell>
        </row>
        <row r="340">
          <cell r="A340">
            <v>30</v>
          </cell>
          <cell r="B340" t="str">
            <v>IPRM</v>
          </cell>
          <cell r="C340" t="str">
            <v>FM</v>
          </cell>
          <cell r="D340" t="str">
            <v>B/P CNO&gt;C14</v>
          </cell>
          <cell r="E340" t="str">
            <v>B/P CNO&gt;C14</v>
          </cell>
        </row>
        <row r="341">
          <cell r="A341">
            <v>31</v>
          </cell>
          <cell r="B341" t="str">
            <v>IPRM</v>
          </cell>
          <cell r="C341" t="str">
            <v>FM</v>
          </cell>
          <cell r="D341" t="str">
            <v>SB/PSCPKO&gt;C14</v>
          </cell>
          <cell r="E341" t="str">
            <v>S B/P PKO</v>
          </cell>
        </row>
        <row r="342">
          <cell r="A342">
            <v>32</v>
          </cell>
          <cell r="B342" t="str">
            <v>IPRM</v>
          </cell>
          <cell r="C342" t="str">
            <v>FM</v>
          </cell>
          <cell r="D342" t="str">
            <v>B/PSCNO&gt;C14</v>
          </cell>
          <cell r="E342" t="str">
            <v>S B/P CNO</v>
          </cell>
        </row>
        <row r="343">
          <cell r="A343">
            <v>33</v>
          </cell>
          <cell r="B343" t="str">
            <v>IPRM</v>
          </cell>
          <cell r="C343" t="str">
            <v>SM</v>
          </cell>
          <cell r="D343" t="str">
            <v>B/PSCPKO&gt;C16</v>
          </cell>
          <cell r="E343" t="str">
            <v>B/P&gt;C16 - OLEIC K</v>
          </cell>
          <cell r="F343">
            <v>20.233880000000003</v>
          </cell>
        </row>
        <row r="344">
          <cell r="A344">
            <v>34</v>
          </cell>
          <cell r="B344" t="str">
            <v>IPRM</v>
          </cell>
          <cell r="C344" t="str">
            <v>SM</v>
          </cell>
          <cell r="D344" t="str">
            <v>HYD C16/C18 FOR DTP-7</v>
          </cell>
          <cell r="E344" t="str">
            <v>HYD C16/C18 FOR DTP-7</v>
          </cell>
        </row>
        <row r="345">
          <cell r="A345">
            <v>35</v>
          </cell>
          <cell r="B345" t="str">
            <v>IPRM</v>
          </cell>
          <cell r="C345" t="str">
            <v>NM</v>
          </cell>
          <cell r="D345" t="str">
            <v>L/E PKO(C6-C8)-C6@65%</v>
          </cell>
          <cell r="E345" t="str">
            <v>C6&gt;50%</v>
          </cell>
        </row>
        <row r="346">
          <cell r="A346">
            <v>36</v>
          </cell>
          <cell r="B346" t="str">
            <v>IPRM</v>
          </cell>
          <cell r="C346" t="str">
            <v>FM</v>
          </cell>
          <cell r="D346" t="str">
            <v>L/E PKO(C6-C12)</v>
          </cell>
          <cell r="E346" t="str">
            <v>TALOJA</v>
          </cell>
          <cell r="Y346">
            <v>484.43796000000003</v>
          </cell>
          <cell r="AH346">
            <v>413.99586000000005</v>
          </cell>
          <cell r="AI346">
            <v>831.39</v>
          </cell>
          <cell r="AJ346">
            <v>151</v>
          </cell>
          <cell r="AP346">
            <v>25.2075</v>
          </cell>
          <cell r="AQ346">
            <v>414.84456</v>
          </cell>
          <cell r="AR346">
            <v>831.39</v>
          </cell>
          <cell r="AS346">
            <v>102.80789999999999</v>
          </cell>
          <cell r="AY346">
            <v>22.98</v>
          </cell>
          <cell r="AZ346">
            <v>248.49936000000002</v>
          </cell>
          <cell r="BA346">
            <v>831.39</v>
          </cell>
          <cell r="BB346">
            <v>141.375</v>
          </cell>
          <cell r="BH346">
            <v>3.2174999999999998</v>
          </cell>
          <cell r="BI346">
            <v>68.574960000000004</v>
          </cell>
          <cell r="BJ346">
            <v>831.39</v>
          </cell>
          <cell r="BK346">
            <v>121.5825</v>
          </cell>
          <cell r="BQ346">
            <v>2.97</v>
          </cell>
          <cell r="BR346">
            <v>211.15655999999998</v>
          </cell>
          <cell r="BS346">
            <v>724.32</v>
          </cell>
          <cell r="BT346">
            <v>174.90915000000001</v>
          </cell>
          <cell r="BX346">
            <v>65.05</v>
          </cell>
          <cell r="CA346">
            <v>881.57</v>
          </cell>
          <cell r="CB346">
            <v>305.16000000000003</v>
          </cell>
          <cell r="CC346">
            <v>129.49949999999998</v>
          </cell>
          <cell r="CJ346">
            <v>1218.25</v>
          </cell>
          <cell r="CL346">
            <v>184.2</v>
          </cell>
          <cell r="CS346">
            <v>1297.99</v>
          </cell>
          <cell r="CU346">
            <v>159.80000000000001</v>
          </cell>
          <cell r="DA346">
            <v>1402.1</v>
          </cell>
          <cell r="DD346">
            <v>219</v>
          </cell>
          <cell r="DK346">
            <v>1572.65</v>
          </cell>
          <cell r="DM346">
            <v>219.7</v>
          </cell>
          <cell r="DS346">
            <v>143.84200000000001</v>
          </cell>
          <cell r="DT346">
            <v>1647.96</v>
          </cell>
          <cell r="DV346">
            <v>136.52785714285713</v>
          </cell>
          <cell r="EB346">
            <v>257.41999999999996</v>
          </cell>
          <cell r="EC346">
            <v>1382.16</v>
          </cell>
          <cell r="EE346">
            <v>70.283571428571435</v>
          </cell>
          <cell r="EK346">
            <v>148.43</v>
          </cell>
          <cell r="EL346">
            <v>1382.16</v>
          </cell>
          <cell r="EN346">
            <v>30.133071428571434</v>
          </cell>
        </row>
        <row r="347">
          <cell r="A347">
            <v>37</v>
          </cell>
          <cell r="B347" t="str">
            <v>IPRM</v>
          </cell>
          <cell r="C347" t="str">
            <v>FM</v>
          </cell>
          <cell r="D347" t="str">
            <v>HYD.L/EPKO(C6-C12)</v>
          </cell>
          <cell r="E347" t="str">
            <v>H L/E PKO</v>
          </cell>
          <cell r="AP347">
            <v>63.005000000000003</v>
          </cell>
          <cell r="AY347">
            <v>182.29999999999998</v>
          </cell>
          <cell r="EB347">
            <v>55.94</v>
          </cell>
          <cell r="EC347">
            <v>5.77</v>
          </cell>
          <cell r="EL347">
            <v>138.16836000000001</v>
          </cell>
          <cell r="EN347">
            <v>163.995</v>
          </cell>
        </row>
        <row r="348">
          <cell r="A348">
            <v>38</v>
          </cell>
          <cell r="B348" t="str">
            <v>IPRM</v>
          </cell>
          <cell r="C348" t="str">
            <v>FM</v>
          </cell>
          <cell r="D348" t="str">
            <v>L/E PKO(C8-C12)</v>
          </cell>
          <cell r="E348" t="str">
            <v>L/E PKO</v>
          </cell>
          <cell r="G348">
            <v>664.36235999999997</v>
          </cell>
          <cell r="H348">
            <v>546.02</v>
          </cell>
          <cell r="I348">
            <v>175.3</v>
          </cell>
          <cell r="P348">
            <v>663.51366000000007</v>
          </cell>
          <cell r="Q348">
            <v>721.09</v>
          </cell>
          <cell r="R348">
            <v>66.900000000000006</v>
          </cell>
          <cell r="V348">
            <v>29.59</v>
          </cell>
          <cell r="X348">
            <v>59.622499999999995</v>
          </cell>
          <cell r="Z348">
            <v>831.39</v>
          </cell>
          <cell r="AA348">
            <v>150</v>
          </cell>
          <cell r="AG348">
            <v>11.137499999999999</v>
          </cell>
          <cell r="CJ348">
            <v>701.53</v>
          </cell>
          <cell r="CR348">
            <v>114.34</v>
          </cell>
          <cell r="CS348">
            <v>701.53</v>
          </cell>
          <cell r="DA348">
            <v>523.93000000000006</v>
          </cell>
          <cell r="DK348">
            <v>488.53</v>
          </cell>
          <cell r="DT348">
            <v>488.52800000000002</v>
          </cell>
          <cell r="EB348">
            <v>100.485</v>
          </cell>
          <cell r="EC348">
            <v>260.08999999999997</v>
          </cell>
          <cell r="EL348">
            <v>408.26600000000002</v>
          </cell>
        </row>
        <row r="349">
          <cell r="A349">
            <v>39</v>
          </cell>
          <cell r="B349" t="str">
            <v>IPRM</v>
          </cell>
          <cell r="C349" t="str">
            <v>FM</v>
          </cell>
          <cell r="D349" t="str">
            <v>L/E PKO(C10-C12)</v>
          </cell>
          <cell r="E349" t="str">
            <v>B/P OF C8 H</v>
          </cell>
          <cell r="G349">
            <v>1249.8399999999999</v>
          </cell>
          <cell r="O349">
            <v>97.656000000000006</v>
          </cell>
          <cell r="P349">
            <v>1142</v>
          </cell>
          <cell r="Y349">
            <v>705.43</v>
          </cell>
          <cell r="AH349">
            <v>703.14</v>
          </cell>
          <cell r="AQ349">
            <v>704.73</v>
          </cell>
          <cell r="AY349">
            <v>34.631999999999998</v>
          </cell>
          <cell r="AZ349">
            <v>740.18</v>
          </cell>
          <cell r="BI349">
            <v>1081.08</v>
          </cell>
          <cell r="BR349">
            <v>1101.69</v>
          </cell>
          <cell r="CA349">
            <v>701.53099999999995</v>
          </cell>
          <cell r="DA349">
            <v>73.319999999999993</v>
          </cell>
        </row>
        <row r="350">
          <cell r="A350">
            <v>40</v>
          </cell>
          <cell r="B350" t="str">
            <v>IPRM</v>
          </cell>
          <cell r="C350" t="str">
            <v>FM</v>
          </cell>
          <cell r="D350" t="str">
            <v>C12+C14+C16-PKO/CNO</v>
          </cell>
          <cell r="E350" t="str">
            <v>C12+C14+C16-PKO/CNO</v>
          </cell>
        </row>
        <row r="351">
          <cell r="A351">
            <v>41</v>
          </cell>
          <cell r="B351" t="str">
            <v>IPRM</v>
          </cell>
          <cell r="C351" t="str">
            <v>FM</v>
          </cell>
          <cell r="D351" t="str">
            <v>C14+C16(C14~60)</v>
          </cell>
          <cell r="E351" t="str">
            <v>C14+C16(C14~60)</v>
          </cell>
        </row>
        <row r="352">
          <cell r="A352">
            <v>42</v>
          </cell>
          <cell r="B352" t="str">
            <v>IPRM</v>
          </cell>
          <cell r="C352" t="str">
            <v>FM</v>
          </cell>
          <cell r="D352" t="str">
            <v>C14+C16+C18(C16@65%)</v>
          </cell>
          <cell r="E352" t="str">
            <v>C14+C16+C18(C16@65%)</v>
          </cell>
        </row>
        <row r="353">
          <cell r="A353">
            <v>43</v>
          </cell>
          <cell r="B353" t="str">
            <v>IPRM</v>
          </cell>
          <cell r="C353" t="str">
            <v>FM</v>
          </cell>
          <cell r="D353" t="str">
            <v>C16+C18-PFAD/PKO(C16@80%)</v>
          </cell>
          <cell r="E353" t="str">
            <v>C16+C18-PFAD/PKO(C16@80%)</v>
          </cell>
        </row>
        <row r="354">
          <cell r="A354">
            <v>44</v>
          </cell>
          <cell r="B354" t="str">
            <v>IPRM</v>
          </cell>
          <cell r="C354" t="str">
            <v>NM</v>
          </cell>
          <cell r="D354" t="str">
            <v>L/E'S OF  S.B</v>
          </cell>
          <cell r="E354" t="str">
            <v>L/E'S OF  S.B</v>
          </cell>
          <cell r="F354">
            <v>10.548500000000001</v>
          </cell>
          <cell r="H354">
            <v>14.59</v>
          </cell>
          <cell r="I354">
            <v>102</v>
          </cell>
          <cell r="O354">
            <v>10.548500000000001</v>
          </cell>
          <cell r="Q354">
            <v>14.59</v>
          </cell>
          <cell r="R354">
            <v>80.5</v>
          </cell>
          <cell r="X354">
            <v>10.548500000000001</v>
          </cell>
          <cell r="Z354">
            <v>14.59</v>
          </cell>
          <cell r="AA354">
            <v>103.5</v>
          </cell>
          <cell r="AG354">
            <v>10.548500000000001</v>
          </cell>
          <cell r="AI354">
            <v>14.59</v>
          </cell>
          <cell r="AP354">
            <v>8.3975000000000009</v>
          </cell>
          <cell r="AR354">
            <v>14.59</v>
          </cell>
          <cell r="AY354">
            <v>8.3975000000000009</v>
          </cell>
          <cell r="BA354">
            <v>14.59</v>
          </cell>
          <cell r="BH354">
            <v>8.3975000000000009</v>
          </cell>
          <cell r="BJ354">
            <v>14.59</v>
          </cell>
          <cell r="BQ354">
            <v>8.3975000000000009</v>
          </cell>
          <cell r="BS354">
            <v>14.59</v>
          </cell>
          <cell r="BZ354">
            <v>8.3975000000000009</v>
          </cell>
          <cell r="CB354">
            <v>14.59</v>
          </cell>
          <cell r="CI354">
            <v>22.73</v>
          </cell>
          <cell r="CK354">
            <v>14.59</v>
          </cell>
          <cell r="CR354">
            <v>7.22</v>
          </cell>
          <cell r="CT354">
            <v>14.59</v>
          </cell>
          <cell r="CU354">
            <v>115</v>
          </cell>
          <cell r="DA354">
            <v>9.6199999999999992</v>
          </cell>
          <cell r="DC354">
            <v>14.59</v>
          </cell>
          <cell r="DD354">
            <v>102</v>
          </cell>
          <cell r="DJ354">
            <v>10.36</v>
          </cell>
          <cell r="DK354">
            <v>17.440000000000001</v>
          </cell>
          <cell r="DL354">
            <v>14.59</v>
          </cell>
          <cell r="DM354">
            <v>122</v>
          </cell>
          <cell r="DS354">
            <v>8.3975000000000009</v>
          </cell>
          <cell r="DU354">
            <v>14.59</v>
          </cell>
          <cell r="EB354">
            <v>8.3975000000000009</v>
          </cell>
          <cell r="ED354">
            <v>14.59</v>
          </cell>
          <cell r="EE354">
            <v>133.5</v>
          </cell>
          <cell r="EK354">
            <v>8.3975000000000009</v>
          </cell>
          <cell r="EL354">
            <v>14.272200000000002</v>
          </cell>
          <cell r="EM354">
            <v>14.59</v>
          </cell>
          <cell r="EN354">
            <v>137</v>
          </cell>
        </row>
        <row r="355">
          <cell r="A355">
            <v>45</v>
          </cell>
          <cell r="B355" t="str">
            <v>IPRM</v>
          </cell>
          <cell r="C355" t="str">
            <v>NM</v>
          </cell>
          <cell r="D355" t="str">
            <v>BAD C8/C10</v>
          </cell>
          <cell r="E355" t="str">
            <v>BAD C8/C10</v>
          </cell>
          <cell r="F355">
            <v>99.99</v>
          </cell>
          <cell r="G355">
            <v>211.58</v>
          </cell>
          <cell r="O355">
            <v>31.945</v>
          </cell>
          <cell r="P355">
            <v>32.680199999999999</v>
          </cell>
          <cell r="X355">
            <v>28</v>
          </cell>
          <cell r="Y355">
            <v>17.2192525</v>
          </cell>
          <cell r="AG355">
            <v>34.671999999999997</v>
          </cell>
          <cell r="AH355">
            <v>17.22</v>
          </cell>
          <cell r="AP355">
            <v>32.76</v>
          </cell>
          <cell r="AQ355">
            <v>17.2192525</v>
          </cell>
          <cell r="AY355">
            <v>18.43657</v>
          </cell>
          <cell r="AZ355">
            <v>17.890202499999997</v>
          </cell>
          <cell r="BI355">
            <v>17.890202499999997</v>
          </cell>
          <cell r="BQ355">
            <v>14.943569999999999</v>
          </cell>
          <cell r="BR355">
            <v>17.890202499999997</v>
          </cell>
          <cell r="BZ355">
            <v>14.943569999999999</v>
          </cell>
          <cell r="CA355">
            <v>17.890202499999997</v>
          </cell>
          <cell r="CI355">
            <v>14.94</v>
          </cell>
          <cell r="CJ355">
            <v>58.67</v>
          </cell>
          <cell r="CS355">
            <v>73.739999999999995</v>
          </cell>
          <cell r="DA355">
            <v>73.739999999999995</v>
          </cell>
          <cell r="DJ355">
            <v>69.89</v>
          </cell>
          <cell r="DS355">
            <v>86.424000000000007</v>
          </cell>
          <cell r="EB355">
            <v>8.1120000000000001</v>
          </cell>
          <cell r="EC355">
            <v>42.044402499999997</v>
          </cell>
          <cell r="EK355">
            <v>0.312</v>
          </cell>
          <cell r="EL355">
            <v>42.044402499999997</v>
          </cell>
        </row>
        <row r="356">
          <cell r="A356">
            <v>46</v>
          </cell>
          <cell r="B356" t="str">
            <v>IPRM</v>
          </cell>
          <cell r="C356" t="str">
            <v>FM</v>
          </cell>
          <cell r="D356" t="str">
            <v>L/E PKO(C12@80%)</v>
          </cell>
          <cell r="E356" t="str">
            <v>B/P OF C10</v>
          </cell>
          <cell r="X356">
            <v>173.43</v>
          </cell>
          <cell r="EB356">
            <v>113.85</v>
          </cell>
          <cell r="EK356">
            <v>112.36499999999999</v>
          </cell>
        </row>
        <row r="357">
          <cell r="A357">
            <v>47</v>
          </cell>
          <cell r="B357" t="str">
            <v>IPRM</v>
          </cell>
          <cell r="C357" t="str">
            <v>NM</v>
          </cell>
          <cell r="D357" t="str">
            <v>DAG-MCT</v>
          </cell>
          <cell r="E357" t="str">
            <v>HYD DEAC MCT</v>
          </cell>
          <cell r="F357">
            <v>95.85</v>
          </cell>
          <cell r="G357">
            <v>255.31380000000001</v>
          </cell>
          <cell r="H357">
            <v>26.38</v>
          </cell>
          <cell r="O357">
            <v>176.41</v>
          </cell>
          <cell r="P357">
            <v>256.10669999999999</v>
          </cell>
          <cell r="Q357">
            <v>26.38</v>
          </cell>
          <cell r="Y357">
            <v>467.81100000000004</v>
          </cell>
          <cell r="Z357">
            <v>26.38</v>
          </cell>
          <cell r="AH357">
            <v>464.63940000000002</v>
          </cell>
          <cell r="AI357">
            <v>26.38</v>
          </cell>
          <cell r="AQ357">
            <v>464.63940000000002</v>
          </cell>
          <cell r="AR357">
            <v>26.38</v>
          </cell>
          <cell r="AZ357">
            <v>463.05360000000002</v>
          </cell>
          <cell r="BA357">
            <v>26.38</v>
          </cell>
          <cell r="BI357">
            <v>463.05360000000002</v>
          </cell>
          <cell r="BJ357">
            <v>26.38</v>
          </cell>
          <cell r="BR357">
            <v>463.05360000000002</v>
          </cell>
          <cell r="BS357">
            <v>26.38</v>
          </cell>
          <cell r="CA357">
            <v>463.05360000000002</v>
          </cell>
          <cell r="CB357">
            <v>26.38</v>
          </cell>
          <cell r="CJ357">
            <v>460.67</v>
          </cell>
          <cell r="CK357">
            <v>26.38</v>
          </cell>
          <cell r="CS357">
            <v>460.67</v>
          </cell>
          <cell r="CT357">
            <v>26.38</v>
          </cell>
          <cell r="DA357">
            <v>460.67</v>
          </cell>
          <cell r="DC357">
            <v>26.38</v>
          </cell>
          <cell r="DK357">
            <v>460.67</v>
          </cell>
          <cell r="DL357">
            <v>26.38</v>
          </cell>
          <cell r="DT357">
            <v>466.22520000000003</v>
          </cell>
          <cell r="DU357">
            <v>26.38</v>
          </cell>
          <cell r="EC357">
            <v>466.22520000000003</v>
          </cell>
          <cell r="EL357">
            <v>466.22520000000003</v>
          </cell>
          <cell r="EM357">
            <v>26.38</v>
          </cell>
        </row>
        <row r="358">
          <cell r="A358">
            <v>247</v>
          </cell>
          <cell r="B358" t="str">
            <v>IPRM</v>
          </cell>
          <cell r="C358" t="str">
            <v>NM</v>
          </cell>
          <cell r="D358" t="str">
            <v>D ACIDIFIED MCT</v>
          </cell>
          <cell r="E358" t="str">
            <v>D ACIDIFIED MCT</v>
          </cell>
          <cell r="F358">
            <v>98.1</v>
          </cell>
          <cell r="O358">
            <v>10.8</v>
          </cell>
          <cell r="ED358">
            <v>26.38</v>
          </cell>
        </row>
        <row r="359">
          <cell r="A359">
            <v>48</v>
          </cell>
          <cell r="B359" t="str">
            <v>IPRM</v>
          </cell>
          <cell r="C359" t="str">
            <v>SM</v>
          </cell>
          <cell r="D359" t="str">
            <v>PKORESIDUE</v>
          </cell>
          <cell r="E359" t="str">
            <v>PKORESIDUE</v>
          </cell>
          <cell r="F359">
            <v>46.54</v>
          </cell>
          <cell r="H359">
            <v>936.92000000000007</v>
          </cell>
          <cell r="O359">
            <v>12.92</v>
          </cell>
          <cell r="P359">
            <v>514.60380000000009</v>
          </cell>
          <cell r="Q359">
            <v>503.81</v>
          </cell>
          <cell r="X359">
            <v>10.919</v>
          </cell>
          <cell r="Y359">
            <v>474.84900000000005</v>
          </cell>
          <cell r="Z359">
            <v>211.54</v>
          </cell>
          <cell r="AG359">
            <v>3.4289999999999998</v>
          </cell>
          <cell r="AH359">
            <v>459.38880000000006</v>
          </cell>
          <cell r="AP359">
            <v>11.92</v>
          </cell>
          <cell r="AQ359">
            <v>532.27260000000001</v>
          </cell>
          <cell r="AZ359">
            <v>454.97160000000002</v>
          </cell>
          <cell r="BH359">
            <v>15.683467999999998</v>
          </cell>
          <cell r="BI359">
            <v>459.38880000000006</v>
          </cell>
          <cell r="BQ359">
            <v>11.681118</v>
          </cell>
          <cell r="BR359">
            <v>633.86820000000012</v>
          </cell>
          <cell r="BZ359">
            <v>14.591917999999998</v>
          </cell>
          <cell r="CA359">
            <v>490.30920000000003</v>
          </cell>
          <cell r="CI359">
            <v>15.32</v>
          </cell>
          <cell r="CJ359">
            <v>256.2</v>
          </cell>
          <cell r="CS359">
            <v>1060.6100000000001</v>
          </cell>
          <cell r="DA359">
            <v>326.87</v>
          </cell>
          <cell r="DJ359">
            <v>12.41</v>
          </cell>
          <cell r="DK359">
            <v>1303.46</v>
          </cell>
          <cell r="DM359">
            <v>11.7</v>
          </cell>
          <cell r="DS359">
            <v>23.06</v>
          </cell>
          <cell r="DT359">
            <v>585.279</v>
          </cell>
          <cell r="EB359">
            <v>18.958117999999995</v>
          </cell>
          <cell r="EC359">
            <v>647.11980000000005</v>
          </cell>
          <cell r="EE359">
            <v>129.71700000000001</v>
          </cell>
          <cell r="EK359">
            <v>14.498999999999999</v>
          </cell>
          <cell r="EL359">
            <v>803.93040000000008</v>
          </cell>
        </row>
        <row r="360">
          <cell r="A360">
            <v>49</v>
          </cell>
          <cell r="B360" t="str">
            <v>IPRM</v>
          </cell>
          <cell r="C360" t="str">
            <v>SM</v>
          </cell>
          <cell r="D360" t="str">
            <v>SPKORESIDUE</v>
          </cell>
          <cell r="E360" t="str">
            <v>SPKORESIDUE</v>
          </cell>
          <cell r="P360">
            <v>199.124</v>
          </cell>
          <cell r="R360">
            <v>36.799999999999997</v>
          </cell>
          <cell r="V360">
            <v>30.7</v>
          </cell>
          <cell r="Y360">
            <v>449.73</v>
          </cell>
          <cell r="AH360">
            <v>619.6</v>
          </cell>
          <cell r="AQ360">
            <v>464.45</v>
          </cell>
          <cell r="AS360">
            <v>90.131999999999977</v>
          </cell>
          <cell r="AZ360">
            <v>387.75</v>
          </cell>
          <cell r="BB360">
            <v>203.25685714285714</v>
          </cell>
          <cell r="BI360">
            <v>523.98</v>
          </cell>
          <cell r="BK360">
            <v>203.25685714285714</v>
          </cell>
          <cell r="BR360">
            <v>619.79999999999995</v>
          </cell>
          <cell r="CA360">
            <v>939.16</v>
          </cell>
          <cell r="CI360">
            <v>0</v>
          </cell>
          <cell r="CJ360">
            <v>1328.42</v>
          </cell>
          <cell r="CS360">
            <v>627.98</v>
          </cell>
          <cell r="DA360">
            <v>1368.76</v>
          </cell>
          <cell r="DK360">
            <v>624.01</v>
          </cell>
          <cell r="DT360">
            <v>1377.82</v>
          </cell>
          <cell r="EC360">
            <v>1288.1300000000001</v>
          </cell>
          <cell r="EL360">
            <v>845.37180000000001</v>
          </cell>
          <cell r="EN360">
            <v>13.702500000000001</v>
          </cell>
        </row>
        <row r="361">
          <cell r="A361">
            <v>50</v>
          </cell>
          <cell r="B361" t="str">
            <v>IPRM</v>
          </cell>
          <cell r="C361" t="str">
            <v>SM</v>
          </cell>
          <cell r="D361" t="str">
            <v>DPKORESIDUE</v>
          </cell>
          <cell r="E361" t="str">
            <v>DPKORESIDUE</v>
          </cell>
          <cell r="F361">
            <v>13.365</v>
          </cell>
          <cell r="BT361">
            <v>223.8075</v>
          </cell>
        </row>
        <row r="362">
          <cell r="A362">
            <v>51</v>
          </cell>
          <cell r="B362" t="str">
            <v>IPRM</v>
          </cell>
          <cell r="C362" t="str">
            <v>FM</v>
          </cell>
          <cell r="D362" t="str">
            <v>SPFAD+DPKORESIDUE-DSB FEED</v>
          </cell>
          <cell r="E362" t="str">
            <v>SPFAD+DPKORESIDUE-DSB FEED</v>
          </cell>
          <cell r="F362">
            <v>399.28500000000003</v>
          </cell>
          <cell r="G362">
            <v>196.96950000000001</v>
          </cell>
          <cell r="I362">
            <v>183.9</v>
          </cell>
          <cell r="M362">
            <v>30.21</v>
          </cell>
          <cell r="P362">
            <v>26.958600000000001</v>
          </cell>
          <cell r="Y362">
            <v>150.65100000000001</v>
          </cell>
          <cell r="AH362">
            <v>3.1716000000000002</v>
          </cell>
          <cell r="AQ362">
            <v>386.94</v>
          </cell>
          <cell r="AZ362">
            <v>409.93</v>
          </cell>
          <cell r="BZ362">
            <v>256.8</v>
          </cell>
          <cell r="DV362">
            <v>5.5182857142856623</v>
          </cell>
          <cell r="EE362">
            <v>73.57714285714286</v>
          </cell>
        </row>
        <row r="363">
          <cell r="A363">
            <v>52</v>
          </cell>
          <cell r="B363" t="str">
            <v>IPRM</v>
          </cell>
          <cell r="C363" t="str">
            <v>FM</v>
          </cell>
          <cell r="D363" t="str">
            <v>SRBDPS/CPS+SCPO-JBS FEED</v>
          </cell>
          <cell r="E363" t="str">
            <v>SRBDPS/CPS+SCPO-JBS FEED</v>
          </cell>
        </row>
        <row r="364">
          <cell r="A364">
            <v>53</v>
          </cell>
          <cell r="B364" t="str">
            <v>IPRM</v>
          </cell>
          <cell r="C364" t="str">
            <v>FM</v>
          </cell>
          <cell r="D364" t="str">
            <v>SRBDPS/CPS+B/PPKO-JBS FEED</v>
          </cell>
          <cell r="E364" t="str">
            <v>SRBDPS/CPS+B/PPKO-JBS FEED</v>
          </cell>
          <cell r="O364">
            <v>507.6</v>
          </cell>
          <cell r="X364">
            <v>406.8</v>
          </cell>
          <cell r="AG364">
            <v>67.2</v>
          </cell>
          <cell r="AH364">
            <v>212.49720000000002</v>
          </cell>
          <cell r="DD364">
            <v>140.69999999999999</v>
          </cell>
          <cell r="DV364">
            <v>91.35</v>
          </cell>
          <cell r="EN364">
            <v>197.14</v>
          </cell>
          <cell r="ER364">
            <v>15</v>
          </cell>
        </row>
        <row r="365">
          <cell r="A365">
            <v>54</v>
          </cell>
          <cell r="B365" t="str">
            <v>IPRM</v>
          </cell>
          <cell r="C365" t="str">
            <v>FM</v>
          </cell>
          <cell r="D365" t="str">
            <v>SPFAD&gt;C16(C16@15-25%)</v>
          </cell>
          <cell r="E365" t="str">
            <v>D B/P&gt;C16 FOR ALC</v>
          </cell>
        </row>
        <row r="366">
          <cell r="A366">
            <v>55</v>
          </cell>
          <cell r="B366" t="str">
            <v>IPRM</v>
          </cell>
          <cell r="C366" t="str">
            <v>FM</v>
          </cell>
          <cell r="D366" t="str">
            <v>SPFAD&gt;C16(C16@15-25%)</v>
          </cell>
          <cell r="E366" t="str">
            <v>B/P&gt;C16 FOR ALC</v>
          </cell>
        </row>
        <row r="367">
          <cell r="A367">
            <v>56</v>
          </cell>
          <cell r="B367" t="str">
            <v>IPRM</v>
          </cell>
          <cell r="C367" t="str">
            <v>SM</v>
          </cell>
          <cell r="D367" t="str">
            <v>MIX RESIDUE</v>
          </cell>
          <cell r="E367" t="str">
            <v>MIX RESIDUE</v>
          </cell>
          <cell r="G367">
            <v>348.95880000000005</v>
          </cell>
          <cell r="H367">
            <v>1095.17</v>
          </cell>
          <cell r="I367">
            <v>48.3</v>
          </cell>
          <cell r="J367">
            <v>14.218</v>
          </cell>
          <cell r="P367">
            <v>154.602</v>
          </cell>
          <cell r="Q367">
            <v>991.36</v>
          </cell>
          <cell r="S367">
            <v>16.395</v>
          </cell>
          <cell r="V367">
            <v>9.02</v>
          </cell>
          <cell r="Y367">
            <v>377.67060000000004</v>
          </cell>
          <cell r="Z367">
            <v>991.36</v>
          </cell>
          <cell r="AA367">
            <v>12.1</v>
          </cell>
          <cell r="AB367">
            <v>38.115000000000002</v>
          </cell>
          <cell r="AG367">
            <v>10.202999999999999</v>
          </cell>
          <cell r="AH367">
            <v>538.89840000000004</v>
          </cell>
          <cell r="AI367">
            <v>991.36</v>
          </cell>
          <cell r="AJ367">
            <v>47.5</v>
          </cell>
          <cell r="AP367">
            <v>5.5490000000000004</v>
          </cell>
          <cell r="AQ367">
            <v>702.33480000000009</v>
          </cell>
          <cell r="AR367">
            <v>976.88</v>
          </cell>
          <cell r="AS367">
            <v>41.635714285714286</v>
          </cell>
          <cell r="AT367">
            <v>16.940000000000001</v>
          </cell>
          <cell r="AY367">
            <v>20.047999999999998</v>
          </cell>
          <cell r="AZ367">
            <v>753.13260000000014</v>
          </cell>
          <cell r="BA367">
            <v>976.88</v>
          </cell>
          <cell r="BB367">
            <v>16.654285714285713</v>
          </cell>
          <cell r="BH367">
            <v>5.5490000000000004</v>
          </cell>
          <cell r="BI367">
            <v>568.71450000000004</v>
          </cell>
          <cell r="BJ367">
            <v>976.88</v>
          </cell>
          <cell r="BK367">
            <v>105.75471428571429</v>
          </cell>
          <cell r="BR367">
            <v>150.18480000000002</v>
          </cell>
          <cell r="BS367">
            <v>976.88</v>
          </cell>
          <cell r="BT367">
            <v>59.95542857142857</v>
          </cell>
          <cell r="BX367">
            <v>19.760000000000002</v>
          </cell>
          <cell r="BZ367">
            <v>9.6660000000000004</v>
          </cell>
          <cell r="CA367">
            <v>288.22230000000002</v>
          </cell>
          <cell r="CB367">
            <v>976.88</v>
          </cell>
          <cell r="CC367">
            <v>45.382928571428565</v>
          </cell>
          <cell r="CI367">
            <v>21.3</v>
          </cell>
          <cell r="CJ367">
            <v>322.45999999999998</v>
          </cell>
          <cell r="CK367">
            <v>976.88</v>
          </cell>
          <cell r="CL367">
            <v>6.2</v>
          </cell>
          <cell r="CM367">
            <v>29.584</v>
          </cell>
          <cell r="CR367">
            <v>10.92</v>
          </cell>
          <cell r="CS367">
            <v>426.26</v>
          </cell>
          <cell r="CT367">
            <v>693.47</v>
          </cell>
          <cell r="CU367">
            <v>81.2</v>
          </cell>
          <cell r="CV367">
            <v>28.434000000000001</v>
          </cell>
          <cell r="DA367">
            <v>558.78</v>
          </cell>
          <cell r="DC367">
            <v>463.23</v>
          </cell>
          <cell r="DD367">
            <v>127.4</v>
          </cell>
          <cell r="DE367">
            <v>26.437999999999999</v>
          </cell>
          <cell r="DJ367">
            <v>9.85</v>
          </cell>
          <cell r="DK367">
            <v>483.68</v>
          </cell>
          <cell r="DL367">
            <v>463.23</v>
          </cell>
          <cell r="DM367">
            <v>10.8</v>
          </cell>
          <cell r="DN367">
            <v>24.925999999999998</v>
          </cell>
          <cell r="DT367">
            <v>686.8746000000001</v>
          </cell>
          <cell r="DU367">
            <v>463.23</v>
          </cell>
          <cell r="DV367">
            <v>1.665428571428595</v>
          </cell>
          <cell r="DW367">
            <v>25.832999999999998</v>
          </cell>
          <cell r="DZ367">
            <v>32.93</v>
          </cell>
          <cell r="EB367">
            <v>2.1480000000000001</v>
          </cell>
          <cell r="EC367">
            <v>906.04</v>
          </cell>
          <cell r="ED367">
            <v>463.23</v>
          </cell>
          <cell r="EE367">
            <v>15.821571428571417</v>
          </cell>
          <cell r="EF367">
            <v>18.754999999999999</v>
          </cell>
          <cell r="EL367">
            <v>963.92</v>
          </cell>
          <cell r="EM367">
            <v>463.23</v>
          </cell>
          <cell r="EN367">
            <v>9.992571428571452</v>
          </cell>
          <cell r="EO367">
            <v>28.010999999999999</v>
          </cell>
          <cell r="ER367">
            <v>20.75</v>
          </cell>
        </row>
        <row r="368">
          <cell r="A368">
            <v>57</v>
          </cell>
          <cell r="B368" t="str">
            <v>IPRM</v>
          </cell>
          <cell r="C368" t="str">
            <v>SM</v>
          </cell>
          <cell r="D368" t="str">
            <v>SMIX RESIDUE</v>
          </cell>
          <cell r="E368" t="str">
            <v>SMIX RESIDUE</v>
          </cell>
          <cell r="F368">
            <v>66.456000000000003</v>
          </cell>
          <cell r="G368">
            <v>290.43090000000001</v>
          </cell>
          <cell r="P368">
            <v>69.775200000000012</v>
          </cell>
          <cell r="BI368">
            <v>107.8344</v>
          </cell>
          <cell r="BR368">
            <v>325.089</v>
          </cell>
          <cell r="CC368">
            <v>238.42350000000002</v>
          </cell>
          <cell r="CG368">
            <v>16.39</v>
          </cell>
          <cell r="CJ368">
            <v>158.58000000000001</v>
          </cell>
          <cell r="CS368">
            <v>505.87</v>
          </cell>
          <cell r="DA368">
            <v>400.78</v>
          </cell>
          <cell r="DK368">
            <v>231.53</v>
          </cell>
        </row>
        <row r="369">
          <cell r="A369">
            <v>58</v>
          </cell>
          <cell r="B369" t="str">
            <v>IPRM</v>
          </cell>
          <cell r="C369" t="str">
            <v>FM</v>
          </cell>
          <cell r="D369" t="str">
            <v>DMIX RESIDUE</v>
          </cell>
          <cell r="E369" t="str">
            <v>DMIX RESIDUE</v>
          </cell>
          <cell r="F369">
            <v>8.3249999999999993</v>
          </cell>
          <cell r="G369">
            <v>297.5</v>
          </cell>
          <cell r="I369">
            <v>119.5</v>
          </cell>
          <cell r="O369">
            <v>7.4249999999999998</v>
          </cell>
          <cell r="P369">
            <v>375</v>
          </cell>
          <cell r="R369">
            <v>37.1</v>
          </cell>
          <cell r="V369">
            <v>29.18</v>
          </cell>
          <cell r="X369">
            <v>10.175000000000001</v>
          </cell>
          <cell r="Y369">
            <v>148.75</v>
          </cell>
          <cell r="AA369">
            <v>201.5</v>
          </cell>
          <cell r="AG369">
            <v>2.0350000000000001</v>
          </cell>
          <cell r="AH369">
            <v>148.75</v>
          </cell>
          <cell r="AJ369">
            <v>200.1</v>
          </cell>
          <cell r="AP369">
            <v>3.7</v>
          </cell>
          <cell r="AQ369">
            <v>147.5</v>
          </cell>
          <cell r="AS369">
            <v>200.1</v>
          </cell>
          <cell r="AY369">
            <v>11.1</v>
          </cell>
          <cell r="AZ369">
            <v>150</v>
          </cell>
          <cell r="BB369">
            <v>200.1</v>
          </cell>
          <cell r="BH369">
            <v>26.92</v>
          </cell>
          <cell r="BI369">
            <v>187.5</v>
          </cell>
          <cell r="BK369">
            <v>193.14</v>
          </cell>
          <cell r="BQ369">
            <v>8.14</v>
          </cell>
          <cell r="BR369">
            <v>225</v>
          </cell>
          <cell r="BZ369">
            <v>11.4535</v>
          </cell>
          <cell r="CA369">
            <v>275</v>
          </cell>
          <cell r="CI369">
            <v>7</v>
          </cell>
          <cell r="CL369">
            <v>3.2</v>
          </cell>
          <cell r="DA369">
            <v>100</v>
          </cell>
          <cell r="DJ369">
            <v>14</v>
          </cell>
          <cell r="DK369">
            <v>200</v>
          </cell>
          <cell r="DM369">
            <v>224.5</v>
          </cell>
          <cell r="DS369">
            <v>21.83</v>
          </cell>
          <cell r="DT369">
            <v>292.5</v>
          </cell>
          <cell r="EB369">
            <v>89.634999999999991</v>
          </cell>
          <cell r="EE369">
            <v>110.36571428571429</v>
          </cell>
          <cell r="EK369">
            <v>9.6199999999999992</v>
          </cell>
        </row>
        <row r="370">
          <cell r="A370">
            <v>59</v>
          </cell>
          <cell r="B370" t="str">
            <v>IPRM</v>
          </cell>
          <cell r="C370" t="str">
            <v>FM</v>
          </cell>
          <cell r="D370" t="str">
            <v>HYD D RFA</v>
          </cell>
          <cell r="E370" t="str">
            <v>HYD D RFA</v>
          </cell>
          <cell r="R370">
            <v>53.9</v>
          </cell>
          <cell r="AA370">
            <v>8.5</v>
          </cell>
          <cell r="CI370">
            <v>55.48</v>
          </cell>
          <cell r="CL370">
            <v>186.7</v>
          </cell>
          <cell r="CU370">
            <v>171.1</v>
          </cell>
          <cell r="EE370">
            <v>127.02</v>
          </cell>
          <cell r="EK370">
            <v>21</v>
          </cell>
          <cell r="EN370">
            <v>133.97999999999999</v>
          </cell>
        </row>
        <row r="371">
          <cell r="A371">
            <v>60</v>
          </cell>
          <cell r="B371" t="str">
            <v>IPRM</v>
          </cell>
          <cell r="C371" t="str">
            <v>FM</v>
          </cell>
          <cell r="D371" t="str">
            <v>B/P SMUSTARD&gt;C18</v>
          </cell>
          <cell r="E371" t="str">
            <v>B/P SMUSTARD&gt;C18</v>
          </cell>
        </row>
        <row r="372">
          <cell r="A372">
            <v>61</v>
          </cell>
          <cell r="B372" t="str">
            <v>IPRM</v>
          </cell>
          <cell r="C372" t="str">
            <v>FM</v>
          </cell>
          <cell r="D372" t="str">
            <v>B/P SMUSTARD&gt;C20</v>
          </cell>
          <cell r="E372" t="str">
            <v>B/P SMUSTARD&gt;C20</v>
          </cell>
          <cell r="G372">
            <v>120</v>
          </cell>
          <cell r="I372">
            <v>257.60000000000002</v>
          </cell>
          <cell r="P372">
            <v>120</v>
          </cell>
          <cell r="R372">
            <v>237.5</v>
          </cell>
          <cell r="Y372">
            <v>120</v>
          </cell>
          <cell r="AA372">
            <v>400.5</v>
          </cell>
          <cell r="AH372">
            <v>120</v>
          </cell>
          <cell r="AJ372">
            <v>204.6</v>
          </cell>
          <cell r="AQ372">
            <v>120</v>
          </cell>
          <cell r="AZ372">
            <v>120</v>
          </cell>
          <cell r="BI372">
            <v>120</v>
          </cell>
          <cell r="BR372">
            <v>120</v>
          </cell>
          <cell r="BT372">
            <v>65.77200000000002</v>
          </cell>
          <cell r="CA372">
            <v>120</v>
          </cell>
          <cell r="CL372">
            <v>23.8</v>
          </cell>
          <cell r="CU372">
            <v>220.3</v>
          </cell>
          <cell r="DD372">
            <v>414.8</v>
          </cell>
          <cell r="DM372">
            <v>266.8</v>
          </cell>
          <cell r="DT372">
            <v>120</v>
          </cell>
          <cell r="EE372">
            <v>1.8270000000000259</v>
          </cell>
        </row>
        <row r="373">
          <cell r="A373">
            <v>62</v>
          </cell>
          <cell r="B373" t="str">
            <v>IPRM</v>
          </cell>
          <cell r="C373" t="str">
            <v>SM</v>
          </cell>
          <cell r="D373" t="str">
            <v>DFA C18+22(20@50%)</v>
          </cell>
          <cell r="E373" t="str">
            <v>DFA C18+22(20@50%)</v>
          </cell>
        </row>
        <row r="374">
          <cell r="A374">
            <v>63</v>
          </cell>
          <cell r="B374" t="str">
            <v>IPRM</v>
          </cell>
          <cell r="C374" t="str">
            <v>NM</v>
          </cell>
          <cell r="D374" t="str">
            <v>MUSTARD RESIDUE</v>
          </cell>
          <cell r="E374" t="str">
            <v>MUSTARD RESIDUE</v>
          </cell>
          <cell r="F374">
            <v>42.52</v>
          </cell>
          <cell r="H374">
            <v>1362.7</v>
          </cell>
          <cell r="I374">
            <v>123.2</v>
          </cell>
          <cell r="L374">
            <v>4.5</v>
          </cell>
          <cell r="O374">
            <v>61.93</v>
          </cell>
          <cell r="Q374">
            <v>1662.41</v>
          </cell>
          <cell r="R374">
            <v>53.7</v>
          </cell>
          <cell r="U374">
            <v>4.5</v>
          </cell>
          <cell r="X374">
            <v>41.99</v>
          </cell>
          <cell r="Z374">
            <v>1568.83</v>
          </cell>
          <cell r="AA374">
            <v>65</v>
          </cell>
          <cell r="AD374">
            <v>4.5</v>
          </cell>
          <cell r="AG374">
            <v>41.99</v>
          </cell>
          <cell r="AI374">
            <v>1568.83</v>
          </cell>
          <cell r="AJ374">
            <v>161.5</v>
          </cell>
          <cell r="AM374">
            <v>4.5</v>
          </cell>
          <cell r="AP374">
            <v>41.99</v>
          </cell>
          <cell r="AR374">
            <v>1568.83</v>
          </cell>
          <cell r="AS374">
            <v>179.86628571428574</v>
          </cell>
          <cell r="AY374">
            <v>41.99</v>
          </cell>
          <cell r="BA374">
            <v>1664.95</v>
          </cell>
          <cell r="BB374">
            <v>114.91457142857143</v>
          </cell>
          <cell r="BD374">
            <v>4.5</v>
          </cell>
          <cell r="BH374">
            <v>41.99</v>
          </cell>
          <cell r="BJ374">
            <v>1832.63</v>
          </cell>
          <cell r="BK374">
            <v>33.724928571428578</v>
          </cell>
          <cell r="BN374">
            <v>4.5</v>
          </cell>
          <cell r="BQ374">
            <v>40.9</v>
          </cell>
          <cell r="BS374">
            <v>1832.63</v>
          </cell>
          <cell r="BT374">
            <v>37.472142857142856</v>
          </cell>
          <cell r="BW374">
            <v>4.5</v>
          </cell>
          <cell r="BZ374">
            <v>40.9</v>
          </cell>
          <cell r="CB374">
            <v>1832.63</v>
          </cell>
          <cell r="CC374">
            <v>108.25285714285714</v>
          </cell>
          <cell r="CF374">
            <v>4.5</v>
          </cell>
          <cell r="CI374">
            <v>40.9</v>
          </cell>
          <cell r="CK374">
            <v>1832.63</v>
          </cell>
          <cell r="CL374">
            <v>193.2</v>
          </cell>
          <cell r="CR374">
            <v>40.9</v>
          </cell>
          <cell r="CT374">
            <v>1860.63</v>
          </cell>
          <cell r="CU374">
            <v>183.6</v>
          </cell>
          <cell r="DA374">
            <v>40.9</v>
          </cell>
          <cell r="DC374">
            <v>1860.63</v>
          </cell>
          <cell r="DD374">
            <v>183.6</v>
          </cell>
          <cell r="DJ374">
            <v>40.9</v>
          </cell>
          <cell r="DL374">
            <v>1937.32</v>
          </cell>
          <cell r="DM374">
            <v>192.4</v>
          </cell>
          <cell r="DS374">
            <v>40.9</v>
          </cell>
          <cell r="DT374">
            <v>63.432000000000009</v>
          </cell>
          <cell r="DU374">
            <v>1976.26</v>
          </cell>
          <cell r="DV374">
            <v>114.91457142857143</v>
          </cell>
          <cell r="DZ374">
            <v>68.03</v>
          </cell>
          <cell r="EB374">
            <v>40.9</v>
          </cell>
          <cell r="EC374">
            <v>299.71620000000001</v>
          </cell>
          <cell r="ED374">
            <v>1976.26</v>
          </cell>
          <cell r="EK374">
            <v>40.9</v>
          </cell>
          <cell r="EL374">
            <v>299.71620000000001</v>
          </cell>
          <cell r="EM374">
            <v>1976.26</v>
          </cell>
        </row>
        <row r="375">
          <cell r="A375">
            <v>64</v>
          </cell>
          <cell r="B375" t="str">
            <v>IPRM</v>
          </cell>
          <cell r="C375" t="str">
            <v>NM</v>
          </cell>
          <cell r="D375" t="str">
            <v>SMUSTARD RESIDUE</v>
          </cell>
          <cell r="E375" t="str">
            <v>SMUSTARD RESIDUE</v>
          </cell>
          <cell r="G375">
            <v>538.73820000000001</v>
          </cell>
          <cell r="H375">
            <v>648.51</v>
          </cell>
          <cell r="P375">
            <v>555.77340000000004</v>
          </cell>
          <cell r="Q375">
            <v>506.72</v>
          </cell>
          <cell r="Y375">
            <v>692.05499999999995</v>
          </cell>
          <cell r="Z375">
            <v>498.73</v>
          </cell>
          <cell r="AH375">
            <v>685.66680000000008</v>
          </cell>
          <cell r="AI375">
            <v>498.73</v>
          </cell>
          <cell r="AQ375">
            <v>685.66680000000008</v>
          </cell>
          <cell r="AR375">
            <v>498.73</v>
          </cell>
          <cell r="AZ375">
            <v>685.66680000000008</v>
          </cell>
          <cell r="BA375">
            <v>498.73</v>
          </cell>
          <cell r="BI375">
            <v>708.02549999999997</v>
          </cell>
          <cell r="BJ375">
            <v>498.73</v>
          </cell>
          <cell r="BR375">
            <v>704.83140000000003</v>
          </cell>
          <cell r="BS375">
            <v>498.73</v>
          </cell>
          <cell r="CA375">
            <v>704.83140000000003</v>
          </cell>
          <cell r="CB375">
            <v>498.73</v>
          </cell>
          <cell r="CJ375">
            <v>738.09</v>
          </cell>
          <cell r="CK375">
            <v>498.73</v>
          </cell>
          <cell r="CS375">
            <v>755.94</v>
          </cell>
          <cell r="CT375">
            <v>498.73</v>
          </cell>
          <cell r="DA375">
            <v>766.58</v>
          </cell>
          <cell r="DC375">
            <v>498.73</v>
          </cell>
          <cell r="DJ375">
            <v>29.89</v>
          </cell>
          <cell r="DK375">
            <v>762.33</v>
          </cell>
          <cell r="DL375">
            <v>498.73</v>
          </cell>
          <cell r="DT375">
            <v>763.38990000000001</v>
          </cell>
          <cell r="DU375">
            <v>498.73</v>
          </cell>
          <cell r="EC375">
            <v>374.77440000000001</v>
          </cell>
          <cell r="ED375">
            <v>498.73</v>
          </cell>
          <cell r="EL375">
            <v>14.905799999999999</v>
          </cell>
          <cell r="EM375">
            <v>498.73</v>
          </cell>
        </row>
        <row r="376">
          <cell r="A376">
            <v>65</v>
          </cell>
          <cell r="B376" t="str">
            <v>IPRM</v>
          </cell>
          <cell r="C376" t="str">
            <v>NM</v>
          </cell>
          <cell r="D376" t="str">
            <v>DMUSTARD RESIDUE</v>
          </cell>
          <cell r="E376" t="str">
            <v>DMUSTARD RESIDUE</v>
          </cell>
          <cell r="G376">
            <v>31.765492400000007</v>
          </cell>
          <cell r="P376">
            <v>31.765492400000007</v>
          </cell>
          <cell r="Y376">
            <v>31.765492400000007</v>
          </cell>
          <cell r="AH376">
            <v>31.765492400000007</v>
          </cell>
          <cell r="AQ376">
            <v>31.765492400000007</v>
          </cell>
          <cell r="AZ376">
            <v>33.518042400000006</v>
          </cell>
          <cell r="BI376">
            <v>33.518042400000006</v>
          </cell>
          <cell r="BR376">
            <v>33.518042400000006</v>
          </cell>
          <cell r="CA376">
            <v>33.518042400000006</v>
          </cell>
          <cell r="CJ376">
            <v>928.9</v>
          </cell>
          <cell r="CS376">
            <v>913.48</v>
          </cell>
          <cell r="DA376">
            <v>925.27499999999998</v>
          </cell>
          <cell r="DK376">
            <v>895.38</v>
          </cell>
          <cell r="EC376">
            <v>51.043542400000007</v>
          </cell>
          <cell r="EL376">
            <v>51.043542400000007</v>
          </cell>
        </row>
        <row r="377">
          <cell r="A377">
            <v>66</v>
          </cell>
          <cell r="B377" t="str">
            <v>IPRM</v>
          </cell>
          <cell r="C377" t="str">
            <v>NM</v>
          </cell>
          <cell r="D377" t="str">
            <v>CONTAMINATED MUST</v>
          </cell>
          <cell r="E377" t="str">
            <v>CONTAMINATED MUST</v>
          </cell>
          <cell r="CJ377">
            <v>120</v>
          </cell>
          <cell r="CK377">
            <v>40.11</v>
          </cell>
          <cell r="CL377">
            <v>25</v>
          </cell>
          <cell r="CS377">
            <v>120</v>
          </cell>
          <cell r="CT377">
            <v>40.11</v>
          </cell>
          <cell r="DA377">
            <v>120</v>
          </cell>
          <cell r="DC377">
            <v>40.11</v>
          </cell>
          <cell r="DD377">
            <v>25</v>
          </cell>
          <cell r="DK377">
            <v>120</v>
          </cell>
          <cell r="DL377">
            <v>40.11</v>
          </cell>
          <cell r="DM377">
            <v>25</v>
          </cell>
          <cell r="DU377">
            <v>40.11</v>
          </cell>
          <cell r="EC377">
            <v>120</v>
          </cell>
          <cell r="ED377">
            <v>40.11</v>
          </cell>
          <cell r="EL377">
            <v>120</v>
          </cell>
          <cell r="EM377">
            <v>40.11</v>
          </cell>
        </row>
        <row r="378">
          <cell r="A378">
            <v>67</v>
          </cell>
          <cell r="B378" t="str">
            <v>IPRM</v>
          </cell>
          <cell r="C378" t="str">
            <v>NM</v>
          </cell>
          <cell r="D378" t="str">
            <v>HYD SPFAD</v>
          </cell>
          <cell r="E378" t="str">
            <v>HYD SPFAD</v>
          </cell>
          <cell r="I378">
            <v>4.8</v>
          </cell>
          <cell r="M378">
            <v>12.88</v>
          </cell>
          <cell r="X378">
            <v>37.996000000000002</v>
          </cell>
          <cell r="AG378">
            <v>64.209000000000003</v>
          </cell>
          <cell r="AJ378">
            <v>29.8</v>
          </cell>
          <cell r="AP378">
            <v>16.283999999999999</v>
          </cell>
          <cell r="AS378">
            <v>54.635999999999996</v>
          </cell>
          <cell r="AW378">
            <v>30.46</v>
          </cell>
          <cell r="AY378">
            <v>4.0709999999999997</v>
          </cell>
          <cell r="BQ378">
            <v>48.155000000000001</v>
          </cell>
          <cell r="BZ378">
            <v>55.935000000000002</v>
          </cell>
          <cell r="CC378">
            <v>99.528000000000006</v>
          </cell>
          <cell r="CG378">
            <v>18.27</v>
          </cell>
          <cell r="CL378">
            <v>120.8</v>
          </cell>
          <cell r="CR378">
            <v>64</v>
          </cell>
          <cell r="CU378">
            <v>151.69999999999999</v>
          </cell>
          <cell r="CY378">
            <v>15</v>
          </cell>
          <cell r="DA378">
            <v>90.62</v>
          </cell>
          <cell r="DD378">
            <v>70.900000000000006</v>
          </cell>
          <cell r="DH378">
            <v>18</v>
          </cell>
          <cell r="DV378">
            <v>217.5</v>
          </cell>
        </row>
        <row r="379">
          <cell r="A379">
            <v>68</v>
          </cell>
          <cell r="B379" t="str">
            <v>IPRM</v>
          </cell>
          <cell r="C379" t="str">
            <v>NM</v>
          </cell>
          <cell r="D379" t="str">
            <v>C16 RICH (FOR SB)</v>
          </cell>
          <cell r="E379" t="str">
            <v>C16 RICH (FOR SB)</v>
          </cell>
          <cell r="F379">
            <v>66</v>
          </cell>
          <cell r="AG379">
            <v>3.4649999999999999</v>
          </cell>
          <cell r="AP379">
            <v>280.8</v>
          </cell>
          <cell r="AY379">
            <v>320.39999999999998</v>
          </cell>
          <cell r="BH379">
            <v>342</v>
          </cell>
          <cell r="BQ379">
            <v>126</v>
          </cell>
          <cell r="CI379">
            <v>30.58</v>
          </cell>
          <cell r="DJ379">
            <v>50.93</v>
          </cell>
        </row>
        <row r="380">
          <cell r="A380">
            <v>69</v>
          </cell>
          <cell r="B380" t="str">
            <v>IPRM</v>
          </cell>
          <cell r="C380" t="str">
            <v>NM</v>
          </cell>
          <cell r="D380" t="str">
            <v>B/P PFAD (FOR C16/C18)</v>
          </cell>
          <cell r="E380" t="str">
            <v>B/P PFAD (FOR C16/C18)</v>
          </cell>
          <cell r="BZ380">
            <v>24.640999999999998</v>
          </cell>
          <cell r="CI380">
            <v>84.13</v>
          </cell>
          <cell r="CL380">
            <v>275.89999999999998</v>
          </cell>
          <cell r="CR380">
            <v>100.42</v>
          </cell>
        </row>
        <row r="381">
          <cell r="A381">
            <v>70</v>
          </cell>
          <cell r="B381" t="str">
            <v>IPRM</v>
          </cell>
          <cell r="C381" t="str">
            <v>NM</v>
          </cell>
          <cell r="D381" t="str">
            <v>DFA C8&gt;90%</v>
          </cell>
          <cell r="E381" t="str">
            <v>DFA C8&gt;90%</v>
          </cell>
        </row>
        <row r="382">
          <cell r="A382">
            <v>71</v>
          </cell>
          <cell r="B382" t="str">
            <v>IPRM</v>
          </cell>
          <cell r="C382" t="str">
            <v>NM</v>
          </cell>
          <cell r="D382" t="str">
            <v>FEED FOR DTP-CT</v>
          </cell>
          <cell r="E382" t="str">
            <v>FEED FOR DTP-CT</v>
          </cell>
          <cell r="CL382">
            <v>7.4</v>
          </cell>
          <cell r="CP382">
            <v>35</v>
          </cell>
        </row>
        <row r="383">
          <cell r="A383">
            <v>72</v>
          </cell>
          <cell r="B383" t="str">
            <v>IPRM</v>
          </cell>
          <cell r="C383" t="str">
            <v>NM</v>
          </cell>
          <cell r="D383" t="str">
            <v>C16 RICH FROM PFAD</v>
          </cell>
          <cell r="E383" t="str">
            <v>C16 RICH FROM PFAD</v>
          </cell>
          <cell r="DS383">
            <v>9.4049999999999994</v>
          </cell>
          <cell r="EB383">
            <v>59.85</v>
          </cell>
          <cell r="EK383">
            <v>156.41999999999999</v>
          </cell>
        </row>
        <row r="384">
          <cell r="A384">
            <v>73</v>
          </cell>
          <cell r="B384" t="str">
            <v>IPRM</v>
          </cell>
          <cell r="C384" t="str">
            <v>NM</v>
          </cell>
          <cell r="D384" t="str">
            <v>FEED FOR P-12</v>
          </cell>
          <cell r="E384" t="str">
            <v>FEED FOR P-12</v>
          </cell>
          <cell r="DS384">
            <v>56.075000000000003</v>
          </cell>
          <cell r="EC384">
            <v>272.68</v>
          </cell>
          <cell r="EL384">
            <v>272.68</v>
          </cell>
        </row>
        <row r="385">
          <cell r="A385">
            <v>74</v>
          </cell>
          <cell r="B385" t="str">
            <v>IPRM</v>
          </cell>
          <cell r="C385" t="str">
            <v>NM</v>
          </cell>
          <cell r="D385" t="str">
            <v>HYD P-12</v>
          </cell>
          <cell r="E385" t="str">
            <v>HYD P-12</v>
          </cell>
          <cell r="DS385">
            <v>7</v>
          </cell>
        </row>
        <row r="386">
          <cell r="A386">
            <v>75</v>
          </cell>
          <cell r="B386" t="str">
            <v>IPRM</v>
          </cell>
          <cell r="C386" t="str">
            <v>NM</v>
          </cell>
          <cell r="D386" t="str">
            <v>D HYD P-12</v>
          </cell>
          <cell r="E386" t="str">
            <v>D HYD P-12</v>
          </cell>
          <cell r="DZ386">
            <v>95.95</v>
          </cell>
        </row>
        <row r="387">
          <cell r="A387">
            <v>76</v>
          </cell>
          <cell r="B387" t="str">
            <v>IPRM</v>
          </cell>
          <cell r="C387" t="str">
            <v>NM</v>
          </cell>
          <cell r="D387" t="str">
            <v>DFA C16/18  FOR TRANSLUCENT</v>
          </cell>
          <cell r="E387" t="str">
            <v>DFA C16/18  FOR TRANSLUCENT</v>
          </cell>
          <cell r="DA387">
            <v>258.20999999999998</v>
          </cell>
          <cell r="DM387">
            <v>131.5</v>
          </cell>
          <cell r="DQ387">
            <v>75</v>
          </cell>
        </row>
        <row r="388">
          <cell r="A388">
            <v>77</v>
          </cell>
          <cell r="B388" t="str">
            <v>IPRM</v>
          </cell>
          <cell r="C388" t="str">
            <v>NM</v>
          </cell>
          <cell r="D388" t="str">
            <v>GLY RES</v>
          </cell>
          <cell r="E388" t="str">
            <v>GLY RES</v>
          </cell>
          <cell r="O388">
            <v>38.5</v>
          </cell>
          <cell r="X388">
            <v>38.5</v>
          </cell>
          <cell r="AG388">
            <v>38.5</v>
          </cell>
          <cell r="AP388">
            <v>38.5</v>
          </cell>
          <cell r="AY388">
            <v>38.5</v>
          </cell>
          <cell r="BH388">
            <v>38.5</v>
          </cell>
          <cell r="BQ388">
            <v>38.5</v>
          </cell>
          <cell r="BZ388">
            <v>19.25</v>
          </cell>
          <cell r="CI388">
            <v>38.5</v>
          </cell>
          <cell r="CR388">
            <v>38.5</v>
          </cell>
          <cell r="DA388">
            <v>38.5</v>
          </cell>
          <cell r="DJ388">
            <v>38.5</v>
          </cell>
          <cell r="DS388">
            <v>38.5</v>
          </cell>
          <cell r="EB388">
            <v>38.5</v>
          </cell>
          <cell r="EK388">
            <v>21</v>
          </cell>
        </row>
        <row r="389">
          <cell r="A389">
            <v>78</v>
          </cell>
          <cell r="B389" t="str">
            <v>IPRM</v>
          </cell>
          <cell r="C389" t="str">
            <v>NM</v>
          </cell>
          <cell r="D389" t="str">
            <v>D B/P PKO</v>
          </cell>
          <cell r="E389" t="str">
            <v>D B/P PKO</v>
          </cell>
          <cell r="X389">
            <v>280.8</v>
          </cell>
          <cell r="AG389">
            <v>313.2</v>
          </cell>
          <cell r="AP389">
            <v>218.7</v>
          </cell>
          <cell r="AS389">
            <v>529.83000000000004</v>
          </cell>
          <cell r="AY389">
            <v>187.2</v>
          </cell>
          <cell r="BB389">
            <v>582.89700000000005</v>
          </cell>
          <cell r="BF389">
            <v>52.58</v>
          </cell>
          <cell r="BK389">
            <v>259.40999999999997</v>
          </cell>
          <cell r="BZ389">
            <v>121.77</v>
          </cell>
          <cell r="EK389">
            <v>188.1</v>
          </cell>
        </row>
        <row r="390">
          <cell r="A390">
            <v>79</v>
          </cell>
          <cell r="B390" t="str">
            <v>IPRM</v>
          </cell>
          <cell r="C390" t="str">
            <v>NM</v>
          </cell>
          <cell r="D390" t="str">
            <v>FOR NEEM SOAP</v>
          </cell>
          <cell r="E390" t="str">
            <v>FOR NEEM SOAP</v>
          </cell>
          <cell r="J390">
            <v>1.9319999999999999</v>
          </cell>
          <cell r="K390">
            <v>400.09</v>
          </cell>
          <cell r="M390">
            <v>37.450000000000003</v>
          </cell>
          <cell r="S390">
            <v>42.78</v>
          </cell>
          <cell r="AB390">
            <v>59.201999999999998</v>
          </cell>
          <cell r="AJ390">
            <v>59.201999999999998</v>
          </cell>
          <cell r="AT390">
            <v>59.201999999999998</v>
          </cell>
          <cell r="BC390">
            <v>59.201999999999998</v>
          </cell>
          <cell r="BL390">
            <v>59.201999999999998</v>
          </cell>
          <cell r="BU390">
            <v>114.092</v>
          </cell>
          <cell r="CD390">
            <v>114.092</v>
          </cell>
          <cell r="CM390">
            <v>114.02</v>
          </cell>
          <cell r="CV390">
            <v>114.092</v>
          </cell>
          <cell r="DE390">
            <v>65.135999999999996</v>
          </cell>
        </row>
        <row r="391">
          <cell r="A391">
            <v>239</v>
          </cell>
          <cell r="B391" t="str">
            <v>IPRM</v>
          </cell>
          <cell r="C391" t="str">
            <v>NM</v>
          </cell>
          <cell r="D391" t="str">
            <v>FEED FOR ITC</v>
          </cell>
          <cell r="E391" t="str">
            <v>FEED FOR ITC</v>
          </cell>
        </row>
        <row r="392">
          <cell r="A392">
            <v>240</v>
          </cell>
          <cell r="B392" t="str">
            <v>IPRM</v>
          </cell>
          <cell r="C392" t="str">
            <v>NM</v>
          </cell>
          <cell r="D392" t="str">
            <v>MUSTARD-MCT</v>
          </cell>
          <cell r="E392" t="str">
            <v>MUSTARD-MCT</v>
          </cell>
          <cell r="F392">
            <v>29.8935</v>
          </cell>
          <cell r="G392">
            <v>108.8202</v>
          </cell>
          <cell r="O392">
            <v>29.8935</v>
          </cell>
          <cell r="P392">
            <v>108.8202</v>
          </cell>
          <cell r="X392">
            <v>29.8935</v>
          </cell>
          <cell r="Y392">
            <v>125.08319999999999</v>
          </cell>
          <cell r="AG392">
            <v>29.8935</v>
          </cell>
          <cell r="AH392">
            <v>120.2043</v>
          </cell>
          <cell r="AP392">
            <v>29.8935</v>
          </cell>
          <cell r="AQ392">
            <v>120.2043</v>
          </cell>
          <cell r="AY392">
            <v>29.8935</v>
          </cell>
          <cell r="AZ392">
            <v>126.70950000000001</v>
          </cell>
          <cell r="BH392">
            <v>29.8935</v>
          </cell>
          <cell r="BI392">
            <v>118.578</v>
          </cell>
          <cell r="BQ392">
            <v>29.3825</v>
          </cell>
          <cell r="BR392">
            <v>118.578</v>
          </cell>
          <cell r="BZ392">
            <v>29.8935</v>
          </cell>
          <cell r="CA392">
            <v>120.2043</v>
          </cell>
          <cell r="CI392">
            <v>29.89</v>
          </cell>
          <cell r="CJ392">
            <v>120.2</v>
          </cell>
          <cell r="CR392">
            <v>29.89</v>
          </cell>
          <cell r="CS392">
            <v>120.2</v>
          </cell>
          <cell r="DA392">
            <v>120.2</v>
          </cell>
          <cell r="DK392">
            <v>118.58</v>
          </cell>
          <cell r="DS392">
            <v>29.8935</v>
          </cell>
          <cell r="DT392">
            <v>118.578</v>
          </cell>
          <cell r="EB392">
            <v>29.8935</v>
          </cell>
          <cell r="EC392">
            <v>118.578</v>
          </cell>
          <cell r="EK392">
            <v>29.8935</v>
          </cell>
          <cell r="EL392">
            <v>118.578</v>
          </cell>
        </row>
        <row r="393">
          <cell r="A393">
            <v>242</v>
          </cell>
          <cell r="B393" t="str">
            <v>IPRM</v>
          </cell>
          <cell r="C393" t="str">
            <v>NM</v>
          </cell>
          <cell r="D393" t="str">
            <v>HYD STEARIC-90</v>
          </cell>
          <cell r="E393" t="str">
            <v>HYD STEARIC-90</v>
          </cell>
        </row>
        <row r="394">
          <cell r="D394" t="str">
            <v>IPRM TOTAL</v>
          </cell>
          <cell r="F394">
            <v>1068.38688</v>
          </cell>
          <cell r="G394">
            <v>5324.3192523999996</v>
          </cell>
          <cell r="H394">
            <v>4630.29</v>
          </cell>
          <cell r="I394">
            <v>1152.5999999999999</v>
          </cell>
          <cell r="J394">
            <v>16.149999999999999</v>
          </cell>
          <cell r="K394">
            <v>400.09</v>
          </cell>
          <cell r="L394">
            <v>4.5</v>
          </cell>
          <cell r="M394">
            <v>111.23</v>
          </cell>
          <cell r="N394">
            <v>0</v>
          </cell>
          <cell r="O394">
            <v>985.62799999999993</v>
          </cell>
          <cell r="P394">
            <v>4698.1532523999995</v>
          </cell>
          <cell r="Q394">
            <v>4426.3600000000006</v>
          </cell>
          <cell r="R394">
            <v>895.2</v>
          </cell>
          <cell r="S394">
            <v>59.174999999999997</v>
          </cell>
          <cell r="T394">
            <v>0</v>
          </cell>
          <cell r="U394">
            <v>4.5</v>
          </cell>
          <cell r="V394">
            <v>98.490000000000009</v>
          </cell>
          <cell r="W394">
            <v>0</v>
          </cell>
          <cell r="X394">
            <v>1128.6744999999999</v>
          </cell>
          <cell r="Y394">
            <v>4493.5325049000003</v>
          </cell>
          <cell r="Z394">
            <v>4142.82</v>
          </cell>
          <cell r="AA394">
            <v>1330.3000000000002</v>
          </cell>
          <cell r="AB394">
            <v>97.317000000000007</v>
          </cell>
          <cell r="AC394">
            <v>0</v>
          </cell>
          <cell r="AD394">
            <v>4.5</v>
          </cell>
          <cell r="AE394">
            <v>30.33</v>
          </cell>
          <cell r="AF394">
            <v>0</v>
          </cell>
          <cell r="AG394">
            <v>712.85050000000001</v>
          </cell>
          <cell r="AH394">
            <v>4831.3178524000004</v>
          </cell>
          <cell r="AI394">
            <v>3931.28</v>
          </cell>
          <cell r="AJ394">
            <v>1468.3019999999999</v>
          </cell>
          <cell r="AK394">
            <v>0</v>
          </cell>
          <cell r="AL394">
            <v>0</v>
          </cell>
          <cell r="AM394">
            <v>4.5</v>
          </cell>
          <cell r="AN394">
            <v>0</v>
          </cell>
          <cell r="AO394">
            <v>0</v>
          </cell>
          <cell r="AP394">
            <v>789.18649999999991</v>
          </cell>
          <cell r="AQ394">
            <v>4934.3272049000007</v>
          </cell>
          <cell r="AR394">
            <v>3916.7999999999997</v>
          </cell>
          <cell r="AS394">
            <v>1394.9078999999999</v>
          </cell>
          <cell r="AT394">
            <v>76.141999999999996</v>
          </cell>
          <cell r="AU394">
            <v>0</v>
          </cell>
          <cell r="AV394">
            <v>0</v>
          </cell>
          <cell r="AW394">
            <v>30.46</v>
          </cell>
          <cell r="AX394">
            <v>0</v>
          </cell>
          <cell r="AY394">
            <v>919.94857000000013</v>
          </cell>
          <cell r="AZ394">
            <v>4600.1617048999997</v>
          </cell>
          <cell r="BA394">
            <v>4012.92</v>
          </cell>
          <cell r="BB394">
            <v>1494.6445714285715</v>
          </cell>
          <cell r="BC394">
            <v>59.201999999999998</v>
          </cell>
          <cell r="BD394">
            <v>4.5</v>
          </cell>
          <cell r="BE394">
            <v>0</v>
          </cell>
          <cell r="BF394">
            <v>52.58</v>
          </cell>
          <cell r="BG394">
            <v>0</v>
          </cell>
          <cell r="BH394">
            <v>642.33596799999998</v>
          </cell>
          <cell r="BI394">
            <v>4473.643004900001</v>
          </cell>
          <cell r="BJ394">
            <v>4180.6000000000004</v>
          </cell>
          <cell r="BK394">
            <v>990.44614285714272</v>
          </cell>
          <cell r="BL394">
            <v>59.201999999999998</v>
          </cell>
          <cell r="BM394">
            <v>0</v>
          </cell>
          <cell r="BN394">
            <v>4.5</v>
          </cell>
          <cell r="BO394">
            <v>0</v>
          </cell>
          <cell r="BP394">
            <v>0</v>
          </cell>
          <cell r="BQ394">
            <v>331.049688</v>
          </cell>
          <cell r="BR394">
            <v>4742.3798049000006</v>
          </cell>
          <cell r="BS394">
            <v>4073.53</v>
          </cell>
          <cell r="BT394">
            <v>674.12136428571444</v>
          </cell>
          <cell r="BU394">
            <v>114.092</v>
          </cell>
          <cell r="BV394">
            <v>0</v>
          </cell>
          <cell r="BW394">
            <v>4.5</v>
          </cell>
          <cell r="BX394">
            <v>100.15</v>
          </cell>
          <cell r="BY394">
            <v>0</v>
          </cell>
          <cell r="BZ394">
            <v>680.06198800000004</v>
          </cell>
          <cell r="CA394">
            <v>5035.2900448999999</v>
          </cell>
          <cell r="CB394">
            <v>3654.3700000000003</v>
          </cell>
          <cell r="CC394">
            <v>691.90478571428571</v>
          </cell>
          <cell r="CD394">
            <v>114.092</v>
          </cell>
          <cell r="CE394">
            <v>0</v>
          </cell>
          <cell r="CF394">
            <v>4.5</v>
          </cell>
          <cell r="CG394">
            <v>34.659999999999997</v>
          </cell>
          <cell r="CH394">
            <v>0</v>
          </cell>
          <cell r="CI394">
            <v>418.06</v>
          </cell>
          <cell r="CJ394">
            <v>6411.9699999999993</v>
          </cell>
          <cell r="CK394">
            <v>3389.32</v>
          </cell>
          <cell r="CL394">
            <v>1041</v>
          </cell>
          <cell r="CM394">
            <v>143.60399999999998</v>
          </cell>
          <cell r="CN394">
            <v>0</v>
          </cell>
          <cell r="CO394">
            <v>0</v>
          </cell>
          <cell r="CP394">
            <v>35</v>
          </cell>
          <cell r="CQ394">
            <v>0</v>
          </cell>
          <cell r="CR394">
            <v>594.29</v>
          </cell>
          <cell r="CS394">
            <v>7064.2699999999995</v>
          </cell>
          <cell r="CT394">
            <v>3133.9100000000003</v>
          </cell>
          <cell r="CU394">
            <v>1131.3999999999999</v>
          </cell>
          <cell r="CV394">
            <v>142.52600000000001</v>
          </cell>
          <cell r="CW394">
            <v>0</v>
          </cell>
          <cell r="CX394">
            <v>0</v>
          </cell>
          <cell r="CY394">
            <v>15</v>
          </cell>
          <cell r="CZ394">
            <v>0</v>
          </cell>
          <cell r="DA394">
            <v>7782.534999999998</v>
          </cell>
          <cell r="DB394">
            <v>0</v>
          </cell>
          <cell r="DC394">
            <v>2903.67</v>
          </cell>
          <cell r="DD394">
            <v>1401.1</v>
          </cell>
          <cell r="DE394">
            <v>91.573999999999998</v>
          </cell>
          <cell r="DF394">
            <v>0</v>
          </cell>
          <cell r="DG394">
            <v>0</v>
          </cell>
          <cell r="DH394">
            <v>18</v>
          </cell>
          <cell r="DI394">
            <v>0</v>
          </cell>
          <cell r="DJ394">
            <v>365.96000000000004</v>
          </cell>
          <cell r="DK394">
            <v>7629.43</v>
          </cell>
          <cell r="DL394">
            <v>2980.36</v>
          </cell>
          <cell r="DM394">
            <v>1358.9</v>
          </cell>
          <cell r="DN394">
            <v>24.925999999999998</v>
          </cell>
          <cell r="DO394">
            <v>0</v>
          </cell>
          <cell r="DP394">
            <v>0</v>
          </cell>
          <cell r="DQ394">
            <v>75</v>
          </cell>
          <cell r="DR394">
            <v>0</v>
          </cell>
          <cell r="DS394">
            <v>494.65499999999997</v>
          </cell>
          <cell r="DT394">
            <v>6958.4412000000002</v>
          </cell>
          <cell r="DU394">
            <v>3019.3</v>
          </cell>
          <cell r="DV394">
            <v>607.44642857142856</v>
          </cell>
          <cell r="DW394">
            <v>25.832999999999998</v>
          </cell>
          <cell r="DX394">
            <v>0</v>
          </cell>
          <cell r="DY394">
            <v>0</v>
          </cell>
          <cell r="DZ394">
            <v>302.34000000000003</v>
          </cell>
          <cell r="EA394">
            <v>0</v>
          </cell>
          <cell r="EB394">
            <v>824.08911799999998</v>
          </cell>
          <cell r="EC394">
            <v>6907.9945449000006</v>
          </cell>
          <cell r="ED394">
            <v>3019.3</v>
          </cell>
          <cell r="EE394">
            <v>846.97457142857127</v>
          </cell>
          <cell r="EF394">
            <v>18.754999999999999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951.33699999999999</v>
          </cell>
          <cell r="EL394">
            <v>6281.4063049000015</v>
          </cell>
          <cell r="EM394">
            <v>3019.3</v>
          </cell>
          <cell r="EN394">
            <v>820.01014285714291</v>
          </cell>
          <cell r="EO394">
            <v>28.010999999999999</v>
          </cell>
          <cell r="EP394">
            <v>0</v>
          </cell>
          <cell r="EQ394">
            <v>0</v>
          </cell>
          <cell r="ER394">
            <v>35.75</v>
          </cell>
          <cell r="ES394">
            <v>0</v>
          </cell>
        </row>
        <row r="395">
          <cell r="A395" t="str">
            <v>FATTY ACID FINISHED PRODUCTS</v>
          </cell>
        </row>
        <row r="396">
          <cell r="A396">
            <v>80</v>
          </cell>
          <cell r="B396" t="str">
            <v>FG</v>
          </cell>
          <cell r="C396" t="str">
            <v>FM</v>
          </cell>
          <cell r="D396" t="str">
            <v>CPKO/MUSTO/MIX II RESIDUE</v>
          </cell>
          <cell r="E396" t="str">
            <v>PITCH</v>
          </cell>
          <cell r="F396">
            <v>255.149</v>
          </cell>
          <cell r="O396">
            <v>280.92</v>
          </cell>
          <cell r="X396">
            <v>224.14500000000001</v>
          </cell>
          <cell r="AG396">
            <v>192.501</v>
          </cell>
          <cell r="AP396">
            <v>179.316</v>
          </cell>
          <cell r="AY396">
            <v>177.9975</v>
          </cell>
          <cell r="BH396">
            <v>220.66</v>
          </cell>
          <cell r="BQ396">
            <v>322.45999999999998</v>
          </cell>
          <cell r="BZ396">
            <v>234.69300000000001</v>
          </cell>
          <cell r="CA396">
            <v>105.91776000000002</v>
          </cell>
          <cell r="CI396">
            <v>187.23</v>
          </cell>
          <cell r="CJ396">
            <v>167.02</v>
          </cell>
          <cell r="CR396">
            <v>174.04</v>
          </cell>
          <cell r="CS396">
            <v>167.02</v>
          </cell>
          <cell r="DA396">
            <v>348.95</v>
          </cell>
          <cell r="DJ396">
            <v>213.6</v>
          </cell>
          <cell r="DK396">
            <v>2.38</v>
          </cell>
          <cell r="DS396">
            <v>79.11</v>
          </cell>
          <cell r="EB396">
            <v>159.5385</v>
          </cell>
          <cell r="EK396">
            <v>175.3605</v>
          </cell>
          <cell r="EN396">
            <v>89.516785714285717</v>
          </cell>
        </row>
        <row r="397">
          <cell r="A397">
            <v>81</v>
          </cell>
          <cell r="B397" t="str">
            <v>FG</v>
          </cell>
          <cell r="C397" t="str">
            <v>FM</v>
          </cell>
          <cell r="D397" t="str">
            <v>JBS(80:20)</v>
          </cell>
          <cell r="E397" t="str">
            <v>JBS(80:20)</v>
          </cell>
          <cell r="I397">
            <v>112.5</v>
          </cell>
          <cell r="R397">
            <v>272.10000000000002</v>
          </cell>
          <cell r="AA397">
            <v>236</v>
          </cell>
          <cell r="AG397">
            <v>133.613</v>
          </cell>
          <cell r="AJ397">
            <v>54.4</v>
          </cell>
          <cell r="AN397">
            <v>15</v>
          </cell>
          <cell r="AP397">
            <v>81.284379999999999</v>
          </cell>
          <cell r="AS397">
            <v>97.835849999999994</v>
          </cell>
          <cell r="AY397">
            <v>81.284379999999999</v>
          </cell>
          <cell r="BB397">
            <v>97.196399999999997</v>
          </cell>
          <cell r="BK397">
            <v>179.68545000000003</v>
          </cell>
          <cell r="BZ397">
            <v>67.5</v>
          </cell>
          <cell r="CC397">
            <v>25.578000000000003</v>
          </cell>
          <cell r="CG397">
            <v>100.21</v>
          </cell>
          <cell r="CV397">
            <v>22.44</v>
          </cell>
          <cell r="DD397">
            <v>38.4</v>
          </cell>
          <cell r="DV397">
            <v>344.62699999999995</v>
          </cell>
          <cell r="EE397">
            <v>6.3945000000000007</v>
          </cell>
        </row>
        <row r="398">
          <cell r="A398">
            <v>82</v>
          </cell>
          <cell r="B398" t="str">
            <v>FG</v>
          </cell>
          <cell r="C398" t="str">
            <v>FM</v>
          </cell>
          <cell r="D398" t="str">
            <v>TRANSLUCENT</v>
          </cell>
          <cell r="E398" t="str">
            <v>TRANSLUCENT</v>
          </cell>
          <cell r="J398">
            <v>5.22</v>
          </cell>
          <cell r="S398">
            <v>5.22</v>
          </cell>
          <cell r="AJ398">
            <v>12.72</v>
          </cell>
          <cell r="AT398">
            <v>82.27</v>
          </cell>
          <cell r="BC398">
            <v>82.27</v>
          </cell>
          <cell r="BL398">
            <v>82.27</v>
          </cell>
          <cell r="BQ398">
            <v>45</v>
          </cell>
          <cell r="BU398">
            <v>6.96</v>
          </cell>
          <cell r="CD398">
            <v>1.5</v>
          </cell>
          <cell r="CI398">
            <v>90.9</v>
          </cell>
          <cell r="CM398">
            <v>1.5</v>
          </cell>
          <cell r="CR398">
            <v>6.3</v>
          </cell>
          <cell r="DA398">
            <v>6.3</v>
          </cell>
          <cell r="DE398">
            <v>1.8</v>
          </cell>
          <cell r="DJ398">
            <v>3.42</v>
          </cell>
          <cell r="DM398">
            <v>95.9</v>
          </cell>
          <cell r="DN398">
            <v>1.8</v>
          </cell>
          <cell r="DW398">
            <v>1.8</v>
          </cell>
        </row>
        <row r="399">
          <cell r="A399">
            <v>83</v>
          </cell>
          <cell r="B399" t="str">
            <v>FG</v>
          </cell>
          <cell r="C399" t="str">
            <v>FM</v>
          </cell>
          <cell r="D399" t="str">
            <v>D.S.B</v>
          </cell>
          <cell r="E399" t="str">
            <v>DPFAD 70% + SDD PKO RES 30%</v>
          </cell>
          <cell r="I399">
            <v>262.2</v>
          </cell>
          <cell r="R399">
            <v>281.39999999999998</v>
          </cell>
          <cell r="AJ399">
            <v>44.8</v>
          </cell>
          <cell r="AN399">
            <v>60</v>
          </cell>
          <cell r="AP399">
            <v>94.545000000000002</v>
          </cell>
          <cell r="AS399">
            <v>338.9</v>
          </cell>
          <cell r="AW399">
            <v>30.99</v>
          </cell>
          <cell r="AY399">
            <v>76.23</v>
          </cell>
          <cell r="BB399">
            <v>402.9</v>
          </cell>
          <cell r="BF399">
            <v>64.88</v>
          </cell>
          <cell r="BH399">
            <v>36.134999999999998</v>
          </cell>
          <cell r="BK399">
            <v>274.96350000000001</v>
          </cell>
          <cell r="BO399">
            <v>34</v>
          </cell>
          <cell r="BT399">
            <v>161.78085000000002</v>
          </cell>
          <cell r="BZ399">
            <v>112.68178</v>
          </cell>
          <cell r="CC399">
            <v>198.25800000000001</v>
          </cell>
          <cell r="CG399">
            <v>100.26</v>
          </cell>
          <cell r="CM399">
            <v>89.286000000000001</v>
          </cell>
          <cell r="DE399">
            <v>153.32900000000001</v>
          </cell>
          <cell r="DT399">
            <v>3.1716000000000002</v>
          </cell>
        </row>
        <row r="400">
          <cell r="A400">
            <v>84</v>
          </cell>
          <cell r="B400" t="str">
            <v>FG</v>
          </cell>
          <cell r="C400" t="str">
            <v>FM</v>
          </cell>
          <cell r="D400" t="str">
            <v>JO BLEND</v>
          </cell>
          <cell r="E400" t="str">
            <v>JO BLEND</v>
          </cell>
          <cell r="AA400">
            <v>249.4</v>
          </cell>
          <cell r="AJ400">
            <v>409.2</v>
          </cell>
        </row>
        <row r="401">
          <cell r="A401">
            <v>85</v>
          </cell>
          <cell r="B401" t="str">
            <v>FG</v>
          </cell>
          <cell r="C401" t="str">
            <v>FM</v>
          </cell>
          <cell r="D401" t="str">
            <v>ITC</v>
          </cell>
          <cell r="E401" t="str">
            <v>DPFAD 70% + DCPS 30%</v>
          </cell>
        </row>
        <row r="402">
          <cell r="A402">
            <v>86</v>
          </cell>
          <cell r="B402" t="str">
            <v>FG</v>
          </cell>
          <cell r="C402" t="str">
            <v>FM</v>
          </cell>
          <cell r="D402" t="str">
            <v>DDPKORESIDUEFA</v>
          </cell>
          <cell r="E402" t="str">
            <v>S DD PKO RES</v>
          </cell>
        </row>
        <row r="403">
          <cell r="A403">
            <v>87</v>
          </cell>
          <cell r="B403" t="str">
            <v>FG</v>
          </cell>
          <cell r="C403" t="str">
            <v>FM</v>
          </cell>
          <cell r="D403" t="str">
            <v>DRBDPS FOR P-12</v>
          </cell>
          <cell r="E403" t="str">
            <v>DRBDPS/CPS 65%+B/P PKO 35%</v>
          </cell>
        </row>
        <row r="404">
          <cell r="A404">
            <v>258</v>
          </cell>
          <cell r="B404" t="str">
            <v>FG</v>
          </cell>
          <cell r="C404" t="str">
            <v>FM</v>
          </cell>
          <cell r="D404" t="str">
            <v>DRBDPS</v>
          </cell>
          <cell r="E404" t="str">
            <v>DRBDPS</v>
          </cell>
          <cell r="DV404">
            <v>133.64504999999997</v>
          </cell>
          <cell r="EE404">
            <v>146.43404999999998</v>
          </cell>
          <cell r="EN404">
            <v>66.242500000000007</v>
          </cell>
        </row>
        <row r="405">
          <cell r="A405">
            <v>88</v>
          </cell>
          <cell r="B405" t="str">
            <v>FG</v>
          </cell>
          <cell r="C405" t="str">
            <v>FM</v>
          </cell>
          <cell r="D405" t="str">
            <v>DPKO</v>
          </cell>
          <cell r="E405" t="str">
            <v>D C12-C18</v>
          </cell>
          <cell r="I405">
            <v>82.5</v>
          </cell>
          <cell r="O405">
            <v>94.545000000000002</v>
          </cell>
          <cell r="R405">
            <v>154.1</v>
          </cell>
          <cell r="X405">
            <v>77.715000000000003</v>
          </cell>
          <cell r="AA405">
            <v>70.3</v>
          </cell>
          <cell r="AG405">
            <v>30.195</v>
          </cell>
          <cell r="AJ405">
            <v>87</v>
          </cell>
          <cell r="AP405">
            <v>126.72</v>
          </cell>
          <cell r="AS405">
            <v>163.69919999999999</v>
          </cell>
          <cell r="AY405">
            <v>126.22499999999999</v>
          </cell>
          <cell r="BB405">
            <v>163.05975000000001</v>
          </cell>
          <cell r="BH405">
            <v>55.44</v>
          </cell>
          <cell r="BK405">
            <v>221.88915</v>
          </cell>
          <cell r="BQ405">
            <v>10.89</v>
          </cell>
          <cell r="BT405">
            <v>102.31200000000001</v>
          </cell>
          <cell r="BZ405">
            <v>2.4750000000000001</v>
          </cell>
          <cell r="CC405">
            <v>231.48089999999999</v>
          </cell>
          <cell r="CL405">
            <v>419.5</v>
          </cell>
          <cell r="CU405">
            <v>345.3</v>
          </cell>
          <cell r="DD405">
            <v>281.39999999999998</v>
          </cell>
          <cell r="DM405">
            <v>191.8</v>
          </cell>
          <cell r="DS405">
            <v>153.67283</v>
          </cell>
          <cell r="DW405">
            <v>206.79</v>
          </cell>
          <cell r="EE405">
            <v>109.98539999999998</v>
          </cell>
          <cell r="EF405">
            <v>243.87</v>
          </cell>
          <cell r="EN405">
            <v>328.03784999999999</v>
          </cell>
          <cell r="EO405">
            <v>260.53500000000003</v>
          </cell>
        </row>
        <row r="406">
          <cell r="A406">
            <v>89</v>
          </cell>
          <cell r="B406" t="str">
            <v>FG</v>
          </cell>
          <cell r="C406" t="str">
            <v>FM</v>
          </cell>
          <cell r="D406" t="str">
            <v>DPFAD</v>
          </cell>
          <cell r="E406" t="str">
            <v>DPFAD</v>
          </cell>
          <cell r="S406">
            <v>37.206000000000003</v>
          </cell>
          <cell r="AB406">
            <v>113.328</v>
          </cell>
          <cell r="AJ406">
            <v>145.005</v>
          </cell>
          <cell r="AT406">
            <v>73.325999999999993</v>
          </cell>
          <cell r="BC406">
            <v>91.906999999999996</v>
          </cell>
          <cell r="BL406">
            <v>108.52500000000001</v>
          </cell>
          <cell r="BU406">
            <v>140.52600000000001</v>
          </cell>
          <cell r="CD406">
            <v>71.213999999999999</v>
          </cell>
          <cell r="CG406">
            <v>39.619999999999997</v>
          </cell>
          <cell r="CI406">
            <v>50</v>
          </cell>
          <cell r="CL406">
            <v>202.1</v>
          </cell>
          <cell r="CM406">
            <v>2.512</v>
          </cell>
          <cell r="CP406">
            <v>20</v>
          </cell>
          <cell r="CR406">
            <v>14.85</v>
          </cell>
          <cell r="CU406">
            <v>176.5</v>
          </cell>
          <cell r="CV406">
            <v>208.185</v>
          </cell>
          <cell r="CY406">
            <v>57.03</v>
          </cell>
          <cell r="DD406">
            <v>100.4</v>
          </cell>
          <cell r="DJ406">
            <v>424.91</v>
          </cell>
          <cell r="DM406">
            <v>177.8</v>
          </cell>
          <cell r="DN406">
            <v>130.149</v>
          </cell>
          <cell r="DT406">
            <v>124.95</v>
          </cell>
        </row>
        <row r="407">
          <cell r="A407">
            <v>90</v>
          </cell>
          <cell r="B407" t="str">
            <v>FG</v>
          </cell>
          <cell r="C407" t="str">
            <v>NM</v>
          </cell>
          <cell r="D407" t="str">
            <v>C6&gt;98%</v>
          </cell>
          <cell r="E407" t="str">
            <v>C6&gt;98%</v>
          </cell>
          <cell r="F407">
            <v>16.742000000000001</v>
          </cell>
          <cell r="O407">
            <v>16.742000000000001</v>
          </cell>
          <cell r="X407">
            <v>16.742000000000001</v>
          </cell>
          <cell r="AG407">
            <v>16.742000000000001</v>
          </cell>
          <cell r="AP407">
            <v>16.742000000000001</v>
          </cell>
          <cell r="AY407">
            <v>21.256999999999998</v>
          </cell>
          <cell r="BH407">
            <v>61.892000000000003</v>
          </cell>
          <cell r="BQ407">
            <v>2.81</v>
          </cell>
          <cell r="BZ407">
            <v>2.81</v>
          </cell>
          <cell r="CI407">
            <v>2.81</v>
          </cell>
          <cell r="CR407">
            <v>2.81</v>
          </cell>
          <cell r="DA407">
            <v>2.81</v>
          </cell>
          <cell r="DJ407">
            <v>2.81</v>
          </cell>
          <cell r="DS407">
            <v>2.81</v>
          </cell>
          <cell r="EB407">
            <v>19.966999999999999</v>
          </cell>
          <cell r="EK407">
            <v>21.901999999999997</v>
          </cell>
        </row>
        <row r="408">
          <cell r="A408">
            <v>91</v>
          </cell>
          <cell r="B408" t="str">
            <v>FG</v>
          </cell>
          <cell r="C408" t="str">
            <v>FM</v>
          </cell>
          <cell r="D408" t="str">
            <v>C8&gt;98%</v>
          </cell>
          <cell r="E408" t="str">
            <v>C8&gt;98%</v>
          </cell>
          <cell r="F408">
            <v>49.5</v>
          </cell>
          <cell r="O408">
            <v>26.234999999999999</v>
          </cell>
          <cell r="X408">
            <v>26.234999999999999</v>
          </cell>
          <cell r="AG408">
            <v>25.74</v>
          </cell>
          <cell r="AP408">
            <v>2.4750000000000001</v>
          </cell>
          <cell r="AY408">
            <v>13.365</v>
          </cell>
          <cell r="BH408">
            <v>104.44499999999999</v>
          </cell>
          <cell r="BQ408">
            <v>92.564999999999998</v>
          </cell>
          <cell r="BZ408">
            <v>61.38</v>
          </cell>
          <cell r="CI408">
            <v>23.27</v>
          </cell>
          <cell r="CR408">
            <v>90.59</v>
          </cell>
          <cell r="DA408">
            <v>93</v>
          </cell>
          <cell r="DJ408">
            <v>81.680000000000007</v>
          </cell>
          <cell r="DS408">
            <v>30.69</v>
          </cell>
          <cell r="EB408">
            <v>78.209999999999994</v>
          </cell>
          <cell r="EK408">
            <v>64.844999999999999</v>
          </cell>
        </row>
        <row r="409">
          <cell r="A409">
            <v>92</v>
          </cell>
          <cell r="B409" t="str">
            <v>FG</v>
          </cell>
          <cell r="C409" t="str">
            <v>FM</v>
          </cell>
          <cell r="D409" t="str">
            <v>C10&gt;98%</v>
          </cell>
          <cell r="E409" t="str">
            <v>C10&gt;98%</v>
          </cell>
          <cell r="F409">
            <v>52.47</v>
          </cell>
          <cell r="O409">
            <v>31.68</v>
          </cell>
          <cell r="X409">
            <v>74.745000000000005</v>
          </cell>
          <cell r="AG409">
            <v>73.754999999999995</v>
          </cell>
          <cell r="AP409">
            <v>58.905000000000001</v>
          </cell>
          <cell r="AY409">
            <v>58.905000000000001</v>
          </cell>
          <cell r="BH409">
            <v>11.385</v>
          </cell>
          <cell r="BQ409">
            <v>5.4450000000000003</v>
          </cell>
          <cell r="BZ409">
            <v>128.20500000000001</v>
          </cell>
          <cell r="CI409">
            <v>26.24</v>
          </cell>
          <cell r="CR409">
            <v>20.3</v>
          </cell>
          <cell r="DA409">
            <v>139.59</v>
          </cell>
          <cell r="DJ409">
            <v>157.41</v>
          </cell>
          <cell r="DS409">
            <v>122.265</v>
          </cell>
          <cell r="EB409">
            <v>112.36499999999999</v>
          </cell>
          <cell r="EK409">
            <v>93.06</v>
          </cell>
        </row>
        <row r="410">
          <cell r="A410">
            <v>93</v>
          </cell>
          <cell r="B410" t="str">
            <v>FG</v>
          </cell>
          <cell r="C410" t="str">
            <v>FM</v>
          </cell>
          <cell r="D410" t="str">
            <v>C8+C10&gt;98%</v>
          </cell>
          <cell r="E410" t="str">
            <v>C8+C10&gt;98%</v>
          </cell>
          <cell r="F410">
            <v>123.04164999999999</v>
          </cell>
          <cell r="G410">
            <v>111.00999999999999</v>
          </cell>
          <cell r="O410">
            <v>122.37835</v>
          </cell>
          <cell r="P410">
            <v>108.63</v>
          </cell>
          <cell r="X410">
            <v>172.78915000000001</v>
          </cell>
          <cell r="Y410">
            <v>285.26</v>
          </cell>
          <cell r="AG410">
            <v>140.95075</v>
          </cell>
          <cell r="AH410">
            <v>325.20999999999998</v>
          </cell>
          <cell r="AI410">
            <v>48.16</v>
          </cell>
          <cell r="AP410">
            <v>122.37835</v>
          </cell>
          <cell r="AQ410">
            <v>60.01</v>
          </cell>
          <cell r="AR410">
            <v>505.82</v>
          </cell>
          <cell r="AY410">
            <v>122.0467</v>
          </cell>
          <cell r="AZ410">
            <v>60.86</v>
          </cell>
          <cell r="BH410">
            <v>123.1953</v>
          </cell>
          <cell r="BI410">
            <v>60.86</v>
          </cell>
          <cell r="BQ410">
            <v>107.952</v>
          </cell>
          <cell r="BR410">
            <v>60.86</v>
          </cell>
          <cell r="BZ410">
            <v>218.68700000000001</v>
          </cell>
          <cell r="CA410">
            <v>60.86</v>
          </cell>
          <cell r="CI410">
            <v>204.76</v>
          </cell>
          <cell r="CJ410">
            <v>60.86</v>
          </cell>
          <cell r="CS410">
            <v>62.14</v>
          </cell>
          <cell r="DA410">
            <v>104.59</v>
          </cell>
          <cell r="DJ410">
            <v>35.49</v>
          </cell>
          <cell r="DK410">
            <v>62.14</v>
          </cell>
          <cell r="DS410">
            <v>35.486049999999999</v>
          </cell>
          <cell r="DT410">
            <v>52.53</v>
          </cell>
          <cell r="EB410">
            <v>127.3531</v>
          </cell>
          <cell r="EC410">
            <v>52.53</v>
          </cell>
          <cell r="EK410">
            <v>126.35814999999999</v>
          </cell>
          <cell r="EL410">
            <v>52.53</v>
          </cell>
        </row>
        <row r="411">
          <cell r="A411">
            <v>94</v>
          </cell>
          <cell r="B411" t="str">
            <v>FG</v>
          </cell>
          <cell r="C411" t="str">
            <v>FM</v>
          </cell>
          <cell r="D411" t="str">
            <v>C12&gt;99%</v>
          </cell>
          <cell r="E411" t="str">
            <v>C12&gt;99%</v>
          </cell>
          <cell r="I411">
            <v>425</v>
          </cell>
          <cell r="J411">
            <v>13.12</v>
          </cell>
          <cell r="Q411">
            <v>997.39</v>
          </cell>
          <cell r="R411">
            <v>425</v>
          </cell>
          <cell r="S411">
            <v>13.12</v>
          </cell>
          <cell r="Z411">
            <v>997.39</v>
          </cell>
          <cell r="AA411">
            <v>414</v>
          </cell>
          <cell r="AI411">
            <v>858.09</v>
          </cell>
          <cell r="AJ411">
            <v>413.9</v>
          </cell>
          <cell r="AR411">
            <v>1.28</v>
          </cell>
          <cell r="AS411">
            <v>399.15599999999995</v>
          </cell>
          <cell r="BA411">
            <v>1.28</v>
          </cell>
          <cell r="BB411">
            <v>384.44057142857139</v>
          </cell>
          <cell r="BJ411">
            <v>1.2799999999999159</v>
          </cell>
          <cell r="BK411">
            <v>367.88571428571424</v>
          </cell>
          <cell r="BO411">
            <v>15.87</v>
          </cell>
          <cell r="BS411">
            <v>1500.49</v>
          </cell>
          <cell r="BT411">
            <v>367.88571428571424</v>
          </cell>
          <cell r="CB411">
            <v>1180.1300000000001</v>
          </cell>
          <cell r="CC411">
            <v>367.88571428571424</v>
          </cell>
          <cell r="CG411">
            <v>74.39</v>
          </cell>
          <cell r="CL411">
            <v>353.2</v>
          </cell>
          <cell r="CU411">
            <v>353.2</v>
          </cell>
          <cell r="DD411">
            <v>340.3</v>
          </cell>
          <cell r="DH411">
            <v>35</v>
          </cell>
          <cell r="DM411">
            <v>321.89999999999998</v>
          </cell>
          <cell r="DV411">
            <v>289.70999999999998</v>
          </cell>
          <cell r="EE411">
            <v>252.85928571428573</v>
          </cell>
          <cell r="EN411">
            <v>228.62357142857147</v>
          </cell>
        </row>
        <row r="412">
          <cell r="A412">
            <v>95</v>
          </cell>
          <cell r="B412" t="str">
            <v>FG</v>
          </cell>
          <cell r="C412" t="str">
            <v>FM</v>
          </cell>
          <cell r="D412" t="str">
            <v>C14&gt;99%</v>
          </cell>
          <cell r="E412" t="str">
            <v>C14&gt;99%</v>
          </cell>
        </row>
        <row r="413">
          <cell r="A413">
            <v>96</v>
          </cell>
          <cell r="B413" t="str">
            <v>FG</v>
          </cell>
          <cell r="C413" t="str">
            <v>FM</v>
          </cell>
          <cell r="D413" t="str">
            <v>C12+14&gt;99</v>
          </cell>
          <cell r="E413" t="str">
            <v>C12-C14</v>
          </cell>
          <cell r="I413">
            <v>923.2</v>
          </cell>
          <cell r="R413">
            <v>1096.8</v>
          </cell>
          <cell r="AA413">
            <v>951.9</v>
          </cell>
          <cell r="AJ413">
            <v>297.8</v>
          </cell>
          <cell r="AS413">
            <v>129.71700000000001</v>
          </cell>
          <cell r="BB413">
            <v>129.71700000000001</v>
          </cell>
          <cell r="BK413">
            <v>529.79999999999995</v>
          </cell>
          <cell r="BT413">
            <v>627.53300000000002</v>
          </cell>
          <cell r="CC413">
            <v>32.885999999999946</v>
          </cell>
          <cell r="CL413">
            <v>171.4</v>
          </cell>
          <cell r="CU413">
            <v>351.7</v>
          </cell>
          <cell r="DD413">
            <v>285</v>
          </cell>
          <cell r="DM413">
            <v>330.7</v>
          </cell>
          <cell r="DV413">
            <v>1406.8</v>
          </cell>
          <cell r="EE413">
            <v>998.1</v>
          </cell>
          <cell r="EN413">
            <v>1261.3</v>
          </cell>
        </row>
        <row r="414">
          <cell r="A414">
            <v>248</v>
          </cell>
          <cell r="B414" t="str">
            <v>FG</v>
          </cell>
          <cell r="C414" t="str">
            <v>FM</v>
          </cell>
          <cell r="D414" t="str">
            <v>C12+14&gt;99 (IMP)</v>
          </cell>
          <cell r="E414" t="str">
            <v>C12-C14 (IMP)</v>
          </cell>
          <cell r="H414">
            <v>997.39</v>
          </cell>
        </row>
        <row r="415">
          <cell r="A415">
            <v>97</v>
          </cell>
          <cell r="B415" t="str">
            <v>FG</v>
          </cell>
          <cell r="C415" t="str">
            <v>FM</v>
          </cell>
          <cell r="D415" t="str">
            <v>C12+C14+C16&gt;99</v>
          </cell>
          <cell r="E415" t="str">
            <v>C12-C16</v>
          </cell>
          <cell r="AS415">
            <v>204.624</v>
          </cell>
          <cell r="BB415">
            <v>23.750999999999948</v>
          </cell>
          <cell r="BK415">
            <v>1112.5999999999999</v>
          </cell>
          <cell r="BT415">
            <v>1178.4000000000001</v>
          </cell>
          <cell r="CC415">
            <v>1173.8</v>
          </cell>
          <cell r="CL415">
            <v>772.8</v>
          </cell>
          <cell r="CU415">
            <v>1207.5999999999999</v>
          </cell>
          <cell r="DD415">
            <v>1207.5999999999999</v>
          </cell>
          <cell r="DM415">
            <v>926.3</v>
          </cell>
          <cell r="DV415">
            <v>528.91649999999993</v>
          </cell>
          <cell r="EE415">
            <v>528.91649999999993</v>
          </cell>
          <cell r="EN415">
            <v>583.72649999999999</v>
          </cell>
        </row>
        <row r="416">
          <cell r="A416">
            <v>98</v>
          </cell>
          <cell r="B416" t="str">
            <v>FG</v>
          </cell>
          <cell r="C416" t="str">
            <v>FM</v>
          </cell>
          <cell r="D416" t="str">
            <v>C16&gt;90%</v>
          </cell>
          <cell r="E416" t="str">
            <v>C16&gt;90%</v>
          </cell>
        </row>
        <row r="417">
          <cell r="A417">
            <v>99</v>
          </cell>
          <cell r="B417" t="str">
            <v>FG</v>
          </cell>
          <cell r="C417" t="str">
            <v>FM</v>
          </cell>
          <cell r="D417" t="str">
            <v>C16&gt;99%</v>
          </cell>
          <cell r="E417" t="str">
            <v>C16&gt;99%</v>
          </cell>
          <cell r="BO417">
            <v>19.79</v>
          </cell>
          <cell r="BT417">
            <v>178.669725</v>
          </cell>
          <cell r="BX417">
            <v>158.6</v>
          </cell>
          <cell r="BZ417">
            <v>7.92</v>
          </cell>
          <cell r="CC417">
            <v>328.23</v>
          </cell>
          <cell r="CL417">
            <v>1.8</v>
          </cell>
          <cell r="CP417">
            <v>15</v>
          </cell>
          <cell r="CU417">
            <v>4.8</v>
          </cell>
          <cell r="DD417">
            <v>35.1</v>
          </cell>
          <cell r="DM417">
            <v>215.3</v>
          </cell>
          <cell r="DQ417">
            <v>60</v>
          </cell>
          <cell r="DV417">
            <v>274.67142857142858</v>
          </cell>
          <cell r="EE417">
            <v>475.02</v>
          </cell>
          <cell r="EN417">
            <v>164.43</v>
          </cell>
        </row>
        <row r="418">
          <cell r="A418">
            <v>100</v>
          </cell>
          <cell r="B418" t="str">
            <v>FG</v>
          </cell>
          <cell r="C418" t="str">
            <v>FM</v>
          </cell>
          <cell r="D418" t="str">
            <v>DFA C16/C18</v>
          </cell>
          <cell r="E418" t="str">
            <v>DFA C16/C18</v>
          </cell>
          <cell r="CK418">
            <v>1126.0719999999999</v>
          </cell>
          <cell r="CT418">
            <v>1126.0719999999999</v>
          </cell>
          <cell r="DC418">
            <v>997.46199999999999</v>
          </cell>
          <cell r="DL418">
            <v>457.642</v>
          </cell>
          <cell r="DQ418">
            <v>110</v>
          </cell>
          <cell r="DU418">
            <v>376.072</v>
          </cell>
          <cell r="ED418">
            <v>376.07200000000012</v>
          </cell>
          <cell r="EM418">
            <v>22.812000000000126</v>
          </cell>
          <cell r="ER418">
            <v>120.63</v>
          </cell>
        </row>
        <row r="419">
          <cell r="A419">
            <v>101</v>
          </cell>
          <cell r="B419" t="str">
            <v>FG</v>
          </cell>
          <cell r="C419" t="str">
            <v>FM</v>
          </cell>
          <cell r="D419" t="str">
            <v>C18&gt;95%</v>
          </cell>
          <cell r="E419" t="str">
            <v>C18&gt;95%</v>
          </cell>
          <cell r="H419">
            <v>1028.9000000000001</v>
          </cell>
          <cell r="Q419">
            <v>1028.9000000000001</v>
          </cell>
          <cell r="AI419">
            <v>1028.9000000000001</v>
          </cell>
          <cell r="AR419">
            <v>1028.9000000000001</v>
          </cell>
          <cell r="BA419">
            <v>1028.9000000000001</v>
          </cell>
          <cell r="BS419">
            <v>771.26</v>
          </cell>
          <cell r="CB419">
            <v>1748.33</v>
          </cell>
          <cell r="DU419">
            <v>2128.15</v>
          </cell>
          <cell r="DV419">
            <v>78.560999999999993</v>
          </cell>
          <cell r="ED419">
            <v>1619.68</v>
          </cell>
          <cell r="EE419">
            <v>36.366</v>
          </cell>
          <cell r="EM419">
            <v>1619.68</v>
          </cell>
          <cell r="EN419">
            <v>36.366</v>
          </cell>
        </row>
        <row r="420">
          <cell r="A420">
            <v>102</v>
          </cell>
          <cell r="B420" t="str">
            <v>FG</v>
          </cell>
          <cell r="C420" t="str">
            <v>FM</v>
          </cell>
          <cell r="D420" t="str">
            <v>OLEIC-K</v>
          </cell>
          <cell r="E420" t="str">
            <v>OLEIC-K</v>
          </cell>
          <cell r="F420">
            <v>272.85000000000002</v>
          </cell>
          <cell r="O420">
            <v>413.02</v>
          </cell>
          <cell r="X420">
            <v>291.04000000000002</v>
          </cell>
          <cell r="AG420">
            <v>240.75</v>
          </cell>
          <cell r="AP420">
            <v>383.06</v>
          </cell>
          <cell r="AY420">
            <v>418.37</v>
          </cell>
          <cell r="BH420">
            <v>222.56</v>
          </cell>
          <cell r="BQ420">
            <v>70.62</v>
          </cell>
          <cell r="BT420">
            <v>468.99</v>
          </cell>
          <cell r="BZ420">
            <v>22.47</v>
          </cell>
          <cell r="CC420">
            <v>427.08865500000002</v>
          </cell>
          <cell r="CI420">
            <v>67.41</v>
          </cell>
          <cell r="CL420">
            <v>427.1</v>
          </cell>
          <cell r="CR420">
            <v>13.19</v>
          </cell>
          <cell r="DA420">
            <v>5.35</v>
          </cell>
          <cell r="DJ420">
            <v>88.81</v>
          </cell>
          <cell r="DS420">
            <v>154.08000000000001</v>
          </cell>
          <cell r="EB420">
            <v>59.92</v>
          </cell>
          <cell r="EK420">
            <v>129.47</v>
          </cell>
        </row>
        <row r="421">
          <cell r="A421">
            <v>103</v>
          </cell>
          <cell r="B421" t="str">
            <v>FG</v>
          </cell>
          <cell r="C421" t="str">
            <v>FM</v>
          </cell>
          <cell r="D421" t="str">
            <v>C16+C18(30:70)TA</v>
          </cell>
          <cell r="E421" t="str">
            <v>C16-C18</v>
          </cell>
          <cell r="CI421">
            <v>286.24</v>
          </cell>
          <cell r="CR421">
            <v>382.18</v>
          </cell>
          <cell r="DA421">
            <v>280.13</v>
          </cell>
          <cell r="DD421">
            <v>430.4</v>
          </cell>
          <cell r="DH421">
            <v>80</v>
          </cell>
          <cell r="DM421">
            <v>594.1</v>
          </cell>
          <cell r="DV421">
            <v>31.270285714285762</v>
          </cell>
          <cell r="DZ421">
            <v>213</v>
          </cell>
          <cell r="EE421">
            <v>86.453142857142836</v>
          </cell>
        </row>
        <row r="422">
          <cell r="A422">
            <v>104</v>
          </cell>
          <cell r="B422" t="str">
            <v>FG</v>
          </cell>
          <cell r="C422" t="str">
            <v>FM</v>
          </cell>
          <cell r="D422" t="str">
            <v>HYD.RBDPS-G3</v>
          </cell>
          <cell r="E422" t="str">
            <v>HYD.RBDPS</v>
          </cell>
          <cell r="I422">
            <v>285.3</v>
          </cell>
          <cell r="R422">
            <v>156</v>
          </cell>
          <cell r="AA422">
            <v>78.199999999999989</v>
          </cell>
          <cell r="AJ422">
            <v>71.7</v>
          </cell>
          <cell r="AS422">
            <v>37.323</v>
          </cell>
          <cell r="BB422">
            <v>37.323</v>
          </cell>
          <cell r="BK422">
            <v>37.323</v>
          </cell>
          <cell r="BT422">
            <v>38.799999999999997</v>
          </cell>
          <cell r="DM422">
            <v>119.2</v>
          </cell>
          <cell r="DV422">
            <v>125.889</v>
          </cell>
          <cell r="DZ422">
            <v>15.31</v>
          </cell>
          <cell r="EE422">
            <v>32.19</v>
          </cell>
          <cell r="EN422">
            <v>0.3</v>
          </cell>
        </row>
        <row r="423">
          <cell r="A423">
            <v>105</v>
          </cell>
          <cell r="B423" t="str">
            <v>FG</v>
          </cell>
          <cell r="C423" t="str">
            <v>SM</v>
          </cell>
          <cell r="D423" t="str">
            <v>L/E MUSTARD C1820</v>
          </cell>
          <cell r="E423" t="str">
            <v>DFA C18C20 MFA</v>
          </cell>
          <cell r="AA423">
            <v>1126.8</v>
          </cell>
          <cell r="AJ423">
            <v>1180.5</v>
          </cell>
          <cell r="AS423">
            <v>1195</v>
          </cell>
          <cell r="BB423">
            <v>1175.8</v>
          </cell>
          <cell r="BK423">
            <v>1163.2</v>
          </cell>
          <cell r="BS423">
            <v>921.19</v>
          </cell>
          <cell r="BT423">
            <v>169.01490000000001</v>
          </cell>
          <cell r="CC423">
            <v>248.5</v>
          </cell>
          <cell r="CL423">
            <v>397</v>
          </cell>
          <cell r="CT423">
            <v>1577.68</v>
          </cell>
          <cell r="CU423">
            <v>486.8</v>
          </cell>
          <cell r="CY423">
            <v>14.96</v>
          </cell>
          <cell r="DC423">
            <v>1561.78</v>
          </cell>
          <cell r="DD423">
            <v>757.30000000000007</v>
          </cell>
          <cell r="DL423">
            <v>1859.6</v>
          </cell>
          <cell r="DM423">
            <v>394</v>
          </cell>
          <cell r="DV423">
            <v>192.27</v>
          </cell>
          <cell r="EE423">
            <v>192.27</v>
          </cell>
          <cell r="EN423">
            <v>187.01892857142857</v>
          </cell>
        </row>
        <row r="424">
          <cell r="A424">
            <v>106</v>
          </cell>
          <cell r="B424" t="str">
            <v>FG</v>
          </cell>
          <cell r="C424" t="str">
            <v>SM</v>
          </cell>
          <cell r="D424" t="str">
            <v>L/E MUSTARD UPTO C18 (OLEIC 15)</v>
          </cell>
          <cell r="E424" t="str">
            <v>DFA C18 PURE MFA (OLEIC 15)</v>
          </cell>
          <cell r="I424">
            <v>589.20000000000005</v>
          </cell>
          <cell r="R424">
            <v>725</v>
          </cell>
          <cell r="Z424">
            <v>1028.9000000000001</v>
          </cell>
          <cell r="BJ424">
            <v>997.05</v>
          </cell>
          <cell r="BO424">
            <v>8.58</v>
          </cell>
          <cell r="CK424">
            <v>1657.08</v>
          </cell>
        </row>
        <row r="425">
          <cell r="A425">
            <v>107</v>
          </cell>
          <cell r="B425" t="str">
            <v>FG</v>
          </cell>
          <cell r="C425" t="str">
            <v>SM</v>
          </cell>
          <cell r="D425" t="str">
            <v>DC20+22&gt;98%</v>
          </cell>
          <cell r="E425" t="str">
            <v>C20-C22</v>
          </cell>
          <cell r="AA425">
            <v>173</v>
          </cell>
          <cell r="AS425">
            <v>65.77200000000002</v>
          </cell>
          <cell r="BB425">
            <v>65.77200000000002</v>
          </cell>
          <cell r="BK425">
            <v>65.77200000000002</v>
          </cell>
          <cell r="CC425">
            <v>137.02500000000001</v>
          </cell>
          <cell r="DV425">
            <v>315.58799999999997</v>
          </cell>
          <cell r="EE425">
            <v>286.23</v>
          </cell>
          <cell r="EN425">
            <v>285.58619999999996</v>
          </cell>
        </row>
        <row r="426">
          <cell r="A426">
            <v>108</v>
          </cell>
          <cell r="B426" t="str">
            <v>FG</v>
          </cell>
          <cell r="C426" t="str">
            <v>FM</v>
          </cell>
          <cell r="D426" t="str">
            <v>DC22:1&gt;90%</v>
          </cell>
          <cell r="E426" t="str">
            <v>ERUCIC</v>
          </cell>
          <cell r="I426">
            <v>167.1</v>
          </cell>
          <cell r="R426">
            <v>261</v>
          </cell>
          <cell r="AA426">
            <v>200.5</v>
          </cell>
          <cell r="AJ426">
            <v>341.4</v>
          </cell>
          <cell r="AS426">
            <v>372.6</v>
          </cell>
          <cell r="BB426">
            <v>350.6</v>
          </cell>
          <cell r="BF426">
            <v>8</v>
          </cell>
          <cell r="BK426">
            <v>288.83999999999997</v>
          </cell>
          <cell r="BT426">
            <v>248.82</v>
          </cell>
          <cell r="CC426">
            <v>288.59640000000002</v>
          </cell>
          <cell r="CL426">
            <v>452.7</v>
          </cell>
          <cell r="CU426">
            <v>452.7</v>
          </cell>
          <cell r="DD426">
            <v>452.6</v>
          </cell>
          <cell r="DM426">
            <v>533.69999999999993</v>
          </cell>
          <cell r="DV426">
            <v>545.88</v>
          </cell>
          <cell r="EE426">
            <v>446.7</v>
          </cell>
          <cell r="EN426">
            <v>344.8</v>
          </cell>
        </row>
        <row r="427">
          <cell r="A427">
            <v>109</v>
          </cell>
          <cell r="B427" t="str">
            <v>FG</v>
          </cell>
          <cell r="C427" t="str">
            <v>FM</v>
          </cell>
          <cell r="D427" t="str">
            <v>D C18/C22 - R</v>
          </cell>
          <cell r="E427" t="str">
            <v>D C18/C22 - R</v>
          </cell>
          <cell r="G427">
            <v>895.37840000000006</v>
          </cell>
          <cell r="P427">
            <v>898.09100000000001</v>
          </cell>
          <cell r="Y427">
            <v>898.09100000000001</v>
          </cell>
          <cell r="AH427">
            <v>911.654</v>
          </cell>
          <cell r="AQ427">
            <v>884.52800000000002</v>
          </cell>
          <cell r="AZ427">
            <v>895.37840000000006</v>
          </cell>
          <cell r="BI427">
            <v>895.37840000000006</v>
          </cell>
          <cell r="BR427">
            <v>895.37840000000006</v>
          </cell>
          <cell r="CA427">
            <v>895.37840000000006</v>
          </cell>
          <cell r="DT427">
            <v>895.37840000000006</v>
          </cell>
          <cell r="EC427">
            <v>1074.4100000000001</v>
          </cell>
          <cell r="EL427">
            <v>1242.5911999999998</v>
          </cell>
        </row>
        <row r="428">
          <cell r="A428">
            <v>110</v>
          </cell>
          <cell r="B428" t="str">
            <v>FG</v>
          </cell>
          <cell r="C428" t="str">
            <v>FM</v>
          </cell>
          <cell r="D428" t="str">
            <v>BEHENIC-90</v>
          </cell>
          <cell r="E428" t="str">
            <v>BEHENIC-90</v>
          </cell>
          <cell r="AA428">
            <v>31.3</v>
          </cell>
          <cell r="AS428">
            <v>240.8</v>
          </cell>
          <cell r="BB428">
            <v>136.99</v>
          </cell>
          <cell r="BF428">
            <v>90</v>
          </cell>
          <cell r="BK428">
            <v>239.8</v>
          </cell>
          <cell r="BT428">
            <v>248.58199999999999</v>
          </cell>
          <cell r="CC428">
            <v>141.75700000000001</v>
          </cell>
        </row>
        <row r="429">
          <cell r="A429">
            <v>111</v>
          </cell>
          <cell r="B429" t="str">
            <v>FG</v>
          </cell>
          <cell r="C429" t="str">
            <v>FM</v>
          </cell>
          <cell r="D429" t="str">
            <v>BEHENIC-75</v>
          </cell>
          <cell r="E429" t="str">
            <v>BEHENIC-75</v>
          </cell>
        </row>
        <row r="430">
          <cell r="A430">
            <v>112</v>
          </cell>
          <cell r="B430" t="str">
            <v>FG</v>
          </cell>
          <cell r="C430" t="str">
            <v>FM</v>
          </cell>
          <cell r="D430" t="str">
            <v>BEHENIC-85</v>
          </cell>
          <cell r="E430" t="str">
            <v>BEHENIC-85</v>
          </cell>
        </row>
        <row r="431">
          <cell r="A431">
            <v>113</v>
          </cell>
          <cell r="B431" t="str">
            <v>FG</v>
          </cell>
          <cell r="C431" t="str">
            <v>FM</v>
          </cell>
          <cell r="D431" t="str">
            <v>UTSR</v>
          </cell>
          <cell r="E431" t="str">
            <v>UTSR</v>
          </cell>
          <cell r="F431">
            <v>13.491</v>
          </cell>
          <cell r="O431">
            <v>14.173</v>
          </cell>
          <cell r="X431">
            <v>99</v>
          </cell>
          <cell r="BH431">
            <v>14.855</v>
          </cell>
          <cell r="BQ431">
            <v>9.0579999999999998</v>
          </cell>
          <cell r="BT431">
            <v>18.7</v>
          </cell>
          <cell r="CI431">
            <v>48.48</v>
          </cell>
          <cell r="DA431">
            <v>60.01</v>
          </cell>
          <cell r="DD431">
            <v>48.1</v>
          </cell>
          <cell r="DJ431">
            <v>146.39000000000001</v>
          </cell>
          <cell r="DS431">
            <v>170.28</v>
          </cell>
          <cell r="EK431">
            <v>41.085000000000001</v>
          </cell>
        </row>
        <row r="432">
          <cell r="A432">
            <v>114</v>
          </cell>
          <cell r="B432" t="str">
            <v>FG</v>
          </cell>
          <cell r="C432" t="str">
            <v>FM</v>
          </cell>
          <cell r="D432" t="str">
            <v>P-12</v>
          </cell>
          <cell r="E432" t="str">
            <v>P-12</v>
          </cell>
          <cell r="DS432">
            <v>94.5</v>
          </cell>
          <cell r="EE432">
            <v>6.96</v>
          </cell>
        </row>
        <row r="433">
          <cell r="A433">
            <v>115</v>
          </cell>
          <cell r="B433" t="str">
            <v>FG</v>
          </cell>
          <cell r="C433" t="str">
            <v>FM</v>
          </cell>
          <cell r="D433" t="str">
            <v>DTP-7</v>
          </cell>
          <cell r="E433" t="str">
            <v>DTP-7</v>
          </cell>
          <cell r="I433">
            <v>105.5</v>
          </cell>
          <cell r="R433">
            <v>54.8</v>
          </cell>
          <cell r="AA433">
            <v>23.1</v>
          </cell>
          <cell r="AS433">
            <v>65.597999999999999</v>
          </cell>
          <cell r="BB433">
            <v>29.58</v>
          </cell>
          <cell r="CC433">
            <v>194.38410000000002</v>
          </cell>
          <cell r="CU433">
            <v>85.6</v>
          </cell>
          <cell r="DD433">
            <v>259.10000000000002</v>
          </cell>
          <cell r="DM433">
            <v>34.799999999999997</v>
          </cell>
          <cell r="EE433">
            <v>248.21100000000001</v>
          </cell>
        </row>
        <row r="434">
          <cell r="A434">
            <v>116</v>
          </cell>
          <cell r="B434" t="str">
            <v>FG</v>
          </cell>
          <cell r="C434" t="str">
            <v>FM</v>
          </cell>
          <cell r="D434" t="str">
            <v>DTP-CT</v>
          </cell>
          <cell r="E434" t="str">
            <v>DTP-CT</v>
          </cell>
          <cell r="CL434">
            <v>100.7</v>
          </cell>
          <cell r="CU434">
            <v>42</v>
          </cell>
        </row>
        <row r="435">
          <cell r="A435">
            <v>117</v>
          </cell>
          <cell r="B435" t="str">
            <v>FG</v>
          </cell>
          <cell r="C435" t="str">
            <v>FM</v>
          </cell>
          <cell r="D435" t="str">
            <v>REFINED GLYCERINE-CP</v>
          </cell>
          <cell r="E435" t="str">
            <v>REFINED GLYCERINE-CP</v>
          </cell>
          <cell r="K435">
            <v>25.989000000000001</v>
          </cell>
          <cell r="O435">
            <v>3.9950000000000001</v>
          </cell>
          <cell r="S435">
            <v>57.988999999999997</v>
          </cell>
          <cell r="T435">
            <v>25.989000000000001</v>
          </cell>
          <cell r="X435">
            <v>12.925000000000001</v>
          </cell>
          <cell r="AB435">
            <v>58.167999999999999</v>
          </cell>
          <cell r="AC435">
            <v>25.989000000000001</v>
          </cell>
          <cell r="AG435">
            <v>12.93</v>
          </cell>
          <cell r="AK435">
            <v>116.52200000000001</v>
          </cell>
          <cell r="AP435">
            <v>12.925000000000001</v>
          </cell>
          <cell r="AT435">
            <v>51.417000000000002</v>
          </cell>
          <cell r="AY435">
            <v>12.925000000000001</v>
          </cell>
          <cell r="BC435">
            <v>103.258</v>
          </cell>
          <cell r="BH435">
            <v>12.925000000000001</v>
          </cell>
          <cell r="BL435">
            <v>40.999000000000002</v>
          </cell>
          <cell r="BQ435">
            <v>12.925000000000001</v>
          </cell>
          <cell r="BU435">
            <v>45.100999999999999</v>
          </cell>
          <cell r="BZ435">
            <v>7.05</v>
          </cell>
          <cell r="CD435">
            <v>66.727000000000004</v>
          </cell>
          <cell r="CI435">
            <v>12.93</v>
          </cell>
          <cell r="CR435">
            <v>12.93</v>
          </cell>
          <cell r="DA435">
            <v>12.93</v>
          </cell>
          <cell r="DS435">
            <v>12.925000000000001</v>
          </cell>
          <cell r="DW435">
            <v>56.709000000000003</v>
          </cell>
          <cell r="EB435">
            <v>12.925000000000001</v>
          </cell>
          <cell r="EK435">
            <v>18.8</v>
          </cell>
          <cell r="EO435">
            <v>83.37</v>
          </cell>
        </row>
        <row r="436">
          <cell r="A436">
            <v>118</v>
          </cell>
          <cell r="B436" t="str">
            <v>FG</v>
          </cell>
          <cell r="C436" t="str">
            <v>FM</v>
          </cell>
          <cell r="D436" t="str">
            <v>REFINED GLYCERINE-IP</v>
          </cell>
          <cell r="E436" t="str">
            <v>REFINED GLYCERINE-IP</v>
          </cell>
          <cell r="S436">
            <v>42.863</v>
          </cell>
          <cell r="AB436">
            <v>12.646000000000001</v>
          </cell>
          <cell r="AK436">
            <v>32.323</v>
          </cell>
          <cell r="AT436">
            <v>31.100999999999999</v>
          </cell>
          <cell r="BC436">
            <v>26.100999999999999</v>
          </cell>
          <cell r="BL436">
            <v>114.31699999999999</v>
          </cell>
          <cell r="BU436">
            <v>76.763000000000005</v>
          </cell>
          <cell r="CD436">
            <v>66.058999999999997</v>
          </cell>
          <cell r="DW436">
            <v>72.259</v>
          </cell>
          <cell r="EO436">
            <v>28.314</v>
          </cell>
        </row>
        <row r="437">
          <cell r="A437">
            <v>119</v>
          </cell>
          <cell r="B437" t="str">
            <v>FG</v>
          </cell>
          <cell r="C437" t="str">
            <v>FM</v>
          </cell>
          <cell r="D437" t="str">
            <v>REFINED GLYCERINE-USP</v>
          </cell>
          <cell r="E437" t="str">
            <v>REFINED GLYCERINE-USP</v>
          </cell>
          <cell r="F437">
            <v>18.2</v>
          </cell>
          <cell r="O437">
            <v>37</v>
          </cell>
          <cell r="X437">
            <v>45.07</v>
          </cell>
          <cell r="AG437">
            <v>35.5</v>
          </cell>
          <cell r="AP437">
            <v>63.82</v>
          </cell>
          <cell r="AY437">
            <v>86.16</v>
          </cell>
          <cell r="BH437">
            <v>43.33</v>
          </cell>
          <cell r="BQ437">
            <v>101.47</v>
          </cell>
          <cell r="BZ437">
            <v>78.39</v>
          </cell>
          <cell r="CD437">
            <v>71.325999999999993</v>
          </cell>
          <cell r="CI437">
            <v>59.13</v>
          </cell>
          <cell r="CR437">
            <v>67.990000000000009</v>
          </cell>
          <cell r="DA437">
            <v>39.93</v>
          </cell>
          <cell r="DJ437">
            <v>55.05</v>
          </cell>
          <cell r="DS437">
            <v>36.79</v>
          </cell>
          <cell r="EB437">
            <v>60.61</v>
          </cell>
          <cell r="EK437">
            <v>19.25</v>
          </cell>
        </row>
        <row r="438">
          <cell r="A438">
            <v>120</v>
          </cell>
          <cell r="B438" t="str">
            <v>FG</v>
          </cell>
          <cell r="C438" t="str">
            <v>FM</v>
          </cell>
          <cell r="D438" t="str">
            <v>REFINED GLYCERINE-JP</v>
          </cell>
          <cell r="E438" t="str">
            <v>REFINED GLYCERINE-JP</v>
          </cell>
          <cell r="F438">
            <v>6</v>
          </cell>
          <cell r="O438">
            <v>5</v>
          </cell>
          <cell r="X438">
            <v>6</v>
          </cell>
          <cell r="AG438">
            <v>6</v>
          </cell>
          <cell r="AP438">
            <v>6</v>
          </cell>
          <cell r="AY438">
            <v>7</v>
          </cell>
          <cell r="BH438">
            <v>7</v>
          </cell>
          <cell r="BQ438">
            <v>6</v>
          </cell>
          <cell r="BZ438">
            <v>6</v>
          </cell>
          <cell r="CI438">
            <v>6</v>
          </cell>
          <cell r="CR438">
            <v>6</v>
          </cell>
          <cell r="DA438">
            <v>17</v>
          </cell>
          <cell r="DJ438">
            <v>17</v>
          </cell>
          <cell r="DS438">
            <v>17</v>
          </cell>
          <cell r="EB438">
            <v>16</v>
          </cell>
          <cell r="EK438">
            <v>17</v>
          </cell>
        </row>
        <row r="439">
          <cell r="A439">
            <v>238</v>
          </cell>
          <cell r="B439" t="str">
            <v>FG</v>
          </cell>
          <cell r="C439" t="str">
            <v>FM</v>
          </cell>
          <cell r="D439" t="str">
            <v>DFA C18/C22 C22:1</v>
          </cell>
          <cell r="E439" t="str">
            <v>DFA C18/C22 C22:1</v>
          </cell>
        </row>
        <row r="440">
          <cell r="A440">
            <v>243</v>
          </cell>
          <cell r="B440" t="str">
            <v>FG</v>
          </cell>
          <cell r="C440" t="str">
            <v>FM</v>
          </cell>
          <cell r="D440" t="str">
            <v>STEARIC-90</v>
          </cell>
          <cell r="E440" t="str">
            <v>STEARIC-90</v>
          </cell>
        </row>
        <row r="441">
          <cell r="A441">
            <v>245</v>
          </cell>
          <cell r="B441" t="str">
            <v>FG</v>
          </cell>
          <cell r="C441" t="str">
            <v>FM</v>
          </cell>
          <cell r="D441" t="str">
            <v>HPS</v>
          </cell>
          <cell r="E441" t="str">
            <v>HPS</v>
          </cell>
        </row>
        <row r="442">
          <cell r="A442">
            <v>249</v>
          </cell>
          <cell r="B442" t="str">
            <v>FG</v>
          </cell>
          <cell r="C442" t="str">
            <v>FM</v>
          </cell>
          <cell r="D442" t="str">
            <v>OLEIC - IG</v>
          </cell>
          <cell r="E442" t="str">
            <v>OLEIC - IG</v>
          </cell>
          <cell r="BB442">
            <v>17.5</v>
          </cell>
        </row>
        <row r="443">
          <cell r="F443">
            <v>807.44365000000005</v>
          </cell>
          <cell r="G443">
            <v>1006.3884</v>
          </cell>
          <cell r="H443">
            <v>2026.29</v>
          </cell>
          <cell r="I443">
            <v>2952.5000000000005</v>
          </cell>
          <cell r="J443">
            <v>18.34</v>
          </cell>
          <cell r="K443">
            <v>25.989000000000001</v>
          </cell>
          <cell r="L443">
            <v>0</v>
          </cell>
          <cell r="M443">
            <v>0</v>
          </cell>
          <cell r="N443">
            <v>0</v>
          </cell>
          <cell r="O443">
            <v>1045.6883499999999</v>
          </cell>
          <cell r="P443">
            <v>1006.721</v>
          </cell>
          <cell r="Q443">
            <v>2026.29</v>
          </cell>
          <cell r="R443">
            <v>3426.2</v>
          </cell>
          <cell r="S443">
            <v>156.398</v>
          </cell>
          <cell r="T443">
            <v>25.989000000000001</v>
          </cell>
          <cell r="U443">
            <v>0</v>
          </cell>
          <cell r="V443">
            <v>0</v>
          </cell>
          <cell r="W443">
            <v>0</v>
          </cell>
          <cell r="X443">
            <v>1046.40615</v>
          </cell>
          <cell r="Y443">
            <v>1183.3510000000001</v>
          </cell>
          <cell r="Z443">
            <v>2026.29</v>
          </cell>
          <cell r="AA443">
            <v>3554.5</v>
          </cell>
          <cell r="AB443">
            <v>184.142</v>
          </cell>
          <cell r="AC443">
            <v>25.989000000000001</v>
          </cell>
          <cell r="AD443">
            <v>0</v>
          </cell>
          <cell r="AE443">
            <v>0</v>
          </cell>
          <cell r="AF443">
            <v>0</v>
          </cell>
          <cell r="AG443">
            <v>908.67674999999997</v>
          </cell>
          <cell r="AH443">
            <v>1236.864</v>
          </cell>
          <cell r="AI443">
            <v>1935.15</v>
          </cell>
          <cell r="AJ443">
            <v>3058.4250000000002</v>
          </cell>
          <cell r="AK443">
            <v>148.845</v>
          </cell>
          <cell r="AL443">
            <v>0</v>
          </cell>
          <cell r="AM443">
            <v>0</v>
          </cell>
          <cell r="AN443">
            <v>75</v>
          </cell>
          <cell r="AO443">
            <v>0</v>
          </cell>
          <cell r="AP443">
            <v>1148.1707299999998</v>
          </cell>
          <cell r="AQ443">
            <v>944.53800000000001</v>
          </cell>
          <cell r="AR443">
            <v>1536</v>
          </cell>
          <cell r="AS443">
            <v>3311.0250499999997</v>
          </cell>
          <cell r="AT443">
            <v>238.114</v>
          </cell>
          <cell r="AU443">
            <v>0</v>
          </cell>
          <cell r="AV443">
            <v>0</v>
          </cell>
          <cell r="AW443">
            <v>30.99</v>
          </cell>
          <cell r="AX443">
            <v>0</v>
          </cell>
          <cell r="AY443">
            <v>1201.7655800000002</v>
          </cell>
          <cell r="AZ443">
            <v>956.23840000000007</v>
          </cell>
          <cell r="BA443">
            <v>1030.18</v>
          </cell>
          <cell r="BB443">
            <v>3014.6297214285714</v>
          </cell>
          <cell r="BC443">
            <v>303.536</v>
          </cell>
          <cell r="BD443">
            <v>0</v>
          </cell>
          <cell r="BE443">
            <v>0</v>
          </cell>
          <cell r="BF443">
            <v>162.88</v>
          </cell>
          <cell r="BG443">
            <v>0</v>
          </cell>
          <cell r="BH443">
            <v>913.82229999999993</v>
          </cell>
          <cell r="BI443">
            <v>956.23840000000007</v>
          </cell>
          <cell r="BJ443">
            <v>998.32999999999993</v>
          </cell>
          <cell r="BK443">
            <v>4481.7588142857148</v>
          </cell>
          <cell r="BL443">
            <v>346.11099999999999</v>
          </cell>
          <cell r="BM443">
            <v>0</v>
          </cell>
          <cell r="BN443">
            <v>0</v>
          </cell>
          <cell r="BO443">
            <v>78.239999999999995</v>
          </cell>
          <cell r="BP443">
            <v>0</v>
          </cell>
          <cell r="BQ443">
            <v>787.19499999999994</v>
          </cell>
          <cell r="BR443">
            <v>956.23840000000007</v>
          </cell>
          <cell r="BS443">
            <v>3192.94</v>
          </cell>
          <cell r="BT443">
            <v>3809.4881892857147</v>
          </cell>
          <cell r="BU443">
            <v>269.35000000000002</v>
          </cell>
          <cell r="BV443">
            <v>0</v>
          </cell>
          <cell r="BW443">
            <v>0</v>
          </cell>
          <cell r="BX443">
            <v>158.6</v>
          </cell>
          <cell r="BY443">
            <v>0</v>
          </cell>
          <cell r="BZ443">
            <v>950.26177999999993</v>
          </cell>
          <cell r="CA443">
            <v>1062.15616</v>
          </cell>
          <cell r="CB443">
            <v>2928.46</v>
          </cell>
          <cell r="CC443">
            <v>3795.4697692857144</v>
          </cell>
          <cell r="CD443">
            <v>276.82600000000002</v>
          </cell>
          <cell r="CE443">
            <v>0</v>
          </cell>
          <cell r="CF443">
            <v>0</v>
          </cell>
          <cell r="CG443">
            <v>314.48</v>
          </cell>
          <cell r="CH443">
            <v>0</v>
          </cell>
          <cell r="CI443">
            <v>1065.4000000000001</v>
          </cell>
          <cell r="CJ443">
            <v>227.88</v>
          </cell>
          <cell r="CK443">
            <v>2783.152</v>
          </cell>
          <cell r="CL443">
            <v>3298.2999999999997</v>
          </cell>
          <cell r="CM443">
            <v>93.298000000000002</v>
          </cell>
          <cell r="CN443">
            <v>0</v>
          </cell>
          <cell r="CO443">
            <v>0</v>
          </cell>
          <cell r="CP443">
            <v>35</v>
          </cell>
          <cell r="CQ443">
            <v>0</v>
          </cell>
          <cell r="CR443">
            <v>791.18</v>
          </cell>
          <cell r="CS443">
            <v>229.16000000000003</v>
          </cell>
          <cell r="CT443">
            <v>2703.752</v>
          </cell>
          <cell r="CU443">
            <v>3506.2000000000003</v>
          </cell>
          <cell r="CV443">
            <v>230.625</v>
          </cell>
          <cell r="CW443">
            <v>0</v>
          </cell>
          <cell r="CX443">
            <v>0</v>
          </cell>
          <cell r="CY443">
            <v>71.990000000000009</v>
          </cell>
          <cell r="CZ443">
            <v>0</v>
          </cell>
          <cell r="DA443">
            <v>1110.5900000000001</v>
          </cell>
          <cell r="DB443">
            <v>0</v>
          </cell>
          <cell r="DC443">
            <v>2559.2420000000002</v>
          </cell>
          <cell r="DD443">
            <v>4235.7</v>
          </cell>
          <cell r="DE443">
            <v>155.12900000000002</v>
          </cell>
          <cell r="DF443">
            <v>0</v>
          </cell>
          <cell r="DG443">
            <v>0</v>
          </cell>
          <cell r="DH443">
            <v>115</v>
          </cell>
          <cell r="DI443">
            <v>0</v>
          </cell>
          <cell r="DJ443">
            <v>1226.5700000000002</v>
          </cell>
          <cell r="DK443">
            <v>64.52</v>
          </cell>
          <cell r="DL443">
            <v>2317.2419999999997</v>
          </cell>
          <cell r="DM443">
            <v>3935.5</v>
          </cell>
          <cell r="DN443">
            <v>131.94900000000001</v>
          </cell>
          <cell r="DO443">
            <v>0</v>
          </cell>
          <cell r="DP443">
            <v>0</v>
          </cell>
          <cell r="DQ443">
            <v>170</v>
          </cell>
          <cell r="DR443">
            <v>0</v>
          </cell>
          <cell r="DS443">
            <v>909.60887999999989</v>
          </cell>
          <cell r="DT443">
            <v>1076.03</v>
          </cell>
          <cell r="DU443">
            <v>2504.2220000000002</v>
          </cell>
          <cell r="DV443">
            <v>4267.8282642857139</v>
          </cell>
          <cell r="DW443">
            <v>337.55799999999999</v>
          </cell>
          <cell r="DX443">
            <v>0</v>
          </cell>
          <cell r="DY443">
            <v>0</v>
          </cell>
          <cell r="DZ443">
            <v>228.31</v>
          </cell>
          <cell r="EA443">
            <v>0</v>
          </cell>
          <cell r="EB443">
            <v>646.88859999999988</v>
          </cell>
          <cell r="EC443">
            <v>1126.94</v>
          </cell>
          <cell r="ED443">
            <v>1995.7520000000002</v>
          </cell>
          <cell r="EE443">
            <v>3853.089878571428</v>
          </cell>
          <cell r="EF443">
            <v>243.87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707.13064999999995</v>
          </cell>
          <cell r="EL443">
            <v>1295.1211999999998</v>
          </cell>
          <cell r="EM443">
            <v>1642.4920000000002</v>
          </cell>
          <cell r="EN443">
            <v>3575.9483357142863</v>
          </cell>
          <cell r="EO443">
            <v>372.21900000000005</v>
          </cell>
          <cell r="EP443">
            <v>0</v>
          </cell>
          <cell r="EQ443">
            <v>0</v>
          </cell>
          <cell r="ER443">
            <v>120.63</v>
          </cell>
          <cell r="ES443">
            <v>0</v>
          </cell>
        </row>
        <row r="444">
          <cell r="A444" t="str">
            <v>DRUMS</v>
          </cell>
        </row>
        <row r="445">
          <cell r="A445">
            <v>121</v>
          </cell>
          <cell r="B445" t="str">
            <v>FG</v>
          </cell>
          <cell r="C445" t="str">
            <v>FM</v>
          </cell>
          <cell r="D445" t="str">
            <v>REFINED GLYCERINE-CP</v>
          </cell>
          <cell r="F445">
            <v>3</v>
          </cell>
          <cell r="H445">
            <v>0.33999999999999997</v>
          </cell>
          <cell r="O445">
            <v>2</v>
          </cell>
          <cell r="Q445">
            <v>0.33999999999999997</v>
          </cell>
          <cell r="S445">
            <v>23.25</v>
          </cell>
          <cell r="X445">
            <v>3.5</v>
          </cell>
          <cell r="Z445">
            <v>0.34</v>
          </cell>
          <cell r="AB445">
            <v>30.75</v>
          </cell>
          <cell r="AI445">
            <v>0.34</v>
          </cell>
          <cell r="AK445">
            <v>35.75</v>
          </cell>
          <cell r="AP445">
            <v>1</v>
          </cell>
          <cell r="AR445">
            <v>0.34</v>
          </cell>
          <cell r="AT445">
            <v>24.5</v>
          </cell>
          <cell r="AY445">
            <v>13.5</v>
          </cell>
          <cell r="BA445">
            <v>0.34</v>
          </cell>
          <cell r="BC445">
            <v>29</v>
          </cell>
          <cell r="BH445">
            <v>4.5</v>
          </cell>
          <cell r="BJ445">
            <v>0.34</v>
          </cell>
          <cell r="BL445">
            <v>43</v>
          </cell>
          <cell r="BQ445">
            <v>3.5</v>
          </cell>
          <cell r="BS445">
            <v>0.34</v>
          </cell>
          <cell r="BU445">
            <v>26.5</v>
          </cell>
          <cell r="BZ445">
            <v>1.5</v>
          </cell>
          <cell r="CB445">
            <v>0.34</v>
          </cell>
          <cell r="CD445">
            <v>2.75</v>
          </cell>
          <cell r="CI445">
            <v>2.5</v>
          </cell>
          <cell r="CK445">
            <v>0.25</v>
          </cell>
          <cell r="CR445">
            <v>2.5</v>
          </cell>
          <cell r="CT445">
            <v>0.25</v>
          </cell>
          <cell r="DA445">
            <v>2.5</v>
          </cell>
          <cell r="DC445">
            <v>0.25</v>
          </cell>
          <cell r="DL445">
            <v>0.25</v>
          </cell>
          <cell r="DS445">
            <v>10.25</v>
          </cell>
          <cell r="DU445">
            <v>0.34</v>
          </cell>
          <cell r="DW445">
            <v>16.75</v>
          </cell>
          <cell r="EB445">
            <v>1.25</v>
          </cell>
          <cell r="ED445">
            <v>0.34</v>
          </cell>
          <cell r="EK445">
            <v>1.25</v>
          </cell>
          <cell r="EM445">
            <v>0.34</v>
          </cell>
          <cell r="EO445">
            <v>41</v>
          </cell>
        </row>
        <row r="446">
          <cell r="A446">
            <v>122</v>
          </cell>
          <cell r="B446" t="str">
            <v>FG</v>
          </cell>
          <cell r="C446" t="str">
            <v>FM</v>
          </cell>
          <cell r="D446" t="str">
            <v>REFINED GLYCERINE-IP</v>
          </cell>
          <cell r="F446">
            <v>2.5</v>
          </cell>
          <cell r="O446">
            <v>5</v>
          </cell>
          <cell r="S446">
            <v>16</v>
          </cell>
          <cell r="X446">
            <v>4</v>
          </cell>
          <cell r="AG446">
            <v>0.5</v>
          </cell>
          <cell r="AK446">
            <v>36.75</v>
          </cell>
          <cell r="AP446">
            <v>0.5</v>
          </cell>
          <cell r="AT446">
            <v>42.75</v>
          </cell>
          <cell r="AY446">
            <v>0.5</v>
          </cell>
          <cell r="BC446">
            <v>32.75</v>
          </cell>
          <cell r="BH446">
            <v>0.5</v>
          </cell>
          <cell r="BL446">
            <v>0.25</v>
          </cell>
          <cell r="BQ446">
            <v>4</v>
          </cell>
          <cell r="BU446">
            <v>17.75</v>
          </cell>
          <cell r="BZ446">
            <v>4</v>
          </cell>
          <cell r="CD446">
            <v>38</v>
          </cell>
          <cell r="CK446">
            <v>0.09</v>
          </cell>
          <cell r="CR446">
            <v>10</v>
          </cell>
          <cell r="CT446">
            <v>0.09</v>
          </cell>
          <cell r="DA446">
            <v>9.5</v>
          </cell>
          <cell r="DC446">
            <v>0.09</v>
          </cell>
          <cell r="DK446">
            <v>9.5</v>
          </cell>
          <cell r="DL446">
            <v>0.09</v>
          </cell>
          <cell r="DS446">
            <v>3.5</v>
          </cell>
          <cell r="DW446">
            <v>3.25</v>
          </cell>
          <cell r="EB446">
            <v>3.5</v>
          </cell>
          <cell r="EK446">
            <v>1</v>
          </cell>
          <cell r="EO446">
            <v>8.75</v>
          </cell>
        </row>
        <row r="447">
          <cell r="A447">
            <v>123</v>
          </cell>
          <cell r="B447" t="str">
            <v>FG</v>
          </cell>
          <cell r="C447" t="str">
            <v>FM</v>
          </cell>
          <cell r="D447" t="str">
            <v>REFINED GLYCERINE-USP</v>
          </cell>
          <cell r="O447">
            <v>18</v>
          </cell>
          <cell r="BH447">
            <v>18</v>
          </cell>
          <cell r="BZ447">
            <v>20</v>
          </cell>
          <cell r="CI447">
            <v>3</v>
          </cell>
          <cell r="CR447">
            <v>0</v>
          </cell>
          <cell r="DA447">
            <v>20</v>
          </cell>
          <cell r="DS447">
            <v>5</v>
          </cell>
          <cell r="EB447">
            <v>38</v>
          </cell>
        </row>
        <row r="448">
          <cell r="A448">
            <v>124</v>
          </cell>
          <cell r="B448" t="str">
            <v>FG</v>
          </cell>
          <cell r="C448" t="str">
            <v>FM</v>
          </cell>
          <cell r="D448" t="str">
            <v>REFINED GLYCERINE-JP</v>
          </cell>
          <cell r="EK448">
            <v>40</v>
          </cell>
        </row>
        <row r="449">
          <cell r="A449">
            <v>125</v>
          </cell>
          <cell r="B449" t="str">
            <v>FG</v>
          </cell>
          <cell r="C449" t="str">
            <v>FM</v>
          </cell>
          <cell r="D449" t="str">
            <v>DPKO</v>
          </cell>
          <cell r="F449">
            <v>4.95</v>
          </cell>
          <cell r="O449">
            <v>10.8</v>
          </cell>
          <cell r="X449">
            <v>5.22</v>
          </cell>
          <cell r="AG449">
            <v>9.4499999999999993</v>
          </cell>
          <cell r="AP449">
            <v>8.01</v>
          </cell>
          <cell r="AY449">
            <v>7.1099999999999994</v>
          </cell>
          <cell r="BQ449">
            <v>5.22</v>
          </cell>
          <cell r="BZ449">
            <v>5.22</v>
          </cell>
          <cell r="CI449">
            <v>5.67</v>
          </cell>
          <cell r="CR449">
            <v>5.22</v>
          </cell>
          <cell r="DA449">
            <v>5.22</v>
          </cell>
          <cell r="DD449">
            <v>14.67</v>
          </cell>
          <cell r="DK449">
            <v>5.22</v>
          </cell>
          <cell r="DM449">
            <v>3.69</v>
          </cell>
          <cell r="DS449">
            <v>1.3499999999999999</v>
          </cell>
          <cell r="DV449">
            <v>3.69</v>
          </cell>
          <cell r="EE449">
            <v>16.29</v>
          </cell>
          <cell r="EN449">
            <v>20.16</v>
          </cell>
        </row>
        <row r="450">
          <cell r="A450">
            <v>126</v>
          </cell>
          <cell r="B450" t="str">
            <v>FG</v>
          </cell>
          <cell r="C450" t="str">
            <v>FM</v>
          </cell>
          <cell r="D450" t="str">
            <v>C6&gt;98%</v>
          </cell>
          <cell r="F450">
            <v>0.18</v>
          </cell>
          <cell r="H450">
            <v>0.89999999999999991</v>
          </cell>
          <cell r="O450">
            <v>0.18</v>
          </cell>
          <cell r="Q450">
            <v>0.89999999999999991</v>
          </cell>
          <cell r="X450">
            <v>0.18</v>
          </cell>
          <cell r="Z450">
            <v>0.9</v>
          </cell>
          <cell r="AG450">
            <v>0.18</v>
          </cell>
          <cell r="AI450">
            <v>0.9</v>
          </cell>
          <cell r="AP450">
            <v>0.18</v>
          </cell>
          <cell r="AR450">
            <v>0.9</v>
          </cell>
          <cell r="AY450">
            <v>0.18</v>
          </cell>
          <cell r="BA450">
            <v>0.9</v>
          </cell>
          <cell r="BH450">
            <v>0.18</v>
          </cell>
          <cell r="BJ450">
            <v>0.9</v>
          </cell>
          <cell r="BQ450">
            <v>57.78</v>
          </cell>
          <cell r="BS450">
            <v>0.9</v>
          </cell>
          <cell r="BZ450">
            <v>0.18</v>
          </cell>
          <cell r="CB450">
            <v>0.9</v>
          </cell>
          <cell r="CI450">
            <v>0.18</v>
          </cell>
          <cell r="CK450">
            <v>0.86</v>
          </cell>
          <cell r="CR450">
            <v>0.18</v>
          </cell>
          <cell r="CT450">
            <v>0.86</v>
          </cell>
          <cell r="DA450">
            <v>0.18</v>
          </cell>
          <cell r="DC450">
            <v>0.86</v>
          </cell>
          <cell r="DK450">
            <v>0.18</v>
          </cell>
          <cell r="DL450">
            <v>0.86</v>
          </cell>
          <cell r="DS450">
            <v>0.18</v>
          </cell>
          <cell r="DU450">
            <v>0.9</v>
          </cell>
          <cell r="EB450">
            <v>0.18</v>
          </cell>
          <cell r="ED450">
            <v>0.9</v>
          </cell>
          <cell r="EK450">
            <v>0.18</v>
          </cell>
          <cell r="EM450">
            <v>0.9</v>
          </cell>
        </row>
        <row r="451">
          <cell r="A451">
            <v>127</v>
          </cell>
          <cell r="B451" t="str">
            <v>FG</v>
          </cell>
          <cell r="C451" t="str">
            <v>FM</v>
          </cell>
          <cell r="D451" t="str">
            <v>C8&gt;98%</v>
          </cell>
          <cell r="F451">
            <v>16.02</v>
          </cell>
          <cell r="H451">
            <v>7.02</v>
          </cell>
          <cell r="O451">
            <v>16.02</v>
          </cell>
          <cell r="Q451">
            <v>7.02</v>
          </cell>
          <cell r="Z451">
            <v>7.02</v>
          </cell>
          <cell r="AG451">
            <v>3.96</v>
          </cell>
          <cell r="AI451">
            <v>7.02</v>
          </cell>
          <cell r="AP451">
            <v>3.42</v>
          </cell>
          <cell r="AR451">
            <v>7.02</v>
          </cell>
          <cell r="AY451">
            <v>3.42</v>
          </cell>
          <cell r="BA451">
            <v>7.02</v>
          </cell>
          <cell r="BH451">
            <v>3.42</v>
          </cell>
          <cell r="BJ451">
            <v>7.02</v>
          </cell>
          <cell r="BQ451">
            <v>2.88</v>
          </cell>
          <cell r="BS451">
            <v>7.02</v>
          </cell>
          <cell r="BZ451">
            <v>2.52</v>
          </cell>
          <cell r="CB451">
            <v>7.02</v>
          </cell>
          <cell r="CI451">
            <v>2.52</v>
          </cell>
          <cell r="CK451">
            <v>7.02</v>
          </cell>
          <cell r="CR451">
            <v>2.52</v>
          </cell>
          <cell r="CT451">
            <v>7.02</v>
          </cell>
          <cell r="DA451">
            <v>2.52</v>
          </cell>
          <cell r="DC451">
            <v>7.02</v>
          </cell>
          <cell r="DK451">
            <v>2.52</v>
          </cell>
          <cell r="DL451">
            <v>7.02</v>
          </cell>
          <cell r="DS451">
            <v>2.52</v>
          </cell>
          <cell r="DU451">
            <v>7.02</v>
          </cell>
          <cell r="EB451">
            <v>0.72</v>
          </cell>
          <cell r="ED451">
            <v>7.02</v>
          </cell>
          <cell r="EK451">
            <v>12.24</v>
          </cell>
          <cell r="EM451">
            <v>7.02</v>
          </cell>
        </row>
        <row r="452">
          <cell r="A452">
            <v>128</v>
          </cell>
          <cell r="B452" t="str">
            <v>FG</v>
          </cell>
          <cell r="C452" t="str">
            <v>FM</v>
          </cell>
          <cell r="D452" t="str">
            <v>C10&gt;98%</v>
          </cell>
          <cell r="F452">
            <v>0.18</v>
          </cell>
          <cell r="H452">
            <v>0.18</v>
          </cell>
          <cell r="O452">
            <v>0.18</v>
          </cell>
          <cell r="Q452">
            <v>0.18</v>
          </cell>
          <cell r="Z452">
            <v>0.18</v>
          </cell>
          <cell r="AI452">
            <v>0.18</v>
          </cell>
          <cell r="AR452">
            <v>0.18</v>
          </cell>
          <cell r="BA452">
            <v>0.18</v>
          </cell>
          <cell r="BJ452">
            <v>0.18</v>
          </cell>
          <cell r="BS452">
            <v>0.18</v>
          </cell>
          <cell r="CB452">
            <v>0.18</v>
          </cell>
          <cell r="CK452">
            <v>0.18</v>
          </cell>
          <cell r="CT452">
            <v>0.18</v>
          </cell>
          <cell r="DC452">
            <v>0.18</v>
          </cell>
          <cell r="DL452">
            <v>0.18</v>
          </cell>
          <cell r="DU452">
            <v>0.18</v>
          </cell>
          <cell r="ED452">
            <v>0.18</v>
          </cell>
          <cell r="EK452">
            <v>6.84</v>
          </cell>
          <cell r="EM452">
            <v>0.18</v>
          </cell>
        </row>
        <row r="453">
          <cell r="A453">
            <v>129</v>
          </cell>
          <cell r="B453" t="str">
            <v>FG</v>
          </cell>
          <cell r="C453" t="str">
            <v>FM</v>
          </cell>
          <cell r="D453" t="str">
            <v>C8+C10&gt;98%</v>
          </cell>
          <cell r="F453">
            <v>4.5</v>
          </cell>
          <cell r="H453">
            <v>4.7050000000000001</v>
          </cell>
          <cell r="O453">
            <v>4.5</v>
          </cell>
          <cell r="Q453">
            <v>4.7050000000000001</v>
          </cell>
          <cell r="X453">
            <v>1.62</v>
          </cell>
          <cell r="Z453">
            <v>4.7050000000000001</v>
          </cell>
          <cell r="AG453">
            <v>2.7</v>
          </cell>
          <cell r="AI453">
            <v>4.7050000000000001</v>
          </cell>
          <cell r="AP453">
            <v>2.7</v>
          </cell>
          <cell r="AR453">
            <v>3.7749999999999999</v>
          </cell>
          <cell r="AY453">
            <v>2.6999999999999997</v>
          </cell>
          <cell r="BA453">
            <v>3.7749999999999999</v>
          </cell>
          <cell r="BH453">
            <v>2.52</v>
          </cell>
          <cell r="BJ453">
            <v>4.7050000000000001</v>
          </cell>
          <cell r="BQ453">
            <v>1.62</v>
          </cell>
          <cell r="BS453">
            <v>3.7749999999999999</v>
          </cell>
          <cell r="BZ453">
            <v>1.6199999999999999</v>
          </cell>
          <cell r="CB453">
            <v>3.7749999999999999</v>
          </cell>
          <cell r="CI453">
            <v>1.62</v>
          </cell>
          <cell r="CK453">
            <v>3.7749999999999999</v>
          </cell>
          <cell r="CR453">
            <v>1.62</v>
          </cell>
          <cell r="CT453">
            <v>3.7749999999999999</v>
          </cell>
          <cell r="DA453">
            <v>1.08</v>
          </cell>
          <cell r="DC453">
            <v>3.7749999999999999</v>
          </cell>
          <cell r="DD453">
            <v>24.93</v>
          </cell>
          <cell r="DK453">
            <v>8.2799999999999994</v>
          </cell>
          <cell r="DL453">
            <v>3.7749999999999999</v>
          </cell>
          <cell r="DS453">
            <v>1.08</v>
          </cell>
          <cell r="DU453">
            <v>3.7749999999999999</v>
          </cell>
          <cell r="EB453">
            <v>0.54</v>
          </cell>
          <cell r="ED453">
            <v>3.7749999999999999</v>
          </cell>
          <cell r="EK453">
            <v>0.54</v>
          </cell>
          <cell r="EM453">
            <v>3.7749999999999999</v>
          </cell>
        </row>
        <row r="454">
          <cell r="A454">
            <v>130</v>
          </cell>
          <cell r="B454" t="str">
            <v>FG</v>
          </cell>
          <cell r="C454" t="str">
            <v>FM</v>
          </cell>
          <cell r="D454" t="str">
            <v>OLEIC-15</v>
          </cell>
          <cell r="H454">
            <v>0.45999999999999996</v>
          </cell>
          <cell r="Q454">
            <v>0.45999999999999996</v>
          </cell>
          <cell r="R454">
            <v>2.79</v>
          </cell>
          <cell r="Z454">
            <v>0.46</v>
          </cell>
          <cell r="AI454">
            <v>0.46</v>
          </cell>
          <cell r="AJ454">
            <v>1.53</v>
          </cell>
          <cell r="AR454">
            <v>0.185</v>
          </cell>
          <cell r="AS454">
            <v>0.54</v>
          </cell>
          <cell r="BA454">
            <v>0.185</v>
          </cell>
          <cell r="BB454">
            <v>9.9</v>
          </cell>
          <cell r="BJ454">
            <v>0.45999999999999996</v>
          </cell>
          <cell r="BK454">
            <v>8.64</v>
          </cell>
          <cell r="BS454">
            <v>0.185</v>
          </cell>
          <cell r="BT454">
            <v>123.57</v>
          </cell>
          <cell r="CB454">
            <v>0.185</v>
          </cell>
          <cell r="CC454">
            <v>79.56</v>
          </cell>
          <cell r="CK454">
            <v>0.185</v>
          </cell>
          <cell r="CL454">
            <v>38.79</v>
          </cell>
          <cell r="CT454">
            <v>0.185</v>
          </cell>
          <cell r="DC454">
            <v>0.185</v>
          </cell>
          <cell r="DL454">
            <v>0.185</v>
          </cell>
          <cell r="DM454">
            <v>82.26</v>
          </cell>
          <cell r="DU454">
            <v>0.27500000000000002</v>
          </cell>
          <cell r="DV454">
            <v>81.72</v>
          </cell>
          <cell r="ED454">
            <v>0.185</v>
          </cell>
          <cell r="EE454">
            <v>90</v>
          </cell>
          <cell r="EM454">
            <v>0.185</v>
          </cell>
          <cell r="EN454">
            <v>89.28</v>
          </cell>
        </row>
        <row r="455">
          <cell r="A455">
            <v>131</v>
          </cell>
          <cell r="B455" t="str">
            <v>FG</v>
          </cell>
          <cell r="C455" t="str">
            <v>NM</v>
          </cell>
          <cell r="D455" t="str">
            <v>OLEIC-20</v>
          </cell>
          <cell r="H455">
            <v>0.09</v>
          </cell>
          <cell r="Q455">
            <v>0.09</v>
          </cell>
          <cell r="Z455">
            <v>0.09</v>
          </cell>
          <cell r="AI455">
            <v>0.09</v>
          </cell>
          <cell r="AR455">
            <v>0.09</v>
          </cell>
          <cell r="BA455">
            <v>0.09</v>
          </cell>
          <cell r="BJ455">
            <v>0.09</v>
          </cell>
          <cell r="BS455">
            <v>0.09</v>
          </cell>
          <cell r="CB455">
            <v>0.09</v>
          </cell>
          <cell r="CK455">
            <v>0.09</v>
          </cell>
          <cell r="CT455">
            <v>0.09</v>
          </cell>
          <cell r="DC455">
            <v>0.09</v>
          </cell>
          <cell r="DL455">
            <v>0.09</v>
          </cell>
          <cell r="ED455">
            <v>0.09</v>
          </cell>
          <cell r="EM455">
            <v>0.09</v>
          </cell>
        </row>
        <row r="456">
          <cell r="A456">
            <v>132</v>
          </cell>
          <cell r="B456" t="str">
            <v>FG</v>
          </cell>
          <cell r="C456" t="str">
            <v>NM</v>
          </cell>
          <cell r="D456" t="str">
            <v>OLEIC-26</v>
          </cell>
          <cell r="AR456">
            <v>0.63</v>
          </cell>
          <cell r="BS456">
            <v>0.63</v>
          </cell>
          <cell r="CB456">
            <v>0.63</v>
          </cell>
          <cell r="CK456">
            <v>0.36499999999999999</v>
          </cell>
          <cell r="CT456">
            <v>0.36499999999999999</v>
          </cell>
          <cell r="DC456">
            <v>0.36499999999999999</v>
          </cell>
          <cell r="DL456">
            <v>0.36499999999999999</v>
          </cell>
          <cell r="DU456">
            <v>0.63</v>
          </cell>
          <cell r="ED456">
            <v>0.63</v>
          </cell>
          <cell r="EM456">
            <v>0.63</v>
          </cell>
        </row>
        <row r="457">
          <cell r="A457">
            <v>133</v>
          </cell>
          <cell r="B457" t="str">
            <v>FG</v>
          </cell>
          <cell r="C457" t="str">
            <v>NM</v>
          </cell>
          <cell r="D457" t="str">
            <v>OLEIC-29</v>
          </cell>
          <cell r="H457">
            <v>0.2</v>
          </cell>
          <cell r="Q457">
            <v>0.2</v>
          </cell>
          <cell r="Z457">
            <v>0.2</v>
          </cell>
          <cell r="AI457">
            <v>0.2</v>
          </cell>
          <cell r="AR457">
            <v>0.18</v>
          </cell>
          <cell r="BA457">
            <v>0.18</v>
          </cell>
          <cell r="BJ457">
            <v>0.2</v>
          </cell>
          <cell r="BS457">
            <v>0.18</v>
          </cell>
          <cell r="CB457">
            <v>0.18</v>
          </cell>
          <cell r="CK457">
            <v>0.63</v>
          </cell>
          <cell r="CT457">
            <v>0.63</v>
          </cell>
          <cell r="DC457">
            <v>0.63</v>
          </cell>
          <cell r="DL457">
            <v>0.63</v>
          </cell>
          <cell r="DU457">
            <v>0.18</v>
          </cell>
          <cell r="ED457">
            <v>0.18</v>
          </cell>
          <cell r="EM457">
            <v>0.18</v>
          </cell>
        </row>
        <row r="458">
          <cell r="A458">
            <v>134</v>
          </cell>
          <cell r="B458" t="str">
            <v>FG</v>
          </cell>
          <cell r="C458" t="str">
            <v>FM</v>
          </cell>
          <cell r="D458" t="str">
            <v>OLEIC-K</v>
          </cell>
          <cell r="F458">
            <v>4.32</v>
          </cell>
          <cell r="H458">
            <v>4.6050000000000004</v>
          </cell>
          <cell r="O458">
            <v>3.24</v>
          </cell>
          <cell r="Q458">
            <v>4.6050000000000004</v>
          </cell>
          <cell r="X458">
            <v>2.34</v>
          </cell>
          <cell r="Z458">
            <v>4.6050000000000004</v>
          </cell>
          <cell r="AG458">
            <v>2.52</v>
          </cell>
          <cell r="AI458">
            <v>4.6050000000000004</v>
          </cell>
          <cell r="AP458">
            <v>1.62</v>
          </cell>
          <cell r="AR458">
            <v>4.0650000000000004</v>
          </cell>
          <cell r="AY458">
            <v>1.6199999999999999</v>
          </cell>
          <cell r="BA458">
            <v>4.0650000000000004</v>
          </cell>
          <cell r="BH458">
            <v>2.52</v>
          </cell>
          <cell r="BJ458">
            <v>4.6050000000000004</v>
          </cell>
          <cell r="BQ458">
            <v>2.16</v>
          </cell>
          <cell r="BS458">
            <v>4.0650000000000004</v>
          </cell>
          <cell r="BZ458">
            <v>2.34</v>
          </cell>
          <cell r="CB458">
            <v>4.0650000000000004</v>
          </cell>
          <cell r="CC458">
            <v>0.54</v>
          </cell>
          <cell r="CI458">
            <v>1.62</v>
          </cell>
          <cell r="CK458">
            <v>4.0650000000000004</v>
          </cell>
          <cell r="CL458">
            <v>8.5399999999999991</v>
          </cell>
          <cell r="CR458">
            <v>1.62</v>
          </cell>
          <cell r="CT458">
            <v>4.0650000000000004</v>
          </cell>
          <cell r="DA458">
            <v>1.62</v>
          </cell>
          <cell r="DC458">
            <v>4.0650000000000004</v>
          </cell>
          <cell r="DD458">
            <v>0.54</v>
          </cell>
          <cell r="DK458">
            <v>1.08</v>
          </cell>
          <cell r="DL458">
            <v>4.0650000000000004</v>
          </cell>
          <cell r="DM458">
            <v>0.54</v>
          </cell>
          <cell r="DU458">
            <v>4.0650000000000004</v>
          </cell>
          <cell r="DV458">
            <v>0.54</v>
          </cell>
          <cell r="ED458">
            <v>4.0650000000000004</v>
          </cell>
          <cell r="EE458">
            <v>2.52</v>
          </cell>
          <cell r="EM458">
            <v>4.0650000000000004</v>
          </cell>
          <cell r="EN458">
            <v>2.52</v>
          </cell>
        </row>
        <row r="459">
          <cell r="A459">
            <v>135</v>
          </cell>
          <cell r="B459" t="str">
            <v>FG</v>
          </cell>
          <cell r="C459" t="str">
            <v>NM</v>
          </cell>
          <cell r="D459" t="str">
            <v>OLEIC-70</v>
          </cell>
          <cell r="H459">
            <v>0.185</v>
          </cell>
          <cell r="Q459">
            <v>0.185</v>
          </cell>
          <cell r="Z459">
            <v>0.185</v>
          </cell>
          <cell r="AI459">
            <v>0.185</v>
          </cell>
          <cell r="AR459">
            <v>0.185</v>
          </cell>
          <cell r="BA459">
            <v>0.185</v>
          </cell>
          <cell r="BJ459">
            <v>0.185</v>
          </cell>
          <cell r="BS459">
            <v>0.185</v>
          </cell>
          <cell r="CB459">
            <v>0.185</v>
          </cell>
          <cell r="DU459">
            <v>0.185</v>
          </cell>
          <cell r="ED459">
            <v>0.185</v>
          </cell>
          <cell r="EM459">
            <v>0.185</v>
          </cell>
        </row>
        <row r="460">
          <cell r="A460">
            <v>136</v>
          </cell>
          <cell r="B460" t="str">
            <v>FG</v>
          </cell>
          <cell r="C460" t="str">
            <v>FM</v>
          </cell>
          <cell r="D460" t="str">
            <v>C22:1&gt;90</v>
          </cell>
          <cell r="F460">
            <v>0.18</v>
          </cell>
          <cell r="I460">
            <v>6.48</v>
          </cell>
          <cell r="O460">
            <v>0.18</v>
          </cell>
          <cell r="X460">
            <v>0.18</v>
          </cell>
          <cell r="AG460">
            <v>0.36</v>
          </cell>
          <cell r="AP460">
            <v>0.18</v>
          </cell>
          <cell r="AS460">
            <v>22.68</v>
          </cell>
          <cell r="AY460">
            <v>0.18</v>
          </cell>
          <cell r="BB460">
            <v>8.2799999999999994</v>
          </cell>
          <cell r="BH460">
            <v>0.18</v>
          </cell>
          <cell r="BK460">
            <v>8.2799999999999994</v>
          </cell>
          <cell r="BQ460">
            <v>0.18</v>
          </cell>
          <cell r="BT460">
            <v>8.2799999999999994</v>
          </cell>
          <cell r="BZ460">
            <v>0.18</v>
          </cell>
          <cell r="CC460">
            <v>8.2799999999999994</v>
          </cell>
          <cell r="CI460">
            <v>0.36</v>
          </cell>
          <cell r="CL460">
            <v>8.2799999999999994</v>
          </cell>
          <cell r="CR460">
            <v>0.36</v>
          </cell>
          <cell r="DA460">
            <v>0.36</v>
          </cell>
          <cell r="DD460">
            <v>8.2799999999999994</v>
          </cell>
          <cell r="DK460">
            <v>0.36</v>
          </cell>
          <cell r="DM460">
            <v>8.2799999999999994</v>
          </cell>
          <cell r="DS460">
            <v>0.36</v>
          </cell>
          <cell r="DV460">
            <v>8.2799999999999994</v>
          </cell>
          <cell r="EB460">
            <v>0.18</v>
          </cell>
          <cell r="EE460">
            <v>8.2799999999999994</v>
          </cell>
          <cell r="EK460">
            <v>0.18</v>
          </cell>
          <cell r="EN460">
            <v>1.44</v>
          </cell>
        </row>
        <row r="461">
          <cell r="A461">
            <v>137</v>
          </cell>
          <cell r="B461" t="str">
            <v>FG</v>
          </cell>
          <cell r="C461" t="str">
            <v>NM</v>
          </cell>
          <cell r="D461" t="str">
            <v>DCPS</v>
          </cell>
        </row>
        <row r="462">
          <cell r="A462">
            <v>138</v>
          </cell>
          <cell r="B462" t="str">
            <v>FG</v>
          </cell>
          <cell r="C462" t="str">
            <v>NM</v>
          </cell>
          <cell r="D462" t="str">
            <v>DFA C12/C14</v>
          </cell>
          <cell r="DD462">
            <v>2.04</v>
          </cell>
          <cell r="DM462">
            <v>2.04</v>
          </cell>
          <cell r="DV462">
            <v>2.04</v>
          </cell>
          <cell r="EE462">
            <v>0.68</v>
          </cell>
          <cell r="EN462">
            <v>0.68</v>
          </cell>
        </row>
        <row r="463">
          <cell r="A463">
            <v>139</v>
          </cell>
          <cell r="B463" t="str">
            <v>FG</v>
          </cell>
          <cell r="C463" t="str">
            <v>NM</v>
          </cell>
          <cell r="D463" t="str">
            <v>OLEIC-IG</v>
          </cell>
          <cell r="BK463">
            <v>8.19</v>
          </cell>
          <cell r="BT463">
            <v>8.19</v>
          </cell>
          <cell r="CC463">
            <v>8.19</v>
          </cell>
          <cell r="CL463">
            <v>5.22</v>
          </cell>
          <cell r="DD463">
            <v>5.22</v>
          </cell>
          <cell r="DM463">
            <v>2.25</v>
          </cell>
          <cell r="DV463">
            <v>2.25</v>
          </cell>
          <cell r="EE463">
            <v>17.37</v>
          </cell>
          <cell r="EN463">
            <v>8.3699999999999992</v>
          </cell>
        </row>
        <row r="464">
          <cell r="A464">
            <v>140</v>
          </cell>
          <cell r="B464" t="str">
            <v>FG</v>
          </cell>
          <cell r="C464" t="str">
            <v>NM</v>
          </cell>
          <cell r="D464" t="str">
            <v>Vegarol 1214</v>
          </cell>
          <cell r="I464">
            <v>13.6</v>
          </cell>
          <cell r="R464">
            <v>11.22</v>
          </cell>
          <cell r="AJ464">
            <v>5.95</v>
          </cell>
          <cell r="AS464">
            <v>22.1</v>
          </cell>
          <cell r="BB464">
            <v>22.1</v>
          </cell>
          <cell r="BK464">
            <v>30.6</v>
          </cell>
          <cell r="BT464">
            <v>15.81</v>
          </cell>
          <cell r="CC464">
            <v>15.81</v>
          </cell>
          <cell r="CL464">
            <v>12.41</v>
          </cell>
          <cell r="DD464">
            <v>12.41</v>
          </cell>
          <cell r="DM464">
            <v>10.71</v>
          </cell>
          <cell r="DV464">
            <v>8.16</v>
          </cell>
          <cell r="EE464">
            <v>17</v>
          </cell>
          <cell r="EN464">
            <v>9.18</v>
          </cell>
        </row>
        <row r="465">
          <cell r="A465">
            <v>257</v>
          </cell>
          <cell r="B465" t="str">
            <v>FG</v>
          </cell>
          <cell r="C465" t="str">
            <v>NM</v>
          </cell>
          <cell r="D465" t="str">
            <v>Vegarol 10</v>
          </cell>
          <cell r="BK465">
            <v>14.28</v>
          </cell>
          <cell r="BT465">
            <v>14.28</v>
          </cell>
          <cell r="CC465">
            <v>14.28</v>
          </cell>
          <cell r="CL465">
            <v>14.28</v>
          </cell>
          <cell r="DD465">
            <v>14.28</v>
          </cell>
          <cell r="DM465">
            <v>14.28</v>
          </cell>
          <cell r="DV465">
            <v>14.28</v>
          </cell>
          <cell r="EE465">
            <v>14.28</v>
          </cell>
          <cell r="EN465">
            <v>14.28</v>
          </cell>
        </row>
        <row r="466">
          <cell r="F466">
            <v>35.83</v>
          </cell>
          <cell r="G466">
            <v>0</v>
          </cell>
          <cell r="H466">
            <v>18.684999999999999</v>
          </cell>
          <cell r="I466">
            <v>20.079999999999998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60.1</v>
          </cell>
          <cell r="P466">
            <v>0</v>
          </cell>
          <cell r="Q466">
            <v>18.684999999999999</v>
          </cell>
          <cell r="R466">
            <v>14.010000000000002</v>
          </cell>
          <cell r="S466">
            <v>39.25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17.04</v>
          </cell>
          <cell r="Y466">
            <v>0</v>
          </cell>
          <cell r="Z466">
            <v>18.684999999999999</v>
          </cell>
          <cell r="AA466">
            <v>0</v>
          </cell>
          <cell r="AB466">
            <v>30.75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19.669999999999998</v>
          </cell>
          <cell r="AH466">
            <v>0</v>
          </cell>
          <cell r="AI466">
            <v>18.684999999999999</v>
          </cell>
          <cell r="AJ466">
            <v>7.48</v>
          </cell>
          <cell r="AK466">
            <v>72.5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17.61</v>
          </cell>
          <cell r="AQ466">
            <v>0</v>
          </cell>
          <cell r="AR466">
            <v>17.55</v>
          </cell>
          <cell r="AS466">
            <v>45.32</v>
          </cell>
          <cell r="AT466">
            <v>67.25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29.21</v>
          </cell>
          <cell r="AZ466">
            <v>0</v>
          </cell>
          <cell r="BA466">
            <v>16.919999999999998</v>
          </cell>
          <cell r="BB466">
            <v>40.28</v>
          </cell>
          <cell r="BC466">
            <v>61.75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31.82</v>
          </cell>
          <cell r="BI466">
            <v>0</v>
          </cell>
          <cell r="BJ466">
            <v>18.684999999999999</v>
          </cell>
          <cell r="BK466">
            <v>69.989999999999995</v>
          </cell>
          <cell r="BL466">
            <v>43.25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77.34</v>
          </cell>
          <cell r="BR466">
            <v>0</v>
          </cell>
          <cell r="BS466">
            <v>17.55</v>
          </cell>
          <cell r="BT466">
            <v>170.13</v>
          </cell>
          <cell r="BU466">
            <v>44.25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37.559999999999995</v>
          </cell>
          <cell r="CA466">
            <v>0</v>
          </cell>
          <cell r="CB466">
            <v>17.55</v>
          </cell>
          <cell r="CC466">
            <v>126.66000000000001</v>
          </cell>
          <cell r="CD466">
            <v>40.75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17.47</v>
          </cell>
          <cell r="CJ466">
            <v>0</v>
          </cell>
          <cell r="CK466">
            <v>17.510000000000002</v>
          </cell>
          <cell r="CL466">
            <v>87.52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24.02</v>
          </cell>
          <cell r="CS466">
            <v>0</v>
          </cell>
          <cell r="CT466">
            <v>17.510000000000002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42.98</v>
          </cell>
          <cell r="DB466">
            <v>0</v>
          </cell>
          <cell r="DC466">
            <v>17.510000000000002</v>
          </cell>
          <cell r="DD466">
            <v>82.37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K466">
            <v>27.139999999999993</v>
          </cell>
          <cell r="DL466">
            <v>17.510000000000002</v>
          </cell>
          <cell r="DM466">
            <v>124.05000000000001</v>
          </cell>
          <cell r="DN466">
            <v>0</v>
          </cell>
          <cell r="DO466">
            <v>0</v>
          </cell>
          <cell r="DP466">
            <v>0</v>
          </cell>
          <cell r="DQ466">
            <v>0</v>
          </cell>
          <cell r="DR466">
            <v>0</v>
          </cell>
          <cell r="DS466">
            <v>24.240000000000002</v>
          </cell>
          <cell r="DT466">
            <v>0</v>
          </cell>
          <cell r="DU466">
            <v>17.55</v>
          </cell>
          <cell r="DV466">
            <v>120.96000000000001</v>
          </cell>
          <cell r="DW466">
            <v>20</v>
          </cell>
          <cell r="DX466">
            <v>0</v>
          </cell>
          <cell r="DY466">
            <v>0</v>
          </cell>
          <cell r="DZ466">
            <v>0</v>
          </cell>
          <cell r="EA466">
            <v>0</v>
          </cell>
          <cell r="EB466">
            <v>44.37</v>
          </cell>
          <cell r="EC466">
            <v>0</v>
          </cell>
          <cell r="ED466">
            <v>17.55</v>
          </cell>
          <cell r="EE466">
            <v>166.42</v>
          </cell>
          <cell r="EF466">
            <v>0</v>
          </cell>
          <cell r="EG466">
            <v>0</v>
          </cell>
          <cell r="EH466">
            <v>0</v>
          </cell>
          <cell r="EI466">
            <v>0</v>
          </cell>
          <cell r="EJ466">
            <v>0</v>
          </cell>
          <cell r="EK466">
            <v>62.230000000000004</v>
          </cell>
          <cell r="EL466">
            <v>0</v>
          </cell>
          <cell r="EM466">
            <v>17.55</v>
          </cell>
          <cell r="EN466">
            <v>145.91</v>
          </cell>
          <cell r="EO466">
            <v>49.75</v>
          </cell>
          <cell r="EP466">
            <v>0</v>
          </cell>
          <cell r="EQ466">
            <v>0</v>
          </cell>
          <cell r="ER466">
            <v>0</v>
          </cell>
          <cell r="ES466">
            <v>0</v>
          </cell>
        </row>
        <row r="467">
          <cell r="A467" t="str">
            <v>FATTY ACID FLAKES</v>
          </cell>
        </row>
        <row r="468">
          <cell r="A468">
            <v>141</v>
          </cell>
          <cell r="B468" t="str">
            <v>FG</v>
          </cell>
          <cell r="C468" t="str">
            <v>FM</v>
          </cell>
          <cell r="D468" t="str">
            <v>C14&gt;99%</v>
          </cell>
          <cell r="I468">
            <v>32.875</v>
          </cell>
          <cell r="R468">
            <v>32.875</v>
          </cell>
          <cell r="AJ468">
            <v>32.875</v>
          </cell>
          <cell r="AS468">
            <v>32.875</v>
          </cell>
          <cell r="BB468">
            <v>32.875</v>
          </cell>
          <cell r="BK468">
            <v>32.875</v>
          </cell>
          <cell r="BT468">
            <v>32.875</v>
          </cell>
          <cell r="CC468">
            <v>32.875</v>
          </cell>
          <cell r="CL468">
            <v>7.875</v>
          </cell>
          <cell r="CU468">
            <v>7.875</v>
          </cell>
          <cell r="DD468">
            <v>7.875</v>
          </cell>
          <cell r="DM468">
            <v>7.875</v>
          </cell>
          <cell r="DV468">
            <v>32.875</v>
          </cell>
          <cell r="EE468">
            <v>32.875</v>
          </cell>
          <cell r="EN468">
            <v>32.875</v>
          </cell>
        </row>
        <row r="469">
          <cell r="A469">
            <v>142</v>
          </cell>
          <cell r="B469" t="str">
            <v>FG</v>
          </cell>
          <cell r="C469" t="str">
            <v>FM</v>
          </cell>
          <cell r="D469" t="str">
            <v>C16 85%</v>
          </cell>
        </row>
        <row r="470">
          <cell r="A470">
            <v>143</v>
          </cell>
          <cell r="B470" t="str">
            <v>FG</v>
          </cell>
          <cell r="C470" t="str">
            <v>FM</v>
          </cell>
          <cell r="D470" t="str">
            <v>UTSR</v>
          </cell>
          <cell r="F470">
            <v>84.95</v>
          </cell>
          <cell r="H470">
            <v>57.35</v>
          </cell>
          <cell r="I470">
            <v>151.16</v>
          </cell>
          <cell r="O470">
            <v>95.3</v>
          </cell>
          <cell r="Q470">
            <v>7.35</v>
          </cell>
          <cell r="R470">
            <v>351.78500000000003</v>
          </cell>
          <cell r="X470">
            <v>42.3</v>
          </cell>
          <cell r="Z470">
            <v>16.350000000000001</v>
          </cell>
          <cell r="AI470">
            <v>45.35</v>
          </cell>
          <cell r="AJ470">
            <v>205.71</v>
          </cell>
          <cell r="AP470">
            <v>30</v>
          </cell>
          <cell r="AR470">
            <v>45.35</v>
          </cell>
          <cell r="AS470">
            <v>89.21</v>
          </cell>
          <cell r="AY470">
            <v>14</v>
          </cell>
          <cell r="BA470">
            <v>45.35</v>
          </cell>
          <cell r="BB470">
            <v>46.21</v>
          </cell>
          <cell r="BH470">
            <v>5</v>
          </cell>
          <cell r="BJ470">
            <v>4.3499999999999996</v>
          </cell>
          <cell r="BK470">
            <v>23.21</v>
          </cell>
          <cell r="BQ470">
            <v>76.5</v>
          </cell>
          <cell r="BS470">
            <v>45.35</v>
          </cell>
          <cell r="BT470">
            <v>172.91</v>
          </cell>
          <cell r="BZ470">
            <v>63.1</v>
          </cell>
          <cell r="CB470">
            <v>45.35</v>
          </cell>
          <cell r="CC470">
            <v>102.16</v>
          </cell>
          <cell r="CI470">
            <v>37.1</v>
          </cell>
          <cell r="CK470">
            <v>45.35</v>
          </cell>
          <cell r="CL470">
            <v>90.11</v>
          </cell>
          <cell r="CR470">
            <v>81.099999999999994</v>
          </cell>
          <cell r="CT470">
            <v>45.35</v>
          </cell>
          <cell r="CU470">
            <v>33.71</v>
          </cell>
          <cell r="DA470">
            <v>115.85</v>
          </cell>
          <cell r="DD470">
            <v>119.035</v>
          </cell>
          <cell r="DK470">
            <v>150.5</v>
          </cell>
          <cell r="DL470">
            <v>41.35</v>
          </cell>
          <cell r="DM470">
            <v>104.58499999999999</v>
          </cell>
          <cell r="DS470">
            <v>145.9</v>
          </cell>
          <cell r="DU470">
            <v>41.35</v>
          </cell>
          <cell r="DV470">
            <v>208.01</v>
          </cell>
          <cell r="EB470">
            <v>233.75</v>
          </cell>
          <cell r="ED470">
            <v>41.35</v>
          </cell>
          <cell r="EE470">
            <v>102.61</v>
          </cell>
          <cell r="EK470">
            <v>199.5</v>
          </cell>
          <cell r="EM470">
            <v>41.35</v>
          </cell>
          <cell r="EN470">
            <v>114.06</v>
          </cell>
        </row>
        <row r="471">
          <cell r="A471">
            <v>144</v>
          </cell>
          <cell r="B471" t="str">
            <v>FG</v>
          </cell>
          <cell r="C471" t="str">
            <v>FM</v>
          </cell>
          <cell r="D471" t="str">
            <v>UTSR SPECIAL</v>
          </cell>
        </row>
        <row r="472">
          <cell r="A472">
            <v>145</v>
          </cell>
          <cell r="B472" t="str">
            <v>FG</v>
          </cell>
          <cell r="C472" t="str">
            <v>FM</v>
          </cell>
          <cell r="D472" t="str">
            <v>DTP-7</v>
          </cell>
          <cell r="H472">
            <v>0.9</v>
          </cell>
          <cell r="I472">
            <v>316.14999999999998</v>
          </cell>
          <cell r="Q472">
            <v>0.9</v>
          </cell>
          <cell r="R472">
            <v>164.05</v>
          </cell>
          <cell r="Z472">
            <v>0.9</v>
          </cell>
          <cell r="AI472">
            <v>0.9</v>
          </cell>
          <cell r="AJ472">
            <v>162.69999999999999</v>
          </cell>
          <cell r="AR472">
            <v>0.9000000000000028</v>
          </cell>
          <cell r="AS472">
            <v>97.7</v>
          </cell>
          <cell r="AY472">
            <v>0.35</v>
          </cell>
          <cell r="BA472">
            <v>0.9</v>
          </cell>
          <cell r="BB472">
            <v>159.4</v>
          </cell>
          <cell r="BH472">
            <v>0.35</v>
          </cell>
          <cell r="BJ472">
            <v>0.9</v>
          </cell>
          <cell r="BK472">
            <v>62.65</v>
          </cell>
          <cell r="BS472">
            <v>0.9</v>
          </cell>
          <cell r="BT472">
            <v>3.65</v>
          </cell>
          <cell r="CB472">
            <v>0.9</v>
          </cell>
          <cell r="CC472">
            <v>24.05</v>
          </cell>
          <cell r="CI472">
            <v>17.5</v>
          </cell>
          <cell r="CK472">
            <v>0.9</v>
          </cell>
          <cell r="CL472">
            <v>16.399999999999999</v>
          </cell>
          <cell r="CR472">
            <v>17.5</v>
          </cell>
          <cell r="CT472">
            <v>0.9</v>
          </cell>
          <cell r="CU472">
            <v>122.75</v>
          </cell>
          <cell r="DA472">
            <v>1.5</v>
          </cell>
          <cell r="DD472">
            <v>19.5</v>
          </cell>
          <cell r="DL472">
            <v>0.9</v>
          </cell>
          <cell r="DM472">
            <v>118.8</v>
          </cell>
          <cell r="DU472">
            <v>0.9</v>
          </cell>
          <cell r="DV472">
            <v>3.8</v>
          </cell>
          <cell r="ED472">
            <v>0.9000000000000028</v>
          </cell>
          <cell r="EE472">
            <v>26.9</v>
          </cell>
          <cell r="EM472">
            <v>0.9000000000000028</v>
          </cell>
          <cell r="EN472">
            <v>14.7</v>
          </cell>
        </row>
        <row r="473">
          <cell r="A473">
            <v>146</v>
          </cell>
          <cell r="B473" t="str">
            <v>FG</v>
          </cell>
          <cell r="C473" t="str">
            <v>FM</v>
          </cell>
          <cell r="D473" t="str">
            <v>DTP-CT</v>
          </cell>
          <cell r="F473">
            <v>4.8499999999999996</v>
          </cell>
          <cell r="H473">
            <v>69</v>
          </cell>
          <cell r="O473">
            <v>2.35</v>
          </cell>
          <cell r="Q473">
            <v>60.35</v>
          </cell>
          <cell r="X473">
            <v>2.35</v>
          </cell>
          <cell r="Z473">
            <v>50.35</v>
          </cell>
          <cell r="AI473">
            <v>8.35</v>
          </cell>
          <cell r="AP473">
            <v>0.35</v>
          </cell>
          <cell r="AR473">
            <v>1.35</v>
          </cell>
          <cell r="BA473">
            <v>1.35</v>
          </cell>
          <cell r="BJ473">
            <v>1.35</v>
          </cell>
          <cell r="BQ473">
            <v>0.15</v>
          </cell>
          <cell r="BS473">
            <v>1.35</v>
          </cell>
          <cell r="BZ473">
            <v>0.15</v>
          </cell>
          <cell r="CB473">
            <v>0.35</v>
          </cell>
          <cell r="CI473">
            <v>0.15</v>
          </cell>
          <cell r="CK473">
            <v>0.35</v>
          </cell>
          <cell r="CL473">
            <v>7.5</v>
          </cell>
          <cell r="CR473">
            <v>0.15</v>
          </cell>
          <cell r="CT473">
            <v>0.35</v>
          </cell>
          <cell r="CU473">
            <v>28.75</v>
          </cell>
          <cell r="DA473">
            <v>0.15</v>
          </cell>
          <cell r="DD473">
            <v>52.6</v>
          </cell>
          <cell r="DK473">
            <v>0.15</v>
          </cell>
          <cell r="DL473">
            <v>0.35</v>
          </cell>
          <cell r="DM473">
            <v>35.4</v>
          </cell>
          <cell r="DU473">
            <v>0.35</v>
          </cell>
          <cell r="DV473">
            <v>26.4</v>
          </cell>
          <cell r="EB473">
            <v>0.15</v>
          </cell>
          <cell r="ED473">
            <v>0.35000000000000142</v>
          </cell>
          <cell r="EE473">
            <v>9.9</v>
          </cell>
          <cell r="EK473">
            <v>0.15</v>
          </cell>
          <cell r="EM473">
            <v>0.35000000000000142</v>
          </cell>
        </row>
        <row r="474">
          <cell r="A474">
            <v>147</v>
          </cell>
          <cell r="B474" t="str">
            <v>FG</v>
          </cell>
          <cell r="C474" t="str">
            <v>FM</v>
          </cell>
          <cell r="D474" t="str">
            <v>P-12</v>
          </cell>
          <cell r="F474">
            <v>60.3</v>
          </cell>
          <cell r="H474">
            <v>79.224999999999994</v>
          </cell>
          <cell r="I474">
            <v>82.4</v>
          </cell>
          <cell r="O474">
            <v>60.3</v>
          </cell>
          <cell r="Q474">
            <v>79.224999999999994</v>
          </cell>
          <cell r="R474">
            <v>26.9</v>
          </cell>
          <cell r="X474">
            <v>60.3</v>
          </cell>
          <cell r="Z474">
            <v>79.224999999999994</v>
          </cell>
          <cell r="AI474">
            <v>79.224999999999994</v>
          </cell>
          <cell r="AJ474">
            <v>2.1</v>
          </cell>
          <cell r="AP474">
            <v>29.1</v>
          </cell>
          <cell r="AR474">
            <v>79.174999999999997</v>
          </cell>
          <cell r="AS474">
            <v>0.1</v>
          </cell>
          <cell r="AY474">
            <v>24.1</v>
          </cell>
          <cell r="BA474">
            <v>79.174999999999997</v>
          </cell>
          <cell r="BB474">
            <v>0.1</v>
          </cell>
          <cell r="BH474">
            <v>6.1</v>
          </cell>
          <cell r="BJ474">
            <v>53.225000000000001</v>
          </cell>
          <cell r="BK474">
            <v>0.1</v>
          </cell>
          <cell r="BQ474">
            <v>3.8</v>
          </cell>
          <cell r="BS474">
            <v>37.174999999999997</v>
          </cell>
          <cell r="BZ474">
            <v>3.8</v>
          </cell>
          <cell r="CB474">
            <v>12.175000000000001</v>
          </cell>
          <cell r="CK474">
            <v>12.175000000000001</v>
          </cell>
          <cell r="CT474">
            <v>12.175000000000001</v>
          </cell>
          <cell r="DL474">
            <v>1.2</v>
          </cell>
          <cell r="DU474">
            <v>1.2</v>
          </cell>
          <cell r="ED474">
            <v>1.2</v>
          </cell>
          <cell r="EE474">
            <v>145.19999999999999</v>
          </cell>
          <cell r="EM474">
            <v>1.2</v>
          </cell>
          <cell r="EN474">
            <v>85.2</v>
          </cell>
        </row>
        <row r="475">
          <cell r="A475">
            <v>148</v>
          </cell>
          <cell r="B475" t="str">
            <v>FG</v>
          </cell>
          <cell r="C475" t="str">
            <v>FM</v>
          </cell>
          <cell r="D475" t="str">
            <v>P-12 SPECIAL</v>
          </cell>
        </row>
        <row r="476">
          <cell r="A476">
            <v>149</v>
          </cell>
          <cell r="B476" t="str">
            <v>FG</v>
          </cell>
          <cell r="C476" t="str">
            <v>NM</v>
          </cell>
          <cell r="D476" t="str">
            <v>BEHENIC-75</v>
          </cell>
        </row>
        <row r="477">
          <cell r="A477">
            <v>150</v>
          </cell>
          <cell r="B477" t="str">
            <v>FG</v>
          </cell>
          <cell r="C477" t="str">
            <v>NM</v>
          </cell>
          <cell r="D477" t="str">
            <v>BEHENIC-85</v>
          </cell>
          <cell r="CL477">
            <v>187.5</v>
          </cell>
          <cell r="CU477">
            <v>187.5</v>
          </cell>
          <cell r="DM477">
            <v>187.5</v>
          </cell>
        </row>
        <row r="478">
          <cell r="A478">
            <v>151</v>
          </cell>
          <cell r="B478" t="str">
            <v>FG</v>
          </cell>
          <cell r="C478" t="str">
            <v>FM</v>
          </cell>
          <cell r="D478" t="str">
            <v>BEHENIC-90</v>
          </cell>
          <cell r="F478">
            <v>3.5</v>
          </cell>
          <cell r="O478">
            <v>3.5</v>
          </cell>
          <cell r="X478">
            <v>3.5</v>
          </cell>
          <cell r="AP478">
            <v>3.5</v>
          </cell>
          <cell r="AY478">
            <v>3.5</v>
          </cell>
          <cell r="BH478">
            <v>3.5</v>
          </cell>
          <cell r="BQ478">
            <v>3.5</v>
          </cell>
          <cell r="BZ478">
            <v>3.5</v>
          </cell>
          <cell r="CC478">
            <v>67</v>
          </cell>
          <cell r="CR478">
            <v>3.5</v>
          </cell>
          <cell r="DA478">
            <v>3</v>
          </cell>
          <cell r="DD478">
            <v>187.5</v>
          </cell>
          <cell r="DK478">
            <v>3</v>
          </cell>
          <cell r="DV478">
            <v>147.5</v>
          </cell>
          <cell r="EE478">
            <v>147.5</v>
          </cell>
          <cell r="EN478">
            <v>147.5</v>
          </cell>
        </row>
        <row r="479">
          <cell r="A479">
            <v>152</v>
          </cell>
          <cell r="B479" t="str">
            <v>FG</v>
          </cell>
          <cell r="C479" t="str">
            <v>FM</v>
          </cell>
          <cell r="D479" t="str">
            <v>G3 STEARIC</v>
          </cell>
          <cell r="H479">
            <v>1.75</v>
          </cell>
          <cell r="Q479">
            <v>1.75</v>
          </cell>
          <cell r="Z479">
            <v>1.75</v>
          </cell>
          <cell r="AI479">
            <v>1.75</v>
          </cell>
          <cell r="AJ479">
            <v>15.95</v>
          </cell>
          <cell r="AR479">
            <v>3.9</v>
          </cell>
          <cell r="AS479">
            <v>15.95</v>
          </cell>
          <cell r="BA479">
            <v>3.9</v>
          </cell>
          <cell r="BJ479">
            <v>1.75</v>
          </cell>
          <cell r="BS479">
            <v>3.9</v>
          </cell>
          <cell r="CB479">
            <v>3.9</v>
          </cell>
          <cell r="CK479">
            <v>3.9</v>
          </cell>
          <cell r="CT479">
            <v>3.9</v>
          </cell>
          <cell r="DL479">
            <v>3.9</v>
          </cell>
          <cell r="DU479">
            <v>3.9</v>
          </cell>
          <cell r="DV479">
            <v>32.950000000000003</v>
          </cell>
          <cell r="ED479">
            <v>3.9</v>
          </cell>
          <cell r="EE479">
            <v>5.95</v>
          </cell>
          <cell r="EM479">
            <v>3.9</v>
          </cell>
          <cell r="EN479">
            <v>40.450000000000003</v>
          </cell>
        </row>
        <row r="480">
          <cell r="A480">
            <v>153</v>
          </cell>
          <cell r="B480" t="str">
            <v>FG</v>
          </cell>
          <cell r="C480" t="str">
            <v>NM</v>
          </cell>
          <cell r="D480" t="str">
            <v>HYD.CASTOR OIL</v>
          </cell>
        </row>
        <row r="481">
          <cell r="A481">
            <v>154</v>
          </cell>
          <cell r="B481" t="str">
            <v>FG</v>
          </cell>
          <cell r="C481" t="str">
            <v>FM</v>
          </cell>
          <cell r="D481" t="str">
            <v>C16  W/E</v>
          </cell>
          <cell r="I481">
            <v>41.03</v>
          </cell>
          <cell r="R481">
            <v>41.03</v>
          </cell>
          <cell r="AJ481">
            <v>41.03</v>
          </cell>
          <cell r="AS481">
            <v>41.03</v>
          </cell>
          <cell r="BB481">
            <v>41.03</v>
          </cell>
          <cell r="BK481">
            <v>41.03</v>
          </cell>
          <cell r="BT481">
            <v>41.03</v>
          </cell>
          <cell r="CC481">
            <v>41.03</v>
          </cell>
          <cell r="CL481">
            <v>41.03</v>
          </cell>
          <cell r="CU481">
            <v>41.03</v>
          </cell>
          <cell r="DD481">
            <v>41.03</v>
          </cell>
          <cell r="DM481">
            <v>41.03</v>
          </cell>
          <cell r="DV481">
            <v>41.03</v>
          </cell>
          <cell r="EE481">
            <v>41.03</v>
          </cell>
          <cell r="EN481">
            <v>40.53</v>
          </cell>
        </row>
        <row r="482">
          <cell r="A482">
            <v>155</v>
          </cell>
          <cell r="B482" t="str">
            <v>FG</v>
          </cell>
          <cell r="C482" t="str">
            <v>FM</v>
          </cell>
          <cell r="D482" t="str">
            <v>C18  W/E</v>
          </cell>
          <cell r="I482">
            <v>15.64</v>
          </cell>
          <cell r="R482">
            <v>15.64</v>
          </cell>
          <cell r="AJ482">
            <v>15.64</v>
          </cell>
          <cell r="AS482">
            <v>15.64</v>
          </cell>
          <cell r="BB482">
            <v>15.64</v>
          </cell>
          <cell r="BK482">
            <v>15.64</v>
          </cell>
          <cell r="BT482">
            <v>15.64</v>
          </cell>
          <cell r="CC482">
            <v>15.64</v>
          </cell>
          <cell r="CL482">
            <v>31.1</v>
          </cell>
          <cell r="CU482">
            <v>15.64</v>
          </cell>
          <cell r="DD482">
            <v>15.64</v>
          </cell>
          <cell r="DM482">
            <v>15.64</v>
          </cell>
          <cell r="DV482">
            <v>15.64</v>
          </cell>
          <cell r="EE482">
            <v>15.64</v>
          </cell>
          <cell r="EN482">
            <v>15.64</v>
          </cell>
        </row>
        <row r="483">
          <cell r="A483">
            <v>156</v>
          </cell>
          <cell r="B483" t="str">
            <v>FG</v>
          </cell>
          <cell r="C483" t="str">
            <v>FM</v>
          </cell>
          <cell r="D483" t="str">
            <v>C1618  W/E</v>
          </cell>
          <cell r="I483">
            <v>31.21</v>
          </cell>
          <cell r="R483">
            <v>31.21</v>
          </cell>
          <cell r="AJ483">
            <v>31.21</v>
          </cell>
          <cell r="AS483">
            <v>31.21</v>
          </cell>
          <cell r="BB483">
            <v>31.21</v>
          </cell>
          <cell r="BK483">
            <v>31.21</v>
          </cell>
          <cell r="BT483">
            <v>31.21</v>
          </cell>
          <cell r="CC483">
            <v>31.21</v>
          </cell>
          <cell r="CL483">
            <v>15.75</v>
          </cell>
          <cell r="CU483">
            <v>31.21</v>
          </cell>
          <cell r="DD483">
            <v>31.31</v>
          </cell>
          <cell r="DM483">
            <v>31.21</v>
          </cell>
          <cell r="DV483">
            <v>31.21</v>
          </cell>
          <cell r="EE483">
            <v>31.21</v>
          </cell>
          <cell r="EN483">
            <v>31.21</v>
          </cell>
        </row>
        <row r="484">
          <cell r="A484">
            <v>157</v>
          </cell>
          <cell r="B484" t="str">
            <v>FG</v>
          </cell>
          <cell r="C484" t="str">
            <v>NM</v>
          </cell>
          <cell r="D484" t="str">
            <v>CONTAMINATED FATTY ACID</v>
          </cell>
          <cell r="I484">
            <v>31</v>
          </cell>
          <cell r="R484">
            <v>31</v>
          </cell>
          <cell r="AJ484">
            <v>25</v>
          </cell>
          <cell r="AS484">
            <v>25</v>
          </cell>
          <cell r="BB484">
            <v>25</v>
          </cell>
          <cell r="BK484">
            <v>25</v>
          </cell>
          <cell r="BT484">
            <v>25</v>
          </cell>
          <cell r="CC484">
            <v>25</v>
          </cell>
          <cell r="DV484">
            <v>25</v>
          </cell>
          <cell r="EE484">
            <v>25</v>
          </cell>
          <cell r="EN484">
            <v>25</v>
          </cell>
        </row>
        <row r="485">
          <cell r="A485">
            <v>158</v>
          </cell>
          <cell r="B485" t="str">
            <v>FG</v>
          </cell>
          <cell r="C485" t="str">
            <v>NM</v>
          </cell>
          <cell r="D485" t="str">
            <v>STEARIC ACID - SPECIAL</v>
          </cell>
          <cell r="F485">
            <v>1.35</v>
          </cell>
          <cell r="H485">
            <v>1.05</v>
          </cell>
          <cell r="O485">
            <v>1.35</v>
          </cell>
          <cell r="Q485">
            <v>1.05</v>
          </cell>
          <cell r="X485">
            <v>1.35</v>
          </cell>
          <cell r="Z485">
            <v>1.05</v>
          </cell>
          <cell r="AI485">
            <v>1.05</v>
          </cell>
          <cell r="AP485">
            <v>1.35</v>
          </cell>
          <cell r="AR485">
            <v>1.05</v>
          </cell>
          <cell r="AY485">
            <v>1.35</v>
          </cell>
          <cell r="BA485">
            <v>1.05</v>
          </cell>
          <cell r="BH485">
            <v>1.35</v>
          </cell>
          <cell r="BJ485">
            <v>1.05</v>
          </cell>
          <cell r="BQ485">
            <v>1.35</v>
          </cell>
          <cell r="BS485">
            <v>1.05</v>
          </cell>
          <cell r="BZ485">
            <v>1.35</v>
          </cell>
          <cell r="CB485">
            <v>1.05</v>
          </cell>
          <cell r="CI485">
            <v>1.35</v>
          </cell>
          <cell r="CK485">
            <v>1.05</v>
          </cell>
          <cell r="CR485">
            <v>1.35</v>
          </cell>
          <cell r="CT485">
            <v>1.05</v>
          </cell>
          <cell r="DK485">
            <v>1.35</v>
          </cell>
          <cell r="DL485">
            <v>1.05</v>
          </cell>
          <cell r="DS485">
            <v>1.35</v>
          </cell>
          <cell r="DU485">
            <v>1.05</v>
          </cell>
          <cell r="EB485">
            <v>1.35</v>
          </cell>
          <cell r="ED485">
            <v>1.05</v>
          </cell>
          <cell r="EK485">
            <v>1.35</v>
          </cell>
          <cell r="EM485">
            <v>1.05</v>
          </cell>
        </row>
        <row r="486">
          <cell r="A486">
            <v>159</v>
          </cell>
          <cell r="B486" t="str">
            <v>FG</v>
          </cell>
          <cell r="C486" t="str">
            <v>NM</v>
          </cell>
          <cell r="D486" t="str">
            <v>DFA-C18/22</v>
          </cell>
        </row>
        <row r="487">
          <cell r="A487">
            <v>160</v>
          </cell>
          <cell r="B487" t="str">
            <v>FG</v>
          </cell>
          <cell r="C487" t="str">
            <v>NM</v>
          </cell>
          <cell r="D487" t="str">
            <v>C10 Alc (14 * 170 kgs)</v>
          </cell>
        </row>
        <row r="488">
          <cell r="A488">
            <v>241</v>
          </cell>
          <cell r="B488" t="str">
            <v>FG</v>
          </cell>
          <cell r="C488" t="str">
            <v>NM</v>
          </cell>
          <cell r="D488" t="str">
            <v>C12</v>
          </cell>
          <cell r="I488">
            <v>11.5</v>
          </cell>
          <cell r="R488">
            <v>10</v>
          </cell>
          <cell r="AJ488">
            <v>10</v>
          </cell>
          <cell r="AS488">
            <v>8</v>
          </cell>
          <cell r="BB488">
            <v>8</v>
          </cell>
          <cell r="BK488">
            <v>8</v>
          </cell>
          <cell r="BT488">
            <v>8</v>
          </cell>
          <cell r="CC488">
            <v>5.5250000000000004</v>
          </cell>
          <cell r="CL488">
            <v>3.5249999999999999</v>
          </cell>
          <cell r="CU488">
            <v>3.5249999999999999</v>
          </cell>
          <cell r="DD488">
            <v>3.5249999999999999</v>
          </cell>
        </row>
        <row r="489">
          <cell r="A489">
            <v>244</v>
          </cell>
          <cell r="B489" t="str">
            <v>FG</v>
          </cell>
          <cell r="C489" t="str">
            <v>NM</v>
          </cell>
          <cell r="D489" t="str">
            <v>STEARIC-90</v>
          </cell>
          <cell r="E489" t="str">
            <v>STEARIC-90</v>
          </cell>
          <cell r="F489">
            <v>81.900000000000006</v>
          </cell>
          <cell r="O489">
            <v>81.8</v>
          </cell>
          <cell r="X489">
            <v>81.8</v>
          </cell>
          <cell r="AP489">
            <v>81.8</v>
          </cell>
          <cell r="AY489">
            <v>81.8</v>
          </cell>
          <cell r="BH489">
            <v>81.8</v>
          </cell>
          <cell r="BQ489">
            <v>81.8</v>
          </cell>
          <cell r="BZ489">
            <v>81.8</v>
          </cell>
          <cell r="CI489">
            <v>79.599999999999994</v>
          </cell>
          <cell r="CS489">
            <v>79.599999999999994</v>
          </cell>
          <cell r="DA489">
            <v>79</v>
          </cell>
          <cell r="DK489">
            <v>79</v>
          </cell>
          <cell r="DS489">
            <v>79.599999999999994</v>
          </cell>
          <cell r="EB489">
            <v>79.599999999999994</v>
          </cell>
          <cell r="EK489">
            <v>79.599999999999994</v>
          </cell>
        </row>
        <row r="490">
          <cell r="A490">
            <v>246</v>
          </cell>
          <cell r="B490" t="str">
            <v>FG</v>
          </cell>
          <cell r="C490" t="str">
            <v>NM</v>
          </cell>
          <cell r="D490" t="str">
            <v>HPS 25 KGS</v>
          </cell>
        </row>
        <row r="491">
          <cell r="F491">
            <v>236.85</v>
          </cell>
          <cell r="G491">
            <v>0</v>
          </cell>
          <cell r="H491">
            <v>209.27500000000001</v>
          </cell>
          <cell r="I491">
            <v>712.96499999999992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244.59999999999997</v>
          </cell>
          <cell r="P491">
            <v>0</v>
          </cell>
          <cell r="Q491">
            <v>150.625</v>
          </cell>
          <cell r="R491">
            <v>704.49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191.59999999999997</v>
          </cell>
          <cell r="Y491">
            <v>0</v>
          </cell>
          <cell r="Z491">
            <v>149.625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136.625</v>
          </cell>
          <cell r="AJ491">
            <v>542.21499999999992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146.1</v>
          </cell>
          <cell r="AQ491">
            <v>0</v>
          </cell>
          <cell r="AR491">
            <v>131.72500000000002</v>
          </cell>
          <cell r="AS491">
            <v>356.71499999999997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125.1</v>
          </cell>
          <cell r="AZ491">
            <v>0</v>
          </cell>
          <cell r="BA491">
            <v>131.72500000000002</v>
          </cell>
          <cell r="BB491">
            <v>359.46499999999997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98.1</v>
          </cell>
          <cell r="BI491">
            <v>0</v>
          </cell>
          <cell r="BJ491">
            <v>62.625</v>
          </cell>
          <cell r="BK491">
            <v>239.715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167.1</v>
          </cell>
          <cell r="BR491">
            <v>0</v>
          </cell>
          <cell r="BS491">
            <v>89.725000000000009</v>
          </cell>
          <cell r="BT491">
            <v>330.315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153.69999999999999</v>
          </cell>
          <cell r="CA491">
            <v>0</v>
          </cell>
          <cell r="CB491">
            <v>63.725000000000001</v>
          </cell>
          <cell r="CC491">
            <v>344.48999999999995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135.69999999999999</v>
          </cell>
          <cell r="CJ491">
            <v>0</v>
          </cell>
          <cell r="CK491">
            <v>63.725000000000001</v>
          </cell>
          <cell r="CL491">
            <v>400.78999999999996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103.6</v>
          </cell>
          <cell r="CS491">
            <v>79.599999999999994</v>
          </cell>
          <cell r="CT491">
            <v>63.725000000000001</v>
          </cell>
          <cell r="CU491">
            <v>471.98999999999995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199.5</v>
          </cell>
          <cell r="DB491">
            <v>0</v>
          </cell>
          <cell r="DC491">
            <v>0</v>
          </cell>
          <cell r="DD491">
            <v>478.01499999999993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K491">
            <v>234</v>
          </cell>
          <cell r="DL491">
            <v>48.75</v>
          </cell>
          <cell r="DM491">
            <v>542.04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226.85</v>
          </cell>
          <cell r="DT491">
            <v>0</v>
          </cell>
          <cell r="DU491">
            <v>48.75</v>
          </cell>
          <cell r="DV491">
            <v>564.41499999999996</v>
          </cell>
          <cell r="DW491">
            <v>0</v>
          </cell>
          <cell r="DX491">
            <v>0</v>
          </cell>
          <cell r="DY491">
            <v>0</v>
          </cell>
          <cell r="DZ491">
            <v>0</v>
          </cell>
          <cell r="EA491">
            <v>0</v>
          </cell>
          <cell r="EB491">
            <v>314.85000000000002</v>
          </cell>
          <cell r="EC491">
            <v>0</v>
          </cell>
          <cell r="ED491">
            <v>48.750000000000007</v>
          </cell>
          <cell r="EE491">
            <v>583.81500000000005</v>
          </cell>
          <cell r="EF491">
            <v>0</v>
          </cell>
          <cell r="EG491">
            <v>0</v>
          </cell>
          <cell r="EH491">
            <v>0</v>
          </cell>
          <cell r="EI491">
            <v>0</v>
          </cell>
          <cell r="EJ491">
            <v>0</v>
          </cell>
          <cell r="EK491">
            <v>280.60000000000002</v>
          </cell>
          <cell r="EL491">
            <v>0</v>
          </cell>
          <cell r="EM491">
            <v>48.750000000000007</v>
          </cell>
          <cell r="EN491">
            <v>547.16499999999996</v>
          </cell>
          <cell r="EO491">
            <v>0</v>
          </cell>
          <cell r="EP491">
            <v>0</v>
          </cell>
          <cell r="EQ491">
            <v>0</v>
          </cell>
          <cell r="ER491">
            <v>0</v>
          </cell>
          <cell r="ES491">
            <v>0</v>
          </cell>
        </row>
        <row r="492">
          <cell r="A492" t="str">
            <v>FATTY ALCOHOLS</v>
          </cell>
        </row>
        <row r="493">
          <cell r="A493">
            <v>256</v>
          </cell>
          <cell r="B493" t="str">
            <v>FG</v>
          </cell>
          <cell r="C493" t="str">
            <v>FM</v>
          </cell>
          <cell r="D493" t="str">
            <v>VEGROL10</v>
          </cell>
          <cell r="BB493">
            <v>15</v>
          </cell>
        </row>
        <row r="494">
          <cell r="A494">
            <v>161</v>
          </cell>
          <cell r="B494" t="str">
            <v>FG</v>
          </cell>
          <cell r="C494" t="str">
            <v>FM</v>
          </cell>
          <cell r="D494" t="str">
            <v>VEGROL1214</v>
          </cell>
          <cell r="I494">
            <v>0.91</v>
          </cell>
          <cell r="R494">
            <v>173.36</v>
          </cell>
          <cell r="V494">
            <v>66.69</v>
          </cell>
          <cell r="Z494">
            <v>45.28</v>
          </cell>
          <cell r="AA494">
            <v>456.69</v>
          </cell>
          <cell r="AE494">
            <v>33.03</v>
          </cell>
          <cell r="AI494">
            <v>504.07</v>
          </cell>
          <cell r="AJ494">
            <v>115</v>
          </cell>
          <cell r="AN494">
            <v>30.85</v>
          </cell>
          <cell r="AR494">
            <v>0.67000000000007276</v>
          </cell>
          <cell r="AS494">
            <v>949</v>
          </cell>
          <cell r="AW494">
            <v>30.84</v>
          </cell>
          <cell r="BA494">
            <v>0.67</v>
          </cell>
          <cell r="BB494">
            <v>819</v>
          </cell>
          <cell r="BF494">
            <v>65.459999999999994</v>
          </cell>
          <cell r="BJ494">
            <v>0.67000000000007276</v>
          </cell>
          <cell r="BK494">
            <v>571</v>
          </cell>
          <cell r="BO494">
            <v>50.76</v>
          </cell>
          <cell r="CC494">
            <v>1203</v>
          </cell>
          <cell r="CK494">
            <v>15.75</v>
          </cell>
          <cell r="CL494">
            <v>1001.6500000000001</v>
          </cell>
          <cell r="CT494">
            <v>255.01</v>
          </cell>
          <cell r="CU494">
            <v>725.75</v>
          </cell>
          <cell r="DD494">
            <v>768.16</v>
          </cell>
          <cell r="DL494">
            <v>574.02</v>
          </cell>
          <cell r="DM494">
            <v>1999.9300000000003</v>
          </cell>
          <cell r="DQ494">
            <v>71.19</v>
          </cell>
          <cell r="DU494">
            <v>574.02</v>
          </cell>
          <cell r="DV494">
            <v>1367</v>
          </cell>
          <cell r="DZ494">
            <v>110.03</v>
          </cell>
          <cell r="ED494">
            <v>649.09</v>
          </cell>
          <cell r="EE494">
            <v>983.6099999999999</v>
          </cell>
          <cell r="EM494">
            <v>650.04999999999995</v>
          </cell>
          <cell r="EN494">
            <v>1110.8599999999999</v>
          </cell>
        </row>
        <row r="495">
          <cell r="A495">
            <v>162</v>
          </cell>
          <cell r="B495" t="str">
            <v>FG</v>
          </cell>
          <cell r="C495" t="str">
            <v>FM</v>
          </cell>
          <cell r="D495" t="str">
            <v>VEGROL1216</v>
          </cell>
          <cell r="H495">
            <v>45.28</v>
          </cell>
          <cell r="I495">
            <v>637.24</v>
          </cell>
          <cell r="Q495">
            <v>45.28</v>
          </cell>
          <cell r="R495">
            <v>637.29999999999995</v>
          </cell>
          <cell r="V495">
            <v>46.38</v>
          </cell>
          <cell r="AA495">
            <v>450.82</v>
          </cell>
          <cell r="AE495">
            <v>91.37</v>
          </cell>
          <cell r="AI495">
            <v>292.54000000000002</v>
          </cell>
          <cell r="AJ495">
            <v>1006</v>
          </cell>
          <cell r="AN495">
            <v>29.48</v>
          </cell>
          <cell r="AR495">
            <v>979.85</v>
          </cell>
          <cell r="AS495">
            <v>425</v>
          </cell>
          <cell r="BA495">
            <v>460.72</v>
          </cell>
          <cell r="BB495">
            <v>944</v>
          </cell>
          <cell r="BJ495">
            <v>29.839999999999861</v>
          </cell>
          <cell r="BK495">
            <v>1043</v>
          </cell>
          <cell r="BS495">
            <v>30.510000000000073</v>
          </cell>
          <cell r="BT495">
            <v>1026</v>
          </cell>
          <cell r="BX495">
            <v>30.62</v>
          </cell>
          <cell r="CB495">
            <v>646.36</v>
          </cell>
          <cell r="CC495">
            <v>201</v>
          </cell>
          <cell r="CG495">
            <v>30.36</v>
          </cell>
          <cell r="CL495">
            <v>811.25</v>
          </cell>
          <cell r="CU495">
            <v>913.06</v>
          </cell>
          <cell r="DC495">
            <v>466.3</v>
          </cell>
          <cell r="DD495">
            <v>855.6</v>
          </cell>
          <cell r="DL495">
            <v>496.92</v>
          </cell>
          <cell r="DM495">
            <v>276.99</v>
          </cell>
          <cell r="DQ495">
            <v>22.03</v>
          </cell>
          <cell r="DU495">
            <v>504.46</v>
          </cell>
          <cell r="DV495">
            <v>778</v>
          </cell>
          <cell r="ED495">
            <v>504.46</v>
          </cell>
          <cell r="EE495">
            <v>779.87</v>
          </cell>
          <cell r="EN495">
            <v>832.16100000000006</v>
          </cell>
        </row>
        <row r="496">
          <cell r="A496">
            <v>163</v>
          </cell>
          <cell r="B496" t="str">
            <v>FG</v>
          </cell>
          <cell r="C496" t="str">
            <v>FM</v>
          </cell>
          <cell r="D496" t="str">
            <v>VEGROL 1218</v>
          </cell>
          <cell r="I496">
            <v>578.94000000000005</v>
          </cell>
          <cell r="R496">
            <v>570.9</v>
          </cell>
          <cell r="AA496">
            <v>640.62</v>
          </cell>
          <cell r="AJ496">
            <v>531</v>
          </cell>
          <cell r="AN496">
            <v>30.15</v>
          </cell>
          <cell r="AS496">
            <v>599.87</v>
          </cell>
          <cell r="BB496">
            <v>694</v>
          </cell>
          <cell r="BK496">
            <v>600.17999999999995</v>
          </cell>
          <cell r="BO496">
            <v>16.059999999999999</v>
          </cell>
          <cell r="BT496">
            <v>622</v>
          </cell>
          <cell r="CC496">
            <v>22</v>
          </cell>
          <cell r="CL496">
            <v>765.68</v>
          </cell>
          <cell r="CU496">
            <v>725.5</v>
          </cell>
          <cell r="DD496">
            <v>708.70999999999992</v>
          </cell>
          <cell r="DM496">
            <v>736.98</v>
          </cell>
          <cell r="EE496">
            <v>853.5</v>
          </cell>
          <cell r="EN496">
            <v>871.62</v>
          </cell>
        </row>
        <row r="497">
          <cell r="A497">
            <v>164</v>
          </cell>
          <cell r="B497" t="str">
            <v>FG</v>
          </cell>
          <cell r="C497" t="str">
            <v>FM</v>
          </cell>
          <cell r="D497" t="str">
            <v>VEGROL C1618TA</v>
          </cell>
          <cell r="I497">
            <v>983.7</v>
          </cell>
          <cell r="R497">
            <v>897.4</v>
          </cell>
          <cell r="AA497">
            <v>886.33</v>
          </cell>
          <cell r="BK497">
            <v>839</v>
          </cell>
          <cell r="BT497">
            <v>826</v>
          </cell>
          <cell r="CC497">
            <v>760</v>
          </cell>
          <cell r="CL497">
            <v>436.6</v>
          </cell>
          <cell r="CU497">
            <v>911.5</v>
          </cell>
          <cell r="DD497">
            <v>349.36</v>
          </cell>
          <cell r="DM497">
            <v>328.48</v>
          </cell>
          <cell r="DV497">
            <v>629</v>
          </cell>
          <cell r="EE497">
            <v>1002.21</v>
          </cell>
          <cell r="EN497">
            <v>493.8</v>
          </cell>
        </row>
        <row r="498">
          <cell r="A498">
            <v>165</v>
          </cell>
          <cell r="B498" t="str">
            <v>FG</v>
          </cell>
          <cell r="C498" t="str">
            <v>FM</v>
          </cell>
          <cell r="D498" t="str">
            <v>VEGROL C1618(50:50)</v>
          </cell>
          <cell r="I498">
            <v>228.41</v>
          </cell>
          <cell r="R498">
            <v>162.93</v>
          </cell>
          <cell r="AA498">
            <v>49.21</v>
          </cell>
          <cell r="AJ498">
            <v>37</v>
          </cell>
          <cell r="CC498">
            <v>478</v>
          </cell>
          <cell r="CL498">
            <v>420.59</v>
          </cell>
          <cell r="CU498">
            <v>371.99</v>
          </cell>
          <cell r="DD498">
            <v>371.99</v>
          </cell>
          <cell r="DM498">
            <v>311.77</v>
          </cell>
          <cell r="DV498">
            <v>291</v>
          </cell>
          <cell r="EE498">
            <v>183.23793600000002</v>
          </cell>
          <cell r="EN498">
            <v>183.31745599999999</v>
          </cell>
        </row>
        <row r="499">
          <cell r="A499">
            <v>166</v>
          </cell>
          <cell r="B499" t="str">
            <v>FG</v>
          </cell>
          <cell r="C499" t="str">
            <v>FM</v>
          </cell>
          <cell r="D499" t="str">
            <v>VEGROL C1618PS</v>
          </cell>
          <cell r="CL499">
            <v>64.97</v>
          </cell>
        </row>
        <row r="500">
          <cell r="A500">
            <v>167</v>
          </cell>
          <cell r="B500" t="str">
            <v>FG</v>
          </cell>
          <cell r="C500" t="str">
            <v>FM</v>
          </cell>
          <cell r="D500" t="str">
            <v>VEGROL C1698</v>
          </cell>
          <cell r="I500">
            <v>303.27</v>
          </cell>
          <cell r="R500">
            <v>280.04000000000002</v>
          </cell>
          <cell r="AA500">
            <v>190.04</v>
          </cell>
          <cell r="CL500">
            <v>526.57000000000005</v>
          </cell>
          <cell r="CU500">
            <v>650.1</v>
          </cell>
          <cell r="DD500">
            <v>643.21</v>
          </cell>
          <cell r="DM500">
            <v>524.75</v>
          </cell>
          <cell r="DV500">
            <v>237.55</v>
          </cell>
          <cell r="EE500">
            <v>234.94</v>
          </cell>
          <cell r="EN500">
            <v>290.23</v>
          </cell>
        </row>
        <row r="501">
          <cell r="A501">
            <v>168</v>
          </cell>
          <cell r="B501" t="str">
            <v>FG</v>
          </cell>
          <cell r="C501" t="str">
            <v>FM</v>
          </cell>
          <cell r="D501" t="str">
            <v>VEGROL C1895</v>
          </cell>
        </row>
        <row r="502">
          <cell r="A502">
            <v>169</v>
          </cell>
          <cell r="B502" t="str">
            <v>FG</v>
          </cell>
          <cell r="C502" t="str">
            <v>FM</v>
          </cell>
          <cell r="D502" t="str">
            <v>VEGROL C1898</v>
          </cell>
          <cell r="I502">
            <v>178.76</v>
          </cell>
          <cell r="R502">
            <v>149.80000000000001</v>
          </cell>
          <cell r="AA502">
            <v>102.19</v>
          </cell>
          <cell r="CL502">
            <v>138.94</v>
          </cell>
          <cell r="CU502">
            <v>193.97</v>
          </cell>
          <cell r="DD502">
            <v>255.55</v>
          </cell>
          <cell r="DM502">
            <v>193.75</v>
          </cell>
        </row>
        <row r="503">
          <cell r="A503">
            <v>170</v>
          </cell>
          <cell r="B503" t="str">
            <v>FG</v>
          </cell>
          <cell r="C503" t="str">
            <v>FM</v>
          </cell>
          <cell r="D503" t="str">
            <v>VEGROL C1822 (seed alc)</v>
          </cell>
          <cell r="I503">
            <v>404.84</v>
          </cell>
          <cell r="R503">
            <v>405.22</v>
          </cell>
          <cell r="AA503">
            <v>369.56</v>
          </cell>
          <cell r="AJ503">
            <v>97</v>
          </cell>
          <cell r="AS503">
            <v>60</v>
          </cell>
          <cell r="CL503">
            <v>153.30000000000001</v>
          </cell>
        </row>
        <row r="504">
          <cell r="A504">
            <v>171</v>
          </cell>
          <cell r="B504" t="str">
            <v>FG</v>
          </cell>
          <cell r="C504" t="str">
            <v>SM</v>
          </cell>
          <cell r="D504" t="str">
            <v>VEGROL C20:2250:50</v>
          </cell>
          <cell r="BT504">
            <v>556</v>
          </cell>
        </row>
        <row r="505">
          <cell r="A505">
            <v>172</v>
          </cell>
          <cell r="B505" t="str">
            <v>FG</v>
          </cell>
          <cell r="C505" t="str">
            <v>SM</v>
          </cell>
          <cell r="D505" t="str">
            <v>VEGROL C2280</v>
          </cell>
          <cell r="I505">
            <v>666.2</v>
          </cell>
          <cell r="R505">
            <v>629.72</v>
          </cell>
          <cell r="AA505">
            <v>601.75</v>
          </cell>
          <cell r="AJ505">
            <v>448</v>
          </cell>
          <cell r="AS505">
            <v>202</v>
          </cell>
          <cell r="BB505">
            <v>143</v>
          </cell>
          <cell r="BK505">
            <v>97</v>
          </cell>
          <cell r="BT505">
            <v>97</v>
          </cell>
          <cell r="CC505">
            <v>98</v>
          </cell>
          <cell r="CL505">
            <v>98.62</v>
          </cell>
          <cell r="DD505">
            <v>83.63</v>
          </cell>
          <cell r="DM505">
            <v>68.56</v>
          </cell>
          <cell r="DV505">
            <v>68</v>
          </cell>
          <cell r="EE505">
            <v>53.617300000000007</v>
          </cell>
          <cell r="EN505">
            <v>53.561999999999998</v>
          </cell>
        </row>
        <row r="506">
          <cell r="A506">
            <v>173</v>
          </cell>
          <cell r="B506" t="str">
            <v>FG</v>
          </cell>
          <cell r="C506" t="str">
            <v>SM</v>
          </cell>
          <cell r="D506" t="str">
            <v>VEGROL1216 CONCENTRATED</v>
          </cell>
        </row>
        <row r="507">
          <cell r="A507">
            <v>250</v>
          </cell>
          <cell r="B507" t="str">
            <v>FG</v>
          </cell>
          <cell r="C507" t="str">
            <v>SM</v>
          </cell>
          <cell r="D507" t="str">
            <v>VEGROL C2270</v>
          </cell>
          <cell r="AJ507">
            <v>271</v>
          </cell>
          <cell r="AS507">
            <v>285</v>
          </cell>
          <cell r="BB507">
            <v>280</v>
          </cell>
          <cell r="BK507">
            <v>236</v>
          </cell>
          <cell r="BT507">
            <v>236</v>
          </cell>
          <cell r="CC507">
            <v>236</v>
          </cell>
          <cell r="CL507">
            <v>406.29</v>
          </cell>
          <cell r="CU507">
            <v>505.5</v>
          </cell>
          <cell r="DD507">
            <v>395.97</v>
          </cell>
          <cell r="DM507">
            <v>385.63</v>
          </cell>
          <cell r="DV507">
            <v>215</v>
          </cell>
          <cell r="EE507">
            <v>144.5</v>
          </cell>
          <cell r="EN507">
            <v>144.49900000000002</v>
          </cell>
        </row>
        <row r="508">
          <cell r="F508">
            <v>0</v>
          </cell>
          <cell r="G508">
            <v>0</v>
          </cell>
          <cell r="H508">
            <v>45.28</v>
          </cell>
          <cell r="I508">
            <v>3982.2699999999995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45.28</v>
          </cell>
          <cell r="R508">
            <v>3906.67</v>
          </cell>
          <cell r="S508">
            <v>0</v>
          </cell>
          <cell r="T508">
            <v>0</v>
          </cell>
          <cell r="U508">
            <v>0</v>
          </cell>
          <cell r="V508">
            <v>113.07</v>
          </cell>
          <cell r="W508">
            <v>0</v>
          </cell>
          <cell r="X508">
            <v>0</v>
          </cell>
          <cell r="Y508">
            <v>0</v>
          </cell>
          <cell r="Z508">
            <v>45.28</v>
          </cell>
          <cell r="AA508">
            <v>3747.21</v>
          </cell>
          <cell r="AB508">
            <v>0</v>
          </cell>
          <cell r="AC508">
            <v>0</v>
          </cell>
          <cell r="AD508">
            <v>0</v>
          </cell>
          <cell r="AE508">
            <v>124.4</v>
          </cell>
          <cell r="AF508">
            <v>0</v>
          </cell>
          <cell r="AG508">
            <v>0</v>
          </cell>
          <cell r="AH508">
            <v>0</v>
          </cell>
          <cell r="AI508">
            <v>796.61</v>
          </cell>
          <cell r="AJ508">
            <v>2505</v>
          </cell>
          <cell r="AK508">
            <v>0</v>
          </cell>
          <cell r="AL508">
            <v>0</v>
          </cell>
          <cell r="AM508">
            <v>0</v>
          </cell>
          <cell r="AN508">
            <v>90.47999999999999</v>
          </cell>
          <cell r="AO508">
            <v>0</v>
          </cell>
          <cell r="AP508">
            <v>0</v>
          </cell>
          <cell r="AQ508">
            <v>0</v>
          </cell>
          <cell r="AR508">
            <v>980.5200000000001</v>
          </cell>
          <cell r="AS508">
            <v>2520.87</v>
          </cell>
          <cell r="AT508">
            <v>0</v>
          </cell>
          <cell r="AU508">
            <v>0</v>
          </cell>
          <cell r="AV508">
            <v>0</v>
          </cell>
          <cell r="AW508">
            <v>30.84</v>
          </cell>
          <cell r="AX508">
            <v>0</v>
          </cell>
          <cell r="AY508">
            <v>0</v>
          </cell>
          <cell r="AZ508">
            <v>0</v>
          </cell>
          <cell r="BA508">
            <v>461.39000000000004</v>
          </cell>
          <cell r="BB508">
            <v>2600</v>
          </cell>
          <cell r="BC508">
            <v>0</v>
          </cell>
          <cell r="BD508">
            <v>0</v>
          </cell>
          <cell r="BE508">
            <v>0</v>
          </cell>
          <cell r="BF508">
            <v>65.459999999999994</v>
          </cell>
          <cell r="BG508">
            <v>0</v>
          </cell>
          <cell r="BH508">
            <v>0</v>
          </cell>
          <cell r="BI508">
            <v>0</v>
          </cell>
          <cell r="BJ508">
            <v>30.509999999999934</v>
          </cell>
          <cell r="BK508">
            <v>3386.18</v>
          </cell>
          <cell r="BL508">
            <v>0</v>
          </cell>
          <cell r="BM508">
            <v>0</v>
          </cell>
          <cell r="BN508">
            <v>0</v>
          </cell>
          <cell r="BO508">
            <v>66.819999999999993</v>
          </cell>
          <cell r="BP508">
            <v>0</v>
          </cell>
          <cell r="BQ508">
            <v>0</v>
          </cell>
          <cell r="BR508">
            <v>0</v>
          </cell>
          <cell r="BS508">
            <v>30.510000000000073</v>
          </cell>
          <cell r="BT508">
            <v>3363</v>
          </cell>
          <cell r="BU508">
            <v>0</v>
          </cell>
          <cell r="BV508">
            <v>0</v>
          </cell>
          <cell r="BW508">
            <v>0</v>
          </cell>
          <cell r="BX508">
            <v>30.62</v>
          </cell>
          <cell r="BY508">
            <v>0</v>
          </cell>
          <cell r="BZ508">
            <v>0</v>
          </cell>
          <cell r="CA508">
            <v>0</v>
          </cell>
          <cell r="CB508">
            <v>646.36</v>
          </cell>
          <cell r="CC508">
            <v>2998</v>
          </cell>
          <cell r="CD508">
            <v>0</v>
          </cell>
          <cell r="CE508">
            <v>0</v>
          </cell>
          <cell r="CF508">
            <v>0</v>
          </cell>
          <cell r="CG508">
            <v>30.36</v>
          </cell>
          <cell r="CH508">
            <v>0</v>
          </cell>
          <cell r="CI508">
            <v>0</v>
          </cell>
          <cell r="CJ508">
            <v>0</v>
          </cell>
          <cell r="CK508">
            <v>15.75</v>
          </cell>
          <cell r="CL508">
            <v>4824.46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255.01</v>
          </cell>
          <cell r="CU508">
            <v>4997.3700000000008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466.3</v>
          </cell>
          <cell r="DD508">
            <v>4432.18</v>
          </cell>
          <cell r="DE508">
            <v>0</v>
          </cell>
          <cell r="DF508">
            <v>0</v>
          </cell>
          <cell r="DG508">
            <v>0</v>
          </cell>
          <cell r="DH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1070.94</v>
          </cell>
          <cell r="DM508">
            <v>4826.84</v>
          </cell>
          <cell r="DN508">
            <v>0</v>
          </cell>
          <cell r="DO508">
            <v>0</v>
          </cell>
          <cell r="DP508">
            <v>0</v>
          </cell>
          <cell r="DQ508">
            <v>93.22</v>
          </cell>
          <cell r="DR508">
            <v>0</v>
          </cell>
          <cell r="DS508">
            <v>0</v>
          </cell>
          <cell r="DT508">
            <v>0</v>
          </cell>
          <cell r="DU508">
            <v>1078.48</v>
          </cell>
          <cell r="DV508">
            <v>3585.55</v>
          </cell>
          <cell r="DW508">
            <v>0</v>
          </cell>
          <cell r="DX508">
            <v>0</v>
          </cell>
          <cell r="DY508">
            <v>0</v>
          </cell>
          <cell r="DZ508">
            <v>110.03</v>
          </cell>
          <cell r="EA508">
            <v>0</v>
          </cell>
          <cell r="EB508">
            <v>0</v>
          </cell>
          <cell r="EC508">
            <v>0</v>
          </cell>
          <cell r="ED508">
            <v>1153.55</v>
          </cell>
          <cell r="EE508">
            <v>4235.4852360000004</v>
          </cell>
          <cell r="EF508">
            <v>0</v>
          </cell>
          <cell r="EG508">
            <v>0</v>
          </cell>
          <cell r="EH508">
            <v>0</v>
          </cell>
          <cell r="EI508">
            <v>0</v>
          </cell>
          <cell r="EJ508">
            <v>0</v>
          </cell>
          <cell r="EK508">
            <v>0</v>
          </cell>
          <cell r="EL508">
            <v>0</v>
          </cell>
          <cell r="EM508">
            <v>650.04999999999995</v>
          </cell>
          <cell r="EN508">
            <v>3980.0494560000006</v>
          </cell>
          <cell r="EO508">
            <v>0</v>
          </cell>
          <cell r="EP508">
            <v>0</v>
          </cell>
          <cell r="EQ508">
            <v>0</v>
          </cell>
          <cell r="ER508">
            <v>0</v>
          </cell>
          <cell r="ES508">
            <v>0</v>
          </cell>
        </row>
        <row r="509">
          <cell r="A509" t="str">
            <v>PASTILLES</v>
          </cell>
        </row>
        <row r="510">
          <cell r="A510">
            <v>174</v>
          </cell>
          <cell r="B510" t="str">
            <v>FG</v>
          </cell>
          <cell r="C510" t="str">
            <v>FM</v>
          </cell>
          <cell r="D510" t="str">
            <v>VEGROL C1618TA</v>
          </cell>
          <cell r="I510">
            <v>62.543999999999997</v>
          </cell>
          <cell r="R510">
            <v>94.66</v>
          </cell>
          <cell r="AJ510">
            <v>24.213000000000001</v>
          </cell>
          <cell r="AS510">
            <v>74.212999999999994</v>
          </cell>
          <cell r="BB510">
            <v>71.712999999999994</v>
          </cell>
          <cell r="BK510">
            <v>45.713000000000001</v>
          </cell>
          <cell r="BT510">
            <v>76.363</v>
          </cell>
          <cell r="CC510">
            <v>143.56299999999999</v>
          </cell>
          <cell r="CL510">
            <v>104.76300000000001</v>
          </cell>
          <cell r="CU510">
            <v>101.688</v>
          </cell>
          <cell r="DD510">
            <v>77.688000000000002</v>
          </cell>
          <cell r="DM510">
            <v>35.588000000000001</v>
          </cell>
          <cell r="DV510">
            <v>119.038</v>
          </cell>
          <cell r="EE510">
            <v>42.963000000000001</v>
          </cell>
          <cell r="EN510">
            <v>104.038</v>
          </cell>
        </row>
        <row r="511">
          <cell r="A511">
            <v>175</v>
          </cell>
          <cell r="B511" t="str">
            <v>FG</v>
          </cell>
          <cell r="C511" t="str">
            <v>FM</v>
          </cell>
          <cell r="D511" t="str">
            <v>VEGROL C1618(50:50)</v>
          </cell>
          <cell r="I511">
            <v>39.549999999999997</v>
          </cell>
          <cell r="R511">
            <v>52.774999999999999</v>
          </cell>
          <cell r="AJ511">
            <v>63.85</v>
          </cell>
          <cell r="AS511">
            <v>88.825000000000003</v>
          </cell>
          <cell r="BB511">
            <v>70.224999999999994</v>
          </cell>
          <cell r="BK511">
            <v>38.024999999999999</v>
          </cell>
          <cell r="BT511">
            <v>38</v>
          </cell>
          <cell r="CC511">
            <v>73.375</v>
          </cell>
          <cell r="CL511">
            <v>86.125</v>
          </cell>
          <cell r="CU511">
            <v>65.625</v>
          </cell>
          <cell r="DD511">
            <v>45.65</v>
          </cell>
          <cell r="DM511">
            <v>68.625</v>
          </cell>
          <cell r="DV511">
            <v>35.125</v>
          </cell>
          <cell r="EE511">
            <v>80.375</v>
          </cell>
          <cell r="EN511">
            <v>25.574999999999999</v>
          </cell>
        </row>
        <row r="512">
          <cell r="A512">
            <v>176</v>
          </cell>
          <cell r="B512" t="str">
            <v>FG</v>
          </cell>
          <cell r="C512" t="str">
            <v>FM</v>
          </cell>
          <cell r="D512" t="str">
            <v>VEGROL C1618PS</v>
          </cell>
        </row>
        <row r="513">
          <cell r="A513">
            <v>177</v>
          </cell>
          <cell r="B513" t="str">
            <v>FG</v>
          </cell>
          <cell r="C513" t="str">
            <v>FM</v>
          </cell>
          <cell r="D513" t="str">
            <v>VEGROL C1698</v>
          </cell>
          <cell r="I513">
            <v>124.051</v>
          </cell>
          <cell r="R513">
            <v>56.911000000000001</v>
          </cell>
          <cell r="AJ513">
            <v>48.341999999999999</v>
          </cell>
          <cell r="AS513">
            <v>60.945999999999998</v>
          </cell>
          <cell r="BB513">
            <v>94.403000000000006</v>
          </cell>
          <cell r="BK513">
            <v>19.763000000000002</v>
          </cell>
          <cell r="BT513">
            <v>13.513</v>
          </cell>
          <cell r="CC513">
            <v>5.6879999999999997</v>
          </cell>
          <cell r="CL513">
            <v>2.6880000000000002</v>
          </cell>
          <cell r="CU513">
            <v>128.43700000000001</v>
          </cell>
          <cell r="DD513">
            <v>18.355</v>
          </cell>
          <cell r="DM513">
            <v>68.98</v>
          </cell>
          <cell r="DV513">
            <v>65.501999999999995</v>
          </cell>
          <cell r="EE513">
            <v>28.552</v>
          </cell>
          <cell r="EN513">
            <v>60.84</v>
          </cell>
        </row>
        <row r="514">
          <cell r="A514">
            <v>178</v>
          </cell>
          <cell r="B514" t="str">
            <v>FG</v>
          </cell>
          <cell r="C514" t="str">
            <v>FM</v>
          </cell>
          <cell r="D514" t="str">
            <v>VEGROL C1895</v>
          </cell>
        </row>
        <row r="515">
          <cell r="A515">
            <v>179</v>
          </cell>
          <cell r="B515" t="str">
            <v>FG</v>
          </cell>
          <cell r="C515" t="str">
            <v>FM</v>
          </cell>
          <cell r="D515" t="str">
            <v>VEGROL C1898</v>
          </cell>
          <cell r="I515">
            <v>65.75</v>
          </cell>
          <cell r="R515">
            <v>21.38</v>
          </cell>
          <cell r="AJ515">
            <v>3.22</v>
          </cell>
          <cell r="AS515">
            <v>0.23</v>
          </cell>
          <cell r="BB515">
            <v>0.23</v>
          </cell>
          <cell r="BK515">
            <v>8.23</v>
          </cell>
          <cell r="BT515">
            <v>0.23</v>
          </cell>
          <cell r="CC515">
            <v>0.23</v>
          </cell>
          <cell r="CL515">
            <v>0.23</v>
          </cell>
          <cell r="CU515">
            <v>0.23</v>
          </cell>
          <cell r="DD515">
            <v>100.26</v>
          </cell>
          <cell r="DM515">
            <v>19.399999999999999</v>
          </cell>
          <cell r="DV515">
            <v>50.4</v>
          </cell>
          <cell r="EE515">
            <v>40.4</v>
          </cell>
          <cell r="EN515">
            <v>29.4</v>
          </cell>
        </row>
        <row r="516">
          <cell r="A516">
            <v>180</v>
          </cell>
          <cell r="B516" t="str">
            <v>FG</v>
          </cell>
          <cell r="C516" t="str">
            <v>FM</v>
          </cell>
          <cell r="D516" t="str">
            <v>VEGROL C1822</v>
          </cell>
          <cell r="I516">
            <v>41.875</v>
          </cell>
          <cell r="R516">
            <v>36.174999999999997</v>
          </cell>
          <cell r="AJ516">
            <v>33.25</v>
          </cell>
          <cell r="AS516">
            <v>36.875</v>
          </cell>
          <cell r="BB516">
            <v>30.5</v>
          </cell>
          <cell r="BK516">
            <v>80.75</v>
          </cell>
          <cell r="BT516">
            <v>50.75</v>
          </cell>
          <cell r="CC516">
            <v>49.725000000000001</v>
          </cell>
          <cell r="CL516">
            <v>22.524999999999999</v>
          </cell>
          <cell r="CU516">
            <v>22.524999999999999</v>
          </cell>
          <cell r="DD516">
            <v>11.2</v>
          </cell>
          <cell r="DM516">
            <v>11.2</v>
          </cell>
          <cell r="DV516">
            <v>11.2</v>
          </cell>
          <cell r="EE516">
            <v>7.8</v>
          </cell>
          <cell r="EN516">
            <v>7.8</v>
          </cell>
        </row>
        <row r="517">
          <cell r="A517">
            <v>181</v>
          </cell>
          <cell r="B517" t="str">
            <v>FG</v>
          </cell>
          <cell r="C517" t="str">
            <v>FM</v>
          </cell>
          <cell r="D517" t="str">
            <v>VEGROL C22</v>
          </cell>
          <cell r="I517">
            <v>143.5</v>
          </cell>
          <cell r="R517">
            <v>151.69999999999999</v>
          </cell>
          <cell r="AJ517">
            <v>54.033999999999999</v>
          </cell>
          <cell r="AS517">
            <v>173.53399999999999</v>
          </cell>
          <cell r="BB517">
            <v>149.53399999999999</v>
          </cell>
          <cell r="BK517">
            <v>190.53399999999999</v>
          </cell>
          <cell r="BT517">
            <v>184.53399999999999</v>
          </cell>
          <cell r="CC517">
            <v>175.53399999999999</v>
          </cell>
          <cell r="CL517">
            <v>122.28400000000001</v>
          </cell>
          <cell r="CU517">
            <v>91.784000000000006</v>
          </cell>
          <cell r="DD517">
            <v>74.284000000000006</v>
          </cell>
          <cell r="DM517">
            <v>89.358999999999995</v>
          </cell>
          <cell r="DV517">
            <v>62.359000000000002</v>
          </cell>
          <cell r="EE517">
            <v>88.384</v>
          </cell>
          <cell r="EN517">
            <v>74.384</v>
          </cell>
        </row>
        <row r="518">
          <cell r="A518">
            <v>182</v>
          </cell>
          <cell r="B518" t="str">
            <v>FG</v>
          </cell>
          <cell r="C518" t="str">
            <v>FM</v>
          </cell>
          <cell r="D518" t="str">
            <v>VEGROL C2280</v>
          </cell>
          <cell r="I518">
            <v>16.75</v>
          </cell>
          <cell r="R518">
            <v>16.75</v>
          </cell>
          <cell r="AJ518">
            <v>52.25</v>
          </cell>
          <cell r="AS518">
            <v>17.25</v>
          </cell>
          <cell r="BB518">
            <v>75.599999999999994</v>
          </cell>
          <cell r="BK518">
            <v>122.25</v>
          </cell>
          <cell r="BT518">
            <v>17.25</v>
          </cell>
          <cell r="CC518">
            <v>17.25</v>
          </cell>
          <cell r="CL518">
            <v>17.25</v>
          </cell>
          <cell r="CU518">
            <v>17.25</v>
          </cell>
          <cell r="DD518">
            <v>17.25</v>
          </cell>
          <cell r="DM518">
            <v>17.25</v>
          </cell>
          <cell r="DV518">
            <v>17.25</v>
          </cell>
          <cell r="EE518">
            <v>17.25</v>
          </cell>
          <cell r="EN518">
            <v>17.25</v>
          </cell>
        </row>
        <row r="519">
          <cell r="A519">
            <v>183</v>
          </cell>
          <cell r="B519" t="str">
            <v>FG</v>
          </cell>
          <cell r="C519" t="str">
            <v>FM</v>
          </cell>
          <cell r="D519" t="str">
            <v>OFF GRADE PASTILLES</v>
          </cell>
          <cell r="I519">
            <v>205</v>
          </cell>
          <cell r="R519">
            <v>205</v>
          </cell>
          <cell r="AJ519">
            <v>205</v>
          </cell>
          <cell r="AS519">
            <v>205</v>
          </cell>
          <cell r="BB519">
            <v>205</v>
          </cell>
          <cell r="BK519">
            <v>205</v>
          </cell>
          <cell r="BT519">
            <v>205</v>
          </cell>
          <cell r="CC519">
            <v>205</v>
          </cell>
          <cell r="CL519">
            <v>207</v>
          </cell>
          <cell r="DD519">
            <v>207</v>
          </cell>
          <cell r="DM519">
            <v>207</v>
          </cell>
          <cell r="DV519">
            <v>207</v>
          </cell>
          <cell r="EE519">
            <v>207</v>
          </cell>
          <cell r="EN519">
            <v>207</v>
          </cell>
        </row>
        <row r="520">
          <cell r="F520">
            <v>0</v>
          </cell>
          <cell r="G520">
            <v>0</v>
          </cell>
          <cell r="H520">
            <v>0</v>
          </cell>
          <cell r="I520">
            <v>699.02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635.351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484.15899999999999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656.87300000000005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697.20500000000004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710.26499999999999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585.64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670.36500000000001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562.86500000000001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427.53899999999999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551.6869999999999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517.40200000000004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567.87400000000002</v>
          </cell>
          <cell r="DW520">
            <v>0</v>
          </cell>
          <cell r="DX520">
            <v>0</v>
          </cell>
          <cell r="DY520">
            <v>0</v>
          </cell>
          <cell r="DZ520">
            <v>0</v>
          </cell>
          <cell r="EA520">
            <v>0</v>
          </cell>
          <cell r="EB520">
            <v>0</v>
          </cell>
          <cell r="EC520">
            <v>0</v>
          </cell>
          <cell r="ED520">
            <v>0</v>
          </cell>
          <cell r="EE520">
            <v>512.72399999999993</v>
          </cell>
          <cell r="EF520">
            <v>0</v>
          </cell>
          <cell r="EG520">
            <v>0</v>
          </cell>
          <cell r="EH520">
            <v>0</v>
          </cell>
          <cell r="EI520">
            <v>0</v>
          </cell>
          <cell r="EJ520">
            <v>0</v>
          </cell>
          <cell r="EK520">
            <v>0</v>
          </cell>
          <cell r="EL520">
            <v>0</v>
          </cell>
          <cell r="EM520">
            <v>0</v>
          </cell>
          <cell r="EN520">
            <v>526.28700000000003</v>
          </cell>
          <cell r="EO520">
            <v>0</v>
          </cell>
          <cell r="EP520">
            <v>0</v>
          </cell>
          <cell r="EQ520">
            <v>0</v>
          </cell>
          <cell r="ER520">
            <v>0</v>
          </cell>
          <cell r="ES520">
            <v>0</v>
          </cell>
        </row>
        <row r="521">
          <cell r="A521" t="str">
            <v xml:space="preserve">ALCOHOL-INTERMEDIATES </v>
          </cell>
        </row>
        <row r="522">
          <cell r="A522">
            <v>184</v>
          </cell>
          <cell r="B522" t="str">
            <v>IPRM</v>
          </cell>
          <cell r="C522" t="str">
            <v>NM</v>
          </cell>
          <cell r="D522" t="str">
            <v>ALCOHOL-L/E-C-12 88%</v>
          </cell>
        </row>
        <row r="523">
          <cell r="A523">
            <v>185</v>
          </cell>
          <cell r="B523" t="str">
            <v>IPRM</v>
          </cell>
          <cell r="C523" t="str">
            <v>NM</v>
          </cell>
          <cell r="D523" t="str">
            <v>ALCOHOL-L/E-1(1214)</v>
          </cell>
          <cell r="I523">
            <v>184.5</v>
          </cell>
          <cell r="R523">
            <v>201.4</v>
          </cell>
          <cell r="AA523">
            <v>232.6</v>
          </cell>
          <cell r="AJ523">
            <v>240</v>
          </cell>
          <cell r="AS523">
            <v>234.6</v>
          </cell>
          <cell r="BB523">
            <v>237.7</v>
          </cell>
          <cell r="BK523">
            <v>225.7</v>
          </cell>
          <cell r="BT523">
            <v>235.32899999999998</v>
          </cell>
          <cell r="CC523">
            <v>231.76</v>
          </cell>
          <cell r="CL523">
            <v>291.60000000000002</v>
          </cell>
          <cell r="CU523">
            <v>231.8</v>
          </cell>
          <cell r="DD523">
            <v>232.10000000000002</v>
          </cell>
          <cell r="DM523">
            <v>234</v>
          </cell>
          <cell r="DV523">
            <v>244.2</v>
          </cell>
          <cell r="EE523">
            <v>239.9</v>
          </cell>
          <cell r="EN523">
            <v>245.7</v>
          </cell>
        </row>
        <row r="524">
          <cell r="A524">
            <v>186</v>
          </cell>
          <cell r="B524" t="str">
            <v>IPRM</v>
          </cell>
          <cell r="C524" t="str">
            <v>NM</v>
          </cell>
          <cell r="D524" t="str">
            <v>ALCOHOL-L/E-2(C12C16)</v>
          </cell>
          <cell r="AJ524">
            <v>440.79999999999995</v>
          </cell>
          <cell r="AS524">
            <v>442.3</v>
          </cell>
          <cell r="CL524">
            <v>376.9</v>
          </cell>
          <cell r="DV524">
            <v>180.4</v>
          </cell>
          <cell r="EE524">
            <v>149</v>
          </cell>
          <cell r="EN524">
            <v>199.2</v>
          </cell>
        </row>
        <row r="525">
          <cell r="A525">
            <v>187</v>
          </cell>
          <cell r="B525" t="str">
            <v>IPRM</v>
          </cell>
          <cell r="C525" t="str">
            <v>NM</v>
          </cell>
          <cell r="D525" t="str">
            <v>ALCOHOL-L/E-C1618,22</v>
          </cell>
          <cell r="I525">
            <v>475.3</v>
          </cell>
          <cell r="R525">
            <v>475.3</v>
          </cell>
          <cell r="AA525">
            <v>475.3</v>
          </cell>
          <cell r="AJ525">
            <v>244</v>
          </cell>
          <cell r="BB525">
            <v>470.59</v>
          </cell>
          <cell r="BK525">
            <v>244.04687999999999</v>
          </cell>
          <cell r="CL525">
            <v>244</v>
          </cell>
          <cell r="CU525">
            <v>890.8</v>
          </cell>
          <cell r="DD525">
            <v>591.4</v>
          </cell>
          <cell r="DM525">
            <v>594</v>
          </cell>
          <cell r="EE525">
            <v>333.02976000000001</v>
          </cell>
          <cell r="EN525">
            <v>334.22256000000004</v>
          </cell>
        </row>
        <row r="526">
          <cell r="A526">
            <v>188</v>
          </cell>
          <cell r="B526" t="str">
            <v>IPRM</v>
          </cell>
          <cell r="C526" t="str">
            <v>NM</v>
          </cell>
          <cell r="D526" t="str">
            <v>ALCOHOL-L/E-2(C12C18)</v>
          </cell>
          <cell r="DV526">
            <v>765.98</v>
          </cell>
        </row>
        <row r="527">
          <cell r="A527">
            <v>189</v>
          </cell>
          <cell r="B527" t="str">
            <v>IPRM</v>
          </cell>
          <cell r="C527" t="str">
            <v>NM</v>
          </cell>
          <cell r="D527" t="str">
            <v>ALCOHOL-C16RICH</v>
          </cell>
          <cell r="AJ527">
            <v>231.3</v>
          </cell>
          <cell r="DD527">
            <v>375.2</v>
          </cell>
          <cell r="DM527">
            <v>375.2</v>
          </cell>
        </row>
        <row r="528">
          <cell r="A528">
            <v>190</v>
          </cell>
          <cell r="B528" t="str">
            <v>IPRM</v>
          </cell>
          <cell r="C528" t="str">
            <v>NM</v>
          </cell>
          <cell r="D528" t="str">
            <v>ALCOHOL-CRUDE / L/E'S</v>
          </cell>
        </row>
        <row r="529">
          <cell r="A529">
            <v>191</v>
          </cell>
          <cell r="B529" t="str">
            <v>IPRM</v>
          </cell>
          <cell r="C529" t="str">
            <v>NM</v>
          </cell>
          <cell r="D529" t="str">
            <v>L/E of ALC . 18</v>
          </cell>
        </row>
        <row r="530">
          <cell r="A530">
            <v>192</v>
          </cell>
          <cell r="B530" t="str">
            <v>IPRM</v>
          </cell>
          <cell r="C530" t="str">
            <v>NM</v>
          </cell>
          <cell r="D530" t="str">
            <v>L.E.of C 1822</v>
          </cell>
          <cell r="I530">
            <v>380.1</v>
          </cell>
          <cell r="R530">
            <v>380.1</v>
          </cell>
          <cell r="AA530">
            <v>380.1</v>
          </cell>
          <cell r="AJ530">
            <v>533.29999999999995</v>
          </cell>
          <cell r="AS530">
            <v>533.31600000000003</v>
          </cell>
          <cell r="BB530">
            <v>533.29</v>
          </cell>
          <cell r="BK530">
            <v>533.31600000000003</v>
          </cell>
          <cell r="BT530">
            <v>533.31600000000003</v>
          </cell>
          <cell r="CC530">
            <v>533.31600000000003</v>
          </cell>
          <cell r="CL530">
            <v>380</v>
          </cell>
          <cell r="CU530">
            <v>380</v>
          </cell>
          <cell r="DD530">
            <v>380</v>
          </cell>
          <cell r="DM530">
            <v>380</v>
          </cell>
          <cell r="DV530">
            <v>380</v>
          </cell>
          <cell r="EE530">
            <v>380</v>
          </cell>
        </row>
        <row r="531">
          <cell r="A531">
            <v>251</v>
          </cell>
          <cell r="B531" t="str">
            <v>IPRM</v>
          </cell>
          <cell r="C531" t="str">
            <v>NM</v>
          </cell>
          <cell r="D531" t="str">
            <v>ALCOHOL-C12/C14 (seed alc)</v>
          </cell>
          <cell r="AJ531">
            <v>170</v>
          </cell>
          <cell r="AS531">
            <v>170</v>
          </cell>
          <cell r="BB531">
            <v>170</v>
          </cell>
          <cell r="BK531">
            <v>170</v>
          </cell>
          <cell r="CC531">
            <v>170</v>
          </cell>
          <cell r="DV531">
            <v>170</v>
          </cell>
          <cell r="EE531">
            <v>170</v>
          </cell>
          <cell r="EN531">
            <v>170</v>
          </cell>
        </row>
        <row r="532">
          <cell r="A532">
            <v>252</v>
          </cell>
          <cell r="B532" t="str">
            <v>IPRM</v>
          </cell>
          <cell r="C532" t="str">
            <v>NM</v>
          </cell>
          <cell r="D532" t="str">
            <v>ALCOHOL-C16 98 (seed alc)</v>
          </cell>
          <cell r="AJ532">
            <v>170</v>
          </cell>
          <cell r="AS532">
            <v>163</v>
          </cell>
          <cell r="BB532">
            <v>128</v>
          </cell>
          <cell r="BK532">
            <v>128</v>
          </cell>
          <cell r="BT532">
            <v>128</v>
          </cell>
          <cell r="CC532">
            <v>128</v>
          </cell>
          <cell r="DV532">
            <v>170</v>
          </cell>
          <cell r="EE532">
            <v>170</v>
          </cell>
          <cell r="EN532">
            <v>170</v>
          </cell>
        </row>
        <row r="533">
          <cell r="A533">
            <v>253</v>
          </cell>
          <cell r="B533" t="str">
            <v>IPRM</v>
          </cell>
          <cell r="C533" t="str">
            <v>NM</v>
          </cell>
          <cell r="D533" t="str">
            <v>ALCOHOL-C18 98 (seed alc)</v>
          </cell>
          <cell r="AJ533">
            <v>102</v>
          </cell>
          <cell r="AS533">
            <v>102</v>
          </cell>
          <cell r="BB533">
            <v>99</v>
          </cell>
          <cell r="BK533">
            <v>91</v>
          </cell>
          <cell r="BT533">
            <v>137</v>
          </cell>
          <cell r="CC533">
            <v>138</v>
          </cell>
          <cell r="DV533">
            <v>148</v>
          </cell>
          <cell r="EE533">
            <v>141.47820000000002</v>
          </cell>
          <cell r="EN533">
            <v>142</v>
          </cell>
        </row>
        <row r="534">
          <cell r="A534">
            <v>254</v>
          </cell>
          <cell r="B534" t="str">
            <v>IPRM</v>
          </cell>
          <cell r="C534" t="str">
            <v>NM</v>
          </cell>
          <cell r="D534" t="str">
            <v>ALCOHOL-C16/C18 TA (seed alc)</v>
          </cell>
          <cell r="AJ534">
            <v>148</v>
          </cell>
          <cell r="AS534">
            <v>149</v>
          </cell>
          <cell r="BB534">
            <v>149</v>
          </cell>
          <cell r="BK534">
            <v>170</v>
          </cell>
          <cell r="BT534">
            <v>170</v>
          </cell>
          <cell r="DV534">
            <v>170</v>
          </cell>
          <cell r="EE534">
            <v>170</v>
          </cell>
          <cell r="EN534">
            <v>170</v>
          </cell>
        </row>
        <row r="535">
          <cell r="A535">
            <v>193</v>
          </cell>
          <cell r="B535" t="str">
            <v>IPRM</v>
          </cell>
          <cell r="C535" t="str">
            <v>NM</v>
          </cell>
          <cell r="D535" t="str">
            <v>ALCOHOL-C16/C18 (seed alc)</v>
          </cell>
        </row>
        <row r="536">
          <cell r="A536">
            <v>194</v>
          </cell>
          <cell r="B536" t="str">
            <v>IPRM</v>
          </cell>
          <cell r="C536" t="str">
            <v>NM</v>
          </cell>
          <cell r="D536" t="str">
            <v>ALCOHOL-C18/C22 (seed alc)</v>
          </cell>
          <cell r="I536">
            <v>144</v>
          </cell>
          <cell r="R536">
            <v>168.8</v>
          </cell>
          <cell r="AA536">
            <v>153.30000000000001</v>
          </cell>
          <cell r="BB536">
            <v>60</v>
          </cell>
        </row>
        <row r="537">
          <cell r="A537">
            <v>255</v>
          </cell>
          <cell r="B537" t="str">
            <v>IPRM</v>
          </cell>
          <cell r="C537" t="str">
            <v>NM</v>
          </cell>
          <cell r="D537" t="str">
            <v>ALCOHOL-C22 70 (seed alc)</v>
          </cell>
          <cell r="AJ537">
            <v>170</v>
          </cell>
          <cell r="AS537">
            <v>170</v>
          </cell>
          <cell r="BB537">
            <v>170</v>
          </cell>
          <cell r="BK537">
            <v>170</v>
          </cell>
          <cell r="BT537">
            <v>170</v>
          </cell>
          <cell r="CC537">
            <v>170</v>
          </cell>
          <cell r="DV537">
            <v>170</v>
          </cell>
          <cell r="EE537">
            <v>170</v>
          </cell>
          <cell r="EN537">
            <v>170</v>
          </cell>
        </row>
        <row r="538">
          <cell r="A538">
            <v>195</v>
          </cell>
          <cell r="B538" t="str">
            <v>IPRM</v>
          </cell>
          <cell r="C538" t="str">
            <v>NM</v>
          </cell>
          <cell r="D538" t="str">
            <v>Int. Alc.20-22</v>
          </cell>
          <cell r="CU538">
            <v>153.30000000000001</v>
          </cell>
          <cell r="DD538">
            <v>241.3</v>
          </cell>
          <cell r="DM538">
            <v>241.3</v>
          </cell>
        </row>
        <row r="539">
          <cell r="A539">
            <v>196</v>
          </cell>
          <cell r="B539" t="str">
            <v>IPRM</v>
          </cell>
          <cell r="C539" t="str">
            <v>NM</v>
          </cell>
          <cell r="D539" t="str">
            <v>ALCOHOL-RESIDUE</v>
          </cell>
          <cell r="I539">
            <v>391.7</v>
          </cell>
          <cell r="R539">
            <v>347</v>
          </cell>
          <cell r="AA539">
            <v>246.4</v>
          </cell>
          <cell r="AJ539">
            <v>231.05</v>
          </cell>
          <cell r="AS539">
            <v>189.2</v>
          </cell>
          <cell r="BB539">
            <v>189.2</v>
          </cell>
          <cell r="BK539">
            <v>188.31</v>
          </cell>
          <cell r="BT539">
            <v>217.98</v>
          </cell>
          <cell r="CC539">
            <v>239.59199999999998</v>
          </cell>
          <cell r="CU539">
            <v>147.80000000000001</v>
          </cell>
          <cell r="DV539">
            <v>233.5</v>
          </cell>
        </row>
        <row r="540">
          <cell r="A540">
            <v>197</v>
          </cell>
          <cell r="B540" t="str">
            <v>IPRM</v>
          </cell>
          <cell r="C540" t="str">
            <v>NM</v>
          </cell>
          <cell r="D540" t="str">
            <v>ALCOHOL-HYDROCARBON</v>
          </cell>
        </row>
        <row r="541">
          <cell r="A541">
            <v>198</v>
          </cell>
          <cell r="B541" t="str">
            <v>IPRM</v>
          </cell>
          <cell r="C541" t="str">
            <v>NM</v>
          </cell>
          <cell r="D541" t="str">
            <v>Int. Alc. V1218</v>
          </cell>
          <cell r="CC541">
            <v>533.86865</v>
          </cell>
        </row>
        <row r="542">
          <cell r="A542">
            <v>199</v>
          </cell>
          <cell r="B542" t="str">
            <v>IPRM</v>
          </cell>
          <cell r="C542" t="str">
            <v>NM</v>
          </cell>
          <cell r="D542" t="str">
            <v>Int. Alc. V1216</v>
          </cell>
          <cell r="I542">
            <v>366.2</v>
          </cell>
          <cell r="R542">
            <v>436.8</v>
          </cell>
          <cell r="AA542">
            <v>439.1</v>
          </cell>
          <cell r="BB542">
            <v>442.3</v>
          </cell>
          <cell r="BK542">
            <v>444.7</v>
          </cell>
          <cell r="BT542">
            <v>424.9</v>
          </cell>
          <cell r="CC542">
            <v>388.7</v>
          </cell>
          <cell r="CL542">
            <v>242</v>
          </cell>
          <cell r="CU542">
            <v>180.4</v>
          </cell>
          <cell r="DD542">
            <v>180.4</v>
          </cell>
          <cell r="DM542">
            <v>180.4</v>
          </cell>
          <cell r="EN542">
            <v>1611.2</v>
          </cell>
        </row>
        <row r="543">
          <cell r="A543">
            <v>200</v>
          </cell>
          <cell r="B543" t="str">
            <v>IPRM</v>
          </cell>
          <cell r="C543" t="str">
            <v>NM</v>
          </cell>
          <cell r="D543" t="str">
            <v>Int. Alc. V1618</v>
          </cell>
          <cell r="AJ543">
            <v>1077.19</v>
          </cell>
          <cell r="AS543">
            <v>1550.1499999999999</v>
          </cell>
          <cell r="BB543">
            <v>1309.9000000000001</v>
          </cell>
          <cell r="BK543">
            <v>1303.5999999999999</v>
          </cell>
          <cell r="BT543">
            <v>1678.4</v>
          </cell>
          <cell r="CC543">
            <v>1682.06</v>
          </cell>
          <cell r="CL543">
            <v>541.34</v>
          </cell>
          <cell r="DD543">
            <v>538.13</v>
          </cell>
          <cell r="DM543">
            <v>502.8</v>
          </cell>
          <cell r="DV543">
            <v>1849.83</v>
          </cell>
          <cell r="EE543">
            <v>1624.414</v>
          </cell>
        </row>
        <row r="544">
          <cell r="A544">
            <v>259</v>
          </cell>
          <cell r="B544" t="str">
            <v>IPRM</v>
          </cell>
          <cell r="C544" t="str">
            <v>NM</v>
          </cell>
          <cell r="D544" t="str">
            <v>Int. Alc. V1822</v>
          </cell>
          <cell r="DV544">
            <v>241.345</v>
          </cell>
          <cell r="EE544">
            <v>241.345</v>
          </cell>
          <cell r="EN544">
            <v>621.29</v>
          </cell>
        </row>
        <row r="545">
          <cell r="A545">
            <v>201</v>
          </cell>
          <cell r="B545" t="str">
            <v>IPRM</v>
          </cell>
          <cell r="C545" t="str">
            <v>NM</v>
          </cell>
          <cell r="D545" t="str">
            <v>Wax ester 1214/1618</v>
          </cell>
        </row>
        <row r="546">
          <cell r="A546">
            <v>202</v>
          </cell>
          <cell r="B546" t="str">
            <v>IPRM</v>
          </cell>
          <cell r="C546" t="str">
            <v>NM</v>
          </cell>
          <cell r="D546" t="str">
            <v>Wax ester 1216/1218</v>
          </cell>
        </row>
        <row r="547">
          <cell r="A547">
            <v>203</v>
          </cell>
          <cell r="B547" t="str">
            <v>IPRM</v>
          </cell>
          <cell r="C547" t="str">
            <v>SM</v>
          </cell>
          <cell r="D547" t="str">
            <v>ALCOHOL Residue 1618</v>
          </cell>
          <cell r="I547">
            <v>390.4</v>
          </cell>
          <cell r="R547">
            <v>390.4</v>
          </cell>
          <cell r="AA547">
            <v>390.4</v>
          </cell>
          <cell r="CL547">
            <v>390.4</v>
          </cell>
        </row>
        <row r="548">
          <cell r="A548">
            <v>204</v>
          </cell>
          <cell r="B548" t="str">
            <v>IPRM</v>
          </cell>
          <cell r="C548" t="str">
            <v>SM</v>
          </cell>
          <cell r="D548" t="str">
            <v>ALCOHOL Residue 1822</v>
          </cell>
        </row>
        <row r="549">
          <cell r="A549">
            <v>205</v>
          </cell>
          <cell r="B549" t="str">
            <v>IPRM</v>
          </cell>
          <cell r="C549" t="str">
            <v>SM</v>
          </cell>
          <cell r="D549" t="str">
            <v>ALCOHOL Residue 2022</v>
          </cell>
          <cell r="I549">
            <v>74.510000000000005</v>
          </cell>
          <cell r="R549">
            <v>73.319999999999993</v>
          </cell>
          <cell r="AA549">
            <v>73.319999999999993</v>
          </cell>
          <cell r="CL549">
            <v>102.56</v>
          </cell>
          <cell r="CU549">
            <v>102.57</v>
          </cell>
          <cell r="DD549">
            <v>67.88</v>
          </cell>
          <cell r="DM549">
            <v>67.7</v>
          </cell>
          <cell r="EE549">
            <v>99.603200000000001</v>
          </cell>
          <cell r="EN549">
            <v>99.563700000000011</v>
          </cell>
        </row>
        <row r="550">
          <cell r="A550">
            <v>206</v>
          </cell>
          <cell r="B550" t="str">
            <v>IPRM</v>
          </cell>
          <cell r="C550" t="str">
            <v>SM</v>
          </cell>
          <cell r="D550" t="str">
            <v>ALCOHOL B/P&gt;C18</v>
          </cell>
          <cell r="CL550">
            <v>136.6</v>
          </cell>
          <cell r="CU550">
            <v>390.4</v>
          </cell>
          <cell r="DD550">
            <v>538.20000000000005</v>
          </cell>
          <cell r="DM550">
            <v>546.79999999999995</v>
          </cell>
          <cell r="EE550">
            <v>165.7474714285714</v>
          </cell>
          <cell r="EN550">
            <v>161.8566857142857</v>
          </cell>
        </row>
        <row r="551">
          <cell r="A551">
            <v>207</v>
          </cell>
          <cell r="B551" t="str">
            <v>IPRM</v>
          </cell>
          <cell r="C551" t="str">
            <v>SM</v>
          </cell>
          <cell r="D551" t="str">
            <v>Crude Alc. 1216</v>
          </cell>
        </row>
        <row r="552">
          <cell r="F552">
            <v>0</v>
          </cell>
          <cell r="G552">
            <v>0</v>
          </cell>
          <cell r="H552">
            <v>0</v>
          </cell>
          <cell r="I552">
            <v>2406.7100000000005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2473.1200000000003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2390.5200000000004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3757.64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3703.5659999999998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3958.98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3668.6728799999996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3694.9250000000002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4215.2966500000002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2705.4</v>
          </cell>
          <cell r="CM552">
            <v>0</v>
          </cell>
          <cell r="CN552">
            <v>0</v>
          </cell>
          <cell r="CO552">
            <v>0</v>
          </cell>
          <cell r="CP552">
            <v>0</v>
          </cell>
          <cell r="CQ552">
            <v>0</v>
          </cell>
          <cell r="CR552">
            <v>0</v>
          </cell>
          <cell r="CS552">
            <v>0</v>
          </cell>
          <cell r="CT552">
            <v>0</v>
          </cell>
          <cell r="CU552">
            <v>2477.0700000000002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0</v>
          </cell>
          <cell r="DA552">
            <v>0</v>
          </cell>
          <cell r="DB552">
            <v>0</v>
          </cell>
          <cell r="DC552">
            <v>0</v>
          </cell>
          <cell r="DD552">
            <v>3144.6100000000006</v>
          </cell>
          <cell r="DE552">
            <v>0</v>
          </cell>
          <cell r="DF552">
            <v>0</v>
          </cell>
          <cell r="DG552">
            <v>0</v>
          </cell>
          <cell r="DH552">
            <v>0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3122.2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4723.2550000000001</v>
          </cell>
          <cell r="DW552">
            <v>0</v>
          </cell>
          <cell r="DX552">
            <v>0</v>
          </cell>
          <cell r="DY552">
            <v>0</v>
          </cell>
          <cell r="DZ552">
            <v>0</v>
          </cell>
          <cell r="EA552">
            <v>0</v>
          </cell>
          <cell r="EB552">
            <v>0</v>
          </cell>
          <cell r="EC552">
            <v>0</v>
          </cell>
          <cell r="ED552">
            <v>0</v>
          </cell>
          <cell r="EE552">
            <v>4054.5176314285713</v>
          </cell>
          <cell r="EF552">
            <v>0</v>
          </cell>
          <cell r="EG552">
            <v>0</v>
          </cell>
          <cell r="EH552">
            <v>0</v>
          </cell>
          <cell r="EI552">
            <v>0</v>
          </cell>
          <cell r="EJ552">
            <v>0</v>
          </cell>
          <cell r="EK552">
            <v>0</v>
          </cell>
          <cell r="EL552">
            <v>0</v>
          </cell>
          <cell r="EM552">
            <v>0</v>
          </cell>
          <cell r="EN552">
            <v>4095.0329457142857</v>
          </cell>
          <cell r="EO552">
            <v>0</v>
          </cell>
          <cell r="EP552">
            <v>0</v>
          </cell>
          <cell r="EQ552">
            <v>0</v>
          </cell>
          <cell r="ER552">
            <v>0</v>
          </cell>
          <cell r="ES552">
            <v>0</v>
          </cell>
        </row>
        <row r="553">
          <cell r="A553" t="str">
            <v>SOAP NOODLES</v>
          </cell>
        </row>
        <row r="554">
          <cell r="A554">
            <v>208</v>
          </cell>
          <cell r="B554" t="str">
            <v>FG</v>
          </cell>
          <cell r="C554" t="str">
            <v>FM</v>
          </cell>
          <cell r="D554" t="str">
            <v>DETTOL</v>
          </cell>
          <cell r="E554" t="str">
            <v>AL</v>
          </cell>
          <cell r="I554">
            <v>6</v>
          </cell>
          <cell r="M554">
            <v>7.2</v>
          </cell>
          <cell r="N554">
            <v>50.42</v>
          </cell>
          <cell r="R554">
            <v>0</v>
          </cell>
          <cell r="W554">
            <v>56.17</v>
          </cell>
          <cell r="AF554">
            <v>8.9149999999999991</v>
          </cell>
          <cell r="AJ554">
            <v>5</v>
          </cell>
          <cell r="AO554">
            <v>8.92</v>
          </cell>
          <cell r="AS554">
            <v>142.5</v>
          </cell>
          <cell r="AX554">
            <v>8.92</v>
          </cell>
          <cell r="BB554">
            <v>61.5</v>
          </cell>
          <cell r="BG554">
            <v>8.92</v>
          </cell>
          <cell r="BK554">
            <v>117.1</v>
          </cell>
          <cell r="BO554">
            <v>64.400000000000006</v>
          </cell>
          <cell r="BP554">
            <v>24.92</v>
          </cell>
          <cell r="BT554">
            <v>27.1</v>
          </cell>
          <cell r="BY554">
            <v>109.32</v>
          </cell>
          <cell r="CC554">
            <v>11.1</v>
          </cell>
          <cell r="CH554">
            <v>46.69</v>
          </cell>
          <cell r="CL554">
            <v>39.6</v>
          </cell>
          <cell r="CP554">
            <v>454</v>
          </cell>
          <cell r="CQ554">
            <v>493.6</v>
          </cell>
          <cell r="CZ554">
            <v>40.79</v>
          </cell>
          <cell r="DD554">
            <v>26.3</v>
          </cell>
          <cell r="DH554">
            <v>24</v>
          </cell>
          <cell r="DM554">
            <v>84.7</v>
          </cell>
          <cell r="DQ554">
            <v>57.6</v>
          </cell>
          <cell r="DR554">
            <v>142.30000000000001</v>
          </cell>
          <cell r="DV554">
            <v>25.95</v>
          </cell>
          <cell r="EA554">
            <v>63.14</v>
          </cell>
          <cell r="EE554">
            <v>20.6</v>
          </cell>
          <cell r="EJ554">
            <v>14.39</v>
          </cell>
          <cell r="EN554">
            <v>32.6</v>
          </cell>
          <cell r="ES554">
            <v>14.39</v>
          </cell>
        </row>
        <row r="555">
          <cell r="A555">
            <v>209</v>
          </cell>
          <cell r="B555" t="str">
            <v>FG</v>
          </cell>
          <cell r="C555" t="str">
            <v>FM</v>
          </cell>
          <cell r="D555" t="str">
            <v>DETTOL SKINCARE</v>
          </cell>
          <cell r="I555">
            <v>64.680000000000007</v>
          </cell>
          <cell r="N555">
            <v>7.5</v>
          </cell>
          <cell r="R555">
            <v>86</v>
          </cell>
          <cell r="W555">
            <v>7.5</v>
          </cell>
          <cell r="AF555">
            <v>7.5</v>
          </cell>
          <cell r="AJ555">
            <v>36</v>
          </cell>
          <cell r="AO555">
            <v>7.5</v>
          </cell>
          <cell r="AS555">
            <v>0</v>
          </cell>
          <cell r="AX555">
            <v>7.5</v>
          </cell>
          <cell r="BB555">
            <v>0</v>
          </cell>
          <cell r="BG555">
            <v>7.5</v>
          </cell>
          <cell r="BK555">
            <v>0</v>
          </cell>
          <cell r="BP555">
            <v>7.5</v>
          </cell>
          <cell r="BT555">
            <v>0</v>
          </cell>
          <cell r="BY555">
            <v>7.5</v>
          </cell>
          <cell r="CC555">
            <v>0</v>
          </cell>
          <cell r="CH555">
            <v>7.5</v>
          </cell>
          <cell r="CZ555">
            <v>7.5</v>
          </cell>
          <cell r="DI555">
            <v>7.5</v>
          </cell>
          <cell r="DM555">
            <v>104</v>
          </cell>
          <cell r="DR555">
            <v>104</v>
          </cell>
          <cell r="DV555">
            <v>0</v>
          </cell>
          <cell r="EA555">
            <v>7.5</v>
          </cell>
          <cell r="EE555">
            <v>0</v>
          </cell>
          <cell r="EJ555">
            <v>7.5</v>
          </cell>
          <cell r="EN555">
            <v>0</v>
          </cell>
          <cell r="ES555">
            <v>7.5</v>
          </cell>
        </row>
        <row r="556">
          <cell r="A556">
            <v>210</v>
          </cell>
          <cell r="B556" t="str">
            <v>FG</v>
          </cell>
          <cell r="C556" t="str">
            <v>FM</v>
          </cell>
          <cell r="D556" t="str">
            <v>JBMS 40:60</v>
          </cell>
          <cell r="E556" t="str">
            <v>W</v>
          </cell>
          <cell r="I556">
            <v>45.8</v>
          </cell>
          <cell r="J556">
            <v>32</v>
          </cell>
          <cell r="M556">
            <v>97.2</v>
          </cell>
          <cell r="N556">
            <v>237.6</v>
          </cell>
          <cell r="R556">
            <v>34</v>
          </cell>
          <cell r="S556">
            <v>40.4</v>
          </cell>
          <cell r="V556">
            <v>264</v>
          </cell>
          <cell r="W556">
            <v>167.6</v>
          </cell>
          <cell r="AB556">
            <v>48</v>
          </cell>
          <cell r="AF556">
            <v>278.8</v>
          </cell>
          <cell r="AJ556">
            <v>17</v>
          </cell>
          <cell r="AK556">
            <v>48</v>
          </cell>
          <cell r="AO556">
            <v>235.6</v>
          </cell>
          <cell r="AS556">
            <v>0</v>
          </cell>
          <cell r="AT556">
            <v>48</v>
          </cell>
          <cell r="AW556">
            <v>86</v>
          </cell>
          <cell r="AX556">
            <v>326.8</v>
          </cell>
          <cell r="BB556">
            <v>0</v>
          </cell>
          <cell r="BC556">
            <v>48</v>
          </cell>
          <cell r="BF556">
            <v>36.4</v>
          </cell>
          <cell r="BG556">
            <v>293.60000000000002</v>
          </cell>
          <cell r="BK556">
            <v>0</v>
          </cell>
          <cell r="BL556">
            <v>34.799999999999997</v>
          </cell>
          <cell r="BP556">
            <v>181.2</v>
          </cell>
          <cell r="BT556">
            <v>0</v>
          </cell>
          <cell r="BU556">
            <v>6.4</v>
          </cell>
          <cell r="BX556">
            <v>64</v>
          </cell>
          <cell r="BY556">
            <v>89.6</v>
          </cell>
          <cell r="CC556">
            <v>88</v>
          </cell>
          <cell r="CD556">
            <v>6.4</v>
          </cell>
          <cell r="CH556">
            <v>0.2</v>
          </cell>
          <cell r="CV556">
            <v>6.4</v>
          </cell>
          <cell r="CY556">
            <v>42.8</v>
          </cell>
          <cell r="CZ556">
            <v>156.19999999999999</v>
          </cell>
          <cell r="DD556">
            <v>8</v>
          </cell>
          <cell r="DE556">
            <v>6.4</v>
          </cell>
          <cell r="DM556">
            <v>2.4</v>
          </cell>
          <cell r="DN556">
            <v>6.4</v>
          </cell>
          <cell r="DQ556">
            <v>350.8</v>
          </cell>
          <cell r="DR556">
            <v>359.6</v>
          </cell>
          <cell r="DV556">
            <v>2.4</v>
          </cell>
          <cell r="DW556">
            <v>6.4</v>
          </cell>
          <cell r="EA556">
            <v>262.2</v>
          </cell>
          <cell r="EE556">
            <v>102.2</v>
          </cell>
          <cell r="EF556">
            <v>6.4</v>
          </cell>
          <cell r="EI556">
            <v>36.799999999999997</v>
          </cell>
          <cell r="EJ556">
            <v>170.2</v>
          </cell>
          <cell r="EN556">
            <v>0</v>
          </cell>
          <cell r="EO556">
            <v>24.8</v>
          </cell>
          <cell r="ER556">
            <v>32.4</v>
          </cell>
          <cell r="ES556">
            <v>398.6</v>
          </cell>
        </row>
        <row r="557">
          <cell r="A557">
            <v>211</v>
          </cell>
          <cell r="B557" t="str">
            <v>FG</v>
          </cell>
          <cell r="C557" t="str">
            <v>FM</v>
          </cell>
          <cell r="D557" t="str">
            <v>JNC 99</v>
          </cell>
          <cell r="E557">
            <v>99</v>
          </cell>
          <cell r="I557">
            <v>2</v>
          </cell>
          <cell r="J557">
            <v>26.1</v>
          </cell>
          <cell r="N557">
            <v>100.01</v>
          </cell>
          <cell r="R557">
            <v>2</v>
          </cell>
          <cell r="S557">
            <v>24.9</v>
          </cell>
          <cell r="W557">
            <v>68.41</v>
          </cell>
          <cell r="AB557">
            <v>5.3</v>
          </cell>
          <cell r="AF557">
            <v>35.61</v>
          </cell>
          <cell r="AJ557">
            <v>10.6</v>
          </cell>
          <cell r="AK557">
            <v>5.3</v>
          </cell>
          <cell r="AO557">
            <v>140.01</v>
          </cell>
          <cell r="AS557">
            <v>2</v>
          </cell>
          <cell r="AT557">
            <v>5.3</v>
          </cell>
          <cell r="AX557">
            <v>87.61</v>
          </cell>
          <cell r="BB557">
            <v>2</v>
          </cell>
          <cell r="BG557">
            <v>87.61</v>
          </cell>
          <cell r="BK557">
            <v>2</v>
          </cell>
          <cell r="BL557">
            <v>5.3</v>
          </cell>
          <cell r="BP557">
            <v>60.01</v>
          </cell>
          <cell r="BT557">
            <v>0</v>
          </cell>
          <cell r="BU557">
            <v>5.3</v>
          </cell>
          <cell r="BX557">
            <v>16</v>
          </cell>
          <cell r="BY557">
            <v>93.61</v>
          </cell>
          <cell r="CC557">
            <v>5.5999999999999943</v>
          </cell>
          <cell r="CD557">
            <v>5.3</v>
          </cell>
          <cell r="CG557">
            <v>114.4</v>
          </cell>
          <cell r="CH557">
            <v>109.61</v>
          </cell>
          <cell r="CL557">
            <v>27</v>
          </cell>
          <cell r="CQ557">
            <v>27</v>
          </cell>
          <cell r="CU557">
            <v>8.1999999999999993</v>
          </cell>
          <cell r="CV557">
            <v>5.3</v>
          </cell>
          <cell r="CY557">
            <v>2.8</v>
          </cell>
          <cell r="CZ557">
            <v>135.61000000000001</v>
          </cell>
          <cell r="DD557">
            <v>71.599999999999994</v>
          </cell>
          <cell r="DE557">
            <v>5.3</v>
          </cell>
          <cell r="DH557">
            <v>8.4</v>
          </cell>
          <cell r="DI557">
            <v>101.61</v>
          </cell>
          <cell r="DN557">
            <v>5.3</v>
          </cell>
          <cell r="DR557">
            <v>5.3</v>
          </cell>
          <cell r="DV557">
            <v>91</v>
          </cell>
          <cell r="DW557">
            <v>5.3</v>
          </cell>
          <cell r="EA557">
            <v>118.81</v>
          </cell>
          <cell r="EE557">
            <v>38.799999999999997</v>
          </cell>
          <cell r="EF557">
            <v>5.3</v>
          </cell>
          <cell r="EI557">
            <v>7.2</v>
          </cell>
          <cell r="EJ557">
            <v>276.41000000000003</v>
          </cell>
          <cell r="EN557">
            <v>0</v>
          </cell>
          <cell r="EO557">
            <v>85.3</v>
          </cell>
          <cell r="ES557">
            <v>231.21</v>
          </cell>
        </row>
        <row r="558">
          <cell r="A558">
            <v>212</v>
          </cell>
          <cell r="B558" t="str">
            <v>FG</v>
          </cell>
          <cell r="C558" t="str">
            <v>FM</v>
          </cell>
          <cell r="D558" t="str">
            <v>JO TF 70%</v>
          </cell>
          <cell r="E558" t="str">
            <v>TF</v>
          </cell>
          <cell r="I558">
            <v>14</v>
          </cell>
          <cell r="J558">
            <v>48.963999999999999</v>
          </cell>
          <cell r="N558">
            <v>42</v>
          </cell>
          <cell r="R558">
            <v>0</v>
          </cell>
          <cell r="S558">
            <v>112.964</v>
          </cell>
          <cell r="V558">
            <v>242.4</v>
          </cell>
          <cell r="W558">
            <v>63.2</v>
          </cell>
          <cell r="AB558">
            <v>244.26400000000001</v>
          </cell>
          <cell r="AF558">
            <v>35.6</v>
          </cell>
          <cell r="AJ558">
            <v>153.19999999999999</v>
          </cell>
          <cell r="AK558">
            <v>215.864</v>
          </cell>
          <cell r="AN558">
            <v>16</v>
          </cell>
          <cell r="AO558">
            <v>227.6</v>
          </cell>
          <cell r="AS558">
            <v>16</v>
          </cell>
          <cell r="AT558">
            <v>179.16399999999999</v>
          </cell>
          <cell r="AW558">
            <v>86</v>
          </cell>
          <cell r="AX558">
            <v>150.80000000000001</v>
          </cell>
          <cell r="BB558">
            <v>132</v>
          </cell>
          <cell r="BC558">
            <v>165.76400000000001</v>
          </cell>
          <cell r="BF558">
            <v>5.2</v>
          </cell>
          <cell r="BG558">
            <v>154</v>
          </cell>
          <cell r="BK558">
            <v>19.2</v>
          </cell>
          <cell r="BL558">
            <v>274.81399999999996</v>
          </cell>
          <cell r="BO558">
            <v>261.60000000000002</v>
          </cell>
          <cell r="BP558">
            <v>94</v>
          </cell>
          <cell r="BT558">
            <v>0</v>
          </cell>
          <cell r="BU558">
            <v>284.21099999999996</v>
          </cell>
          <cell r="BY558">
            <v>142.4</v>
          </cell>
          <cell r="CC558">
            <v>0</v>
          </cell>
          <cell r="CD558">
            <v>217.411</v>
          </cell>
          <cell r="CG558">
            <v>265.2</v>
          </cell>
          <cell r="CH558">
            <v>12.4</v>
          </cell>
          <cell r="CV558">
            <v>114.211</v>
          </cell>
          <cell r="CY558">
            <v>32.799999999999997</v>
          </cell>
          <cell r="CZ558">
            <v>362.42</v>
          </cell>
          <cell r="DE558">
            <v>60.761000000000003</v>
          </cell>
          <cell r="DH558">
            <v>178.4</v>
          </cell>
          <cell r="DI558">
            <v>42.62</v>
          </cell>
          <cell r="DN558">
            <v>217.011</v>
          </cell>
          <cell r="DQ558">
            <v>71.2</v>
          </cell>
          <cell r="DR558">
            <v>288.21100000000001</v>
          </cell>
          <cell r="DV558">
            <v>0</v>
          </cell>
          <cell r="DW558">
            <v>349.911</v>
          </cell>
          <cell r="DZ558">
            <v>47.7</v>
          </cell>
          <cell r="EA558">
            <v>62.99</v>
          </cell>
          <cell r="EE558">
            <v>0</v>
          </cell>
          <cell r="EF558">
            <v>305.01100000000002</v>
          </cell>
          <cell r="EI558">
            <v>108</v>
          </cell>
          <cell r="EJ558">
            <v>103.87</v>
          </cell>
          <cell r="EN558">
            <v>149</v>
          </cell>
          <cell r="EO558">
            <v>219.61099999999999</v>
          </cell>
          <cell r="ER558">
            <v>234.3</v>
          </cell>
          <cell r="ES558">
            <v>0.11</v>
          </cell>
        </row>
        <row r="559">
          <cell r="A559">
            <v>213</v>
          </cell>
          <cell r="B559" t="str">
            <v>FG</v>
          </cell>
          <cell r="C559" t="str">
            <v>FM</v>
          </cell>
          <cell r="D559" t="str">
            <v>DR TF 70%</v>
          </cell>
          <cell r="E559" t="str">
            <v>TF D</v>
          </cell>
          <cell r="I559">
            <v>0</v>
          </cell>
          <cell r="M559">
            <v>33.6</v>
          </cell>
          <cell r="N559">
            <v>18.8</v>
          </cell>
          <cell r="R559">
            <v>0</v>
          </cell>
          <cell r="AJ559">
            <v>0</v>
          </cell>
          <cell r="AO559">
            <v>102.8</v>
          </cell>
          <cell r="AS559">
            <v>67.599999999999994</v>
          </cell>
          <cell r="AW559">
            <v>111.2</v>
          </cell>
          <cell r="AX559">
            <v>15.2</v>
          </cell>
          <cell r="BB559">
            <v>51.8</v>
          </cell>
          <cell r="BF559">
            <v>62.4</v>
          </cell>
          <cell r="BG559">
            <v>42</v>
          </cell>
          <cell r="BK559">
            <v>5.8000000000000114</v>
          </cell>
          <cell r="BO559">
            <v>312</v>
          </cell>
          <cell r="BP559">
            <v>110.8</v>
          </cell>
          <cell r="BT559">
            <v>0</v>
          </cell>
          <cell r="BX559">
            <v>127.6</v>
          </cell>
          <cell r="BY559">
            <v>227.6</v>
          </cell>
          <cell r="CC559">
            <v>0</v>
          </cell>
          <cell r="CH559">
            <v>72.8</v>
          </cell>
          <cell r="CL559">
            <v>69</v>
          </cell>
          <cell r="CQ559">
            <v>69</v>
          </cell>
          <cell r="CU559">
            <v>84</v>
          </cell>
          <cell r="CY559">
            <v>250</v>
          </cell>
          <cell r="CZ559">
            <v>103.2</v>
          </cell>
          <cell r="DH559">
            <v>238.2</v>
          </cell>
          <cell r="DI559">
            <v>247.98999999999998</v>
          </cell>
          <cell r="DN559">
            <v>48.8</v>
          </cell>
          <cell r="DQ559">
            <v>262.8</v>
          </cell>
          <cell r="DR559">
            <v>311.60000000000002</v>
          </cell>
          <cell r="DV559">
            <v>0</v>
          </cell>
          <cell r="DZ559">
            <v>64.400000000000006</v>
          </cell>
          <cell r="EA559">
            <v>306.8</v>
          </cell>
          <cell r="EE559">
            <v>0</v>
          </cell>
          <cell r="EJ559">
            <v>60</v>
          </cell>
          <cell r="EN559">
            <v>0</v>
          </cell>
          <cell r="EO559">
            <v>84.6</v>
          </cell>
          <cell r="ER559">
            <v>159</v>
          </cell>
        </row>
        <row r="560">
          <cell r="A560">
            <v>214</v>
          </cell>
          <cell r="B560" t="str">
            <v>FG</v>
          </cell>
          <cell r="C560" t="str">
            <v>FM</v>
          </cell>
          <cell r="D560" t="str">
            <v>JO ALMOND W TF 70%</v>
          </cell>
          <cell r="E560" t="str">
            <v>VITAVON W TF</v>
          </cell>
          <cell r="I560">
            <v>0</v>
          </cell>
          <cell r="J560">
            <v>156.80000000000001</v>
          </cell>
          <cell r="N560">
            <v>189.6</v>
          </cell>
          <cell r="R560">
            <v>0</v>
          </cell>
          <cell r="S560">
            <v>64.8</v>
          </cell>
          <cell r="W560">
            <v>136</v>
          </cell>
          <cell r="AB560">
            <v>62</v>
          </cell>
          <cell r="AF560">
            <v>48.8</v>
          </cell>
          <cell r="AJ560">
            <v>0</v>
          </cell>
          <cell r="AK560">
            <v>99.2</v>
          </cell>
          <cell r="AN560">
            <v>48.8</v>
          </cell>
          <cell r="AO560">
            <v>73.599999999999994</v>
          </cell>
          <cell r="AS560">
            <v>0</v>
          </cell>
          <cell r="AT560">
            <v>63.6</v>
          </cell>
          <cell r="AX560">
            <v>141.19999999999999</v>
          </cell>
          <cell r="BB560">
            <v>0</v>
          </cell>
          <cell r="BC560">
            <v>63.6</v>
          </cell>
          <cell r="BG560">
            <v>78.8</v>
          </cell>
          <cell r="BK560">
            <v>0</v>
          </cell>
          <cell r="BL560">
            <v>16</v>
          </cell>
          <cell r="BP560">
            <v>3.2</v>
          </cell>
          <cell r="BT560">
            <v>99.2</v>
          </cell>
          <cell r="BX560">
            <v>35.200000000000003</v>
          </cell>
          <cell r="BY560">
            <v>3.2</v>
          </cell>
          <cell r="CC560">
            <v>0</v>
          </cell>
          <cell r="CD560">
            <v>205.2</v>
          </cell>
          <cell r="CG560">
            <v>33.200000000000003</v>
          </cell>
          <cell r="CH560">
            <v>155.6</v>
          </cell>
          <cell r="CU560">
            <v>33.9</v>
          </cell>
          <cell r="CV560">
            <v>57.2</v>
          </cell>
          <cell r="CY560">
            <v>16.399999999999999</v>
          </cell>
          <cell r="CZ560">
            <v>102</v>
          </cell>
          <cell r="DI560">
            <v>84</v>
          </cell>
          <cell r="DV560">
            <v>69.599999999999994</v>
          </cell>
          <cell r="DW560">
            <v>96</v>
          </cell>
          <cell r="DZ560">
            <v>169.6</v>
          </cell>
          <cell r="EE560">
            <v>0</v>
          </cell>
          <cell r="EF560">
            <v>90.8</v>
          </cell>
          <cell r="EJ560">
            <v>154.80000000000001</v>
          </cell>
          <cell r="EN560">
            <v>0</v>
          </cell>
          <cell r="EO560">
            <v>18</v>
          </cell>
          <cell r="ES560">
            <v>97.6</v>
          </cell>
        </row>
        <row r="561">
          <cell r="A561">
            <v>215</v>
          </cell>
          <cell r="B561" t="str">
            <v>FG</v>
          </cell>
          <cell r="C561" t="str">
            <v>FM</v>
          </cell>
          <cell r="D561" t="str">
            <v>AMWAY</v>
          </cell>
          <cell r="I561">
            <v>0</v>
          </cell>
          <cell r="M561">
            <v>154.80000000000001</v>
          </cell>
          <cell r="N561">
            <v>61.4</v>
          </cell>
          <cell r="R561">
            <v>0</v>
          </cell>
          <cell r="W561">
            <v>145</v>
          </cell>
          <cell r="AF561">
            <v>120.2</v>
          </cell>
          <cell r="AJ561">
            <v>0</v>
          </cell>
          <cell r="AO561">
            <v>106.6</v>
          </cell>
          <cell r="AS561">
            <v>0</v>
          </cell>
          <cell r="AX561">
            <v>75</v>
          </cell>
          <cell r="BB561">
            <v>0</v>
          </cell>
          <cell r="BG561">
            <v>75</v>
          </cell>
          <cell r="BK561">
            <v>0</v>
          </cell>
          <cell r="BP561">
            <v>75</v>
          </cell>
          <cell r="BT561">
            <v>0</v>
          </cell>
          <cell r="BX561">
            <v>49.2</v>
          </cell>
          <cell r="BY561">
            <v>168.2</v>
          </cell>
          <cell r="CC561">
            <v>0</v>
          </cell>
          <cell r="CH561">
            <v>217.4</v>
          </cell>
          <cell r="CY561">
            <v>1.2</v>
          </cell>
          <cell r="CZ561">
            <v>144.19999999999999</v>
          </cell>
          <cell r="DI561">
            <v>113</v>
          </cell>
          <cell r="DV561">
            <v>0</v>
          </cell>
          <cell r="EA561">
            <v>36.6</v>
          </cell>
          <cell r="EE561">
            <v>0</v>
          </cell>
          <cell r="EJ561">
            <v>107</v>
          </cell>
          <cell r="EN561">
            <v>0</v>
          </cell>
          <cell r="ES561">
            <v>33</v>
          </cell>
        </row>
        <row r="562">
          <cell r="A562">
            <v>216</v>
          </cell>
          <cell r="B562" t="str">
            <v>FG</v>
          </cell>
          <cell r="C562" t="str">
            <v>FM</v>
          </cell>
          <cell r="D562" t="str">
            <v>FA SAUDI</v>
          </cell>
          <cell r="I562">
            <v>22.3</v>
          </cell>
          <cell r="J562">
            <v>29.2</v>
          </cell>
          <cell r="R562">
            <v>22.3</v>
          </cell>
          <cell r="S562">
            <v>29.2</v>
          </cell>
          <cell r="AB562">
            <v>29.2</v>
          </cell>
          <cell r="AJ562">
            <v>14.3</v>
          </cell>
          <cell r="AK562">
            <v>29.2</v>
          </cell>
          <cell r="AS562">
            <v>14.3</v>
          </cell>
          <cell r="AT562">
            <v>29.2</v>
          </cell>
          <cell r="BB562">
            <v>14.3</v>
          </cell>
          <cell r="BC562">
            <v>29.2</v>
          </cell>
          <cell r="BK562">
            <v>14.3</v>
          </cell>
          <cell r="BT562">
            <v>14.3</v>
          </cell>
          <cell r="BU562">
            <v>29.2</v>
          </cell>
          <cell r="CC562">
            <v>7</v>
          </cell>
          <cell r="CD562">
            <v>29.2</v>
          </cell>
          <cell r="CL562">
            <v>189</v>
          </cell>
          <cell r="CQ562">
            <v>189</v>
          </cell>
          <cell r="CU562">
            <v>19</v>
          </cell>
          <cell r="CV562">
            <v>29.2</v>
          </cell>
          <cell r="DE562">
            <v>29.2</v>
          </cell>
          <cell r="DN562">
            <v>29.2</v>
          </cell>
          <cell r="DR562">
            <v>29.2</v>
          </cell>
          <cell r="DV562">
            <v>0</v>
          </cell>
          <cell r="DW562">
            <v>29.2</v>
          </cell>
          <cell r="EE562">
            <v>0</v>
          </cell>
          <cell r="EF562">
            <v>29.2</v>
          </cell>
          <cell r="EN562">
            <v>0</v>
          </cell>
          <cell r="EO562">
            <v>29.2</v>
          </cell>
        </row>
        <row r="563">
          <cell r="A563">
            <v>217</v>
          </cell>
          <cell r="B563" t="str">
            <v>FG</v>
          </cell>
          <cell r="C563" t="str">
            <v>FM</v>
          </cell>
          <cell r="D563" t="str">
            <v>LE CHAT</v>
          </cell>
          <cell r="I563">
            <v>23</v>
          </cell>
          <cell r="R563">
            <v>23</v>
          </cell>
          <cell r="AJ563">
            <v>23</v>
          </cell>
          <cell r="AS563">
            <v>23</v>
          </cell>
          <cell r="BB563">
            <v>23</v>
          </cell>
          <cell r="BK563">
            <v>23</v>
          </cell>
          <cell r="BT563">
            <v>23</v>
          </cell>
          <cell r="CC563">
            <v>23</v>
          </cell>
          <cell r="CL563">
            <v>23</v>
          </cell>
          <cell r="CQ563">
            <v>23</v>
          </cell>
          <cell r="DV563">
            <v>0</v>
          </cell>
          <cell r="EE563">
            <v>0</v>
          </cell>
          <cell r="EN563">
            <v>0</v>
          </cell>
        </row>
        <row r="564">
          <cell r="A564">
            <v>218</v>
          </cell>
          <cell r="B564" t="str">
            <v>FG</v>
          </cell>
          <cell r="C564" t="str">
            <v>FM</v>
          </cell>
          <cell r="D564" t="str">
            <v>SDM NOODLES</v>
          </cell>
          <cell r="I564">
            <v>26</v>
          </cell>
          <cell r="R564">
            <v>26</v>
          </cell>
          <cell r="AJ564">
            <v>26</v>
          </cell>
          <cell r="AS564">
            <v>26</v>
          </cell>
          <cell r="BB564">
            <v>26</v>
          </cell>
          <cell r="BK564">
            <v>26</v>
          </cell>
          <cell r="BT564">
            <v>26</v>
          </cell>
          <cell r="CC564">
            <v>26</v>
          </cell>
          <cell r="CL564">
            <v>26</v>
          </cell>
          <cell r="CQ564">
            <v>26</v>
          </cell>
          <cell r="CU564">
            <v>16</v>
          </cell>
          <cell r="DD564">
            <v>16</v>
          </cell>
          <cell r="DM564">
            <v>16</v>
          </cell>
          <cell r="DR564">
            <v>16</v>
          </cell>
          <cell r="DV564">
            <v>16</v>
          </cell>
          <cell r="EE564">
            <v>16</v>
          </cell>
          <cell r="EN564">
            <v>16</v>
          </cell>
        </row>
        <row r="565">
          <cell r="A565">
            <v>219</v>
          </cell>
          <cell r="B565" t="str">
            <v>FG</v>
          </cell>
          <cell r="C565" t="str">
            <v>FM</v>
          </cell>
          <cell r="D565" t="str">
            <v>ITC</v>
          </cell>
          <cell r="I565">
            <v>0</v>
          </cell>
          <cell r="J565">
            <v>230.3</v>
          </cell>
          <cell r="R565">
            <v>0</v>
          </cell>
          <cell r="S565">
            <v>421.9</v>
          </cell>
          <cell r="AB565">
            <v>334.7</v>
          </cell>
          <cell r="AJ565">
            <v>0</v>
          </cell>
          <cell r="AK565">
            <v>273.10000000000002</v>
          </cell>
          <cell r="AS565">
            <v>0</v>
          </cell>
          <cell r="AT565">
            <v>308.5</v>
          </cell>
          <cell r="BB565">
            <v>0</v>
          </cell>
          <cell r="BC565">
            <v>281.3</v>
          </cell>
          <cell r="BK565">
            <v>0</v>
          </cell>
          <cell r="BL565">
            <v>224.1</v>
          </cell>
          <cell r="BT565">
            <v>0</v>
          </cell>
          <cell r="BU565">
            <v>138.1</v>
          </cell>
          <cell r="CC565">
            <v>0</v>
          </cell>
          <cell r="CD565">
            <v>187.7</v>
          </cell>
          <cell r="CV565">
            <v>347.9</v>
          </cell>
          <cell r="DE565">
            <v>379.3</v>
          </cell>
          <cell r="DN565">
            <v>371.3</v>
          </cell>
          <cell r="DR565">
            <v>371.3</v>
          </cell>
          <cell r="DV565">
            <v>0</v>
          </cell>
          <cell r="DW565">
            <v>283.3</v>
          </cell>
          <cell r="EE565">
            <v>0</v>
          </cell>
          <cell r="EF565">
            <v>317.3</v>
          </cell>
          <cell r="EN565">
            <v>0</v>
          </cell>
          <cell r="EO565">
            <v>275.10000000000002</v>
          </cell>
        </row>
        <row r="566">
          <cell r="A566">
            <v>220</v>
          </cell>
          <cell r="B566" t="str">
            <v>FG</v>
          </cell>
          <cell r="C566" t="str">
            <v>FM</v>
          </cell>
          <cell r="D566" t="str">
            <v>GENERAL NOODLES</v>
          </cell>
          <cell r="I566">
            <v>4.7249999999999996</v>
          </cell>
          <cell r="R566">
            <v>2.4</v>
          </cell>
          <cell r="AJ566">
            <v>2.4</v>
          </cell>
          <cell r="AS566">
            <v>38.200000000000003</v>
          </cell>
          <cell r="BB566">
            <v>38.200000000000003</v>
          </cell>
          <cell r="BK566">
            <v>38.200000000000003</v>
          </cell>
          <cell r="BT566">
            <v>25</v>
          </cell>
          <cell r="CC566">
            <v>32.1</v>
          </cell>
          <cell r="CL566">
            <v>44.1</v>
          </cell>
          <cell r="CQ566">
            <v>44.1</v>
          </cell>
          <cell r="CU566">
            <v>27.7</v>
          </cell>
          <cell r="DD566">
            <v>26.5</v>
          </cell>
          <cell r="DM566">
            <v>24.9</v>
          </cell>
          <cell r="DR566">
            <v>24.9</v>
          </cell>
          <cell r="DV566">
            <v>30.4</v>
          </cell>
          <cell r="EE566">
            <v>57.6</v>
          </cell>
          <cell r="EN566">
            <v>54.4</v>
          </cell>
        </row>
        <row r="567">
          <cell r="A567">
            <v>221</v>
          </cell>
          <cell r="B567" t="str">
            <v>FG</v>
          </cell>
          <cell r="C567" t="str">
            <v>FM</v>
          </cell>
          <cell r="D567" t="str">
            <v>NEAT SCRAP SOAP</v>
          </cell>
          <cell r="I567">
            <v>29</v>
          </cell>
          <cell r="R567">
            <v>29</v>
          </cell>
          <cell r="AJ567">
            <v>29</v>
          </cell>
          <cell r="AS567">
            <v>30</v>
          </cell>
          <cell r="BB567">
            <v>30</v>
          </cell>
          <cell r="BK567">
            <v>30</v>
          </cell>
          <cell r="BT567">
            <v>30</v>
          </cell>
          <cell r="CC567">
            <v>30</v>
          </cell>
          <cell r="CL567">
            <v>30</v>
          </cell>
          <cell r="CQ567">
            <v>30</v>
          </cell>
          <cell r="DV567">
            <v>30</v>
          </cell>
          <cell r="EE567">
            <v>30</v>
          </cell>
          <cell r="EN567">
            <v>10</v>
          </cell>
        </row>
        <row r="568">
          <cell r="A568">
            <v>222</v>
          </cell>
          <cell r="B568" t="str">
            <v>FG</v>
          </cell>
          <cell r="C568" t="str">
            <v>FM</v>
          </cell>
          <cell r="D568" t="str">
            <v>DAVID OPEC</v>
          </cell>
          <cell r="J568">
            <v>0.8</v>
          </cell>
          <cell r="S568">
            <v>0.8</v>
          </cell>
          <cell r="AB568">
            <v>0.8</v>
          </cell>
          <cell r="AK568">
            <v>0.8</v>
          </cell>
          <cell r="AT568">
            <v>0.8</v>
          </cell>
          <cell r="BC568">
            <v>0.8</v>
          </cell>
          <cell r="BL568">
            <v>0.8</v>
          </cell>
        </row>
        <row r="569">
          <cell r="A569">
            <v>223</v>
          </cell>
          <cell r="B569" t="str">
            <v>FG</v>
          </cell>
          <cell r="C569" t="str">
            <v>FM</v>
          </cell>
          <cell r="D569" t="str">
            <v>DABUR VATICA</v>
          </cell>
        </row>
        <row r="570">
          <cell r="A570">
            <v>224</v>
          </cell>
          <cell r="B570" t="str">
            <v>FG</v>
          </cell>
          <cell r="C570" t="str">
            <v>FM</v>
          </cell>
          <cell r="D570" t="str">
            <v>MARGO</v>
          </cell>
          <cell r="J570">
            <v>273.3</v>
          </cell>
          <cell r="S570">
            <v>341.35</v>
          </cell>
          <cell r="AB570">
            <v>353.65</v>
          </cell>
          <cell r="AK570">
            <v>289.64999999999998</v>
          </cell>
          <cell r="AT570">
            <v>257.64999999999998</v>
          </cell>
          <cell r="BC570">
            <v>241.65</v>
          </cell>
          <cell r="BL570">
            <v>209.65</v>
          </cell>
          <cell r="BU570">
            <v>209.65</v>
          </cell>
          <cell r="CD570">
            <v>209.65</v>
          </cell>
          <cell r="CV570">
            <v>209.65</v>
          </cell>
          <cell r="DE570">
            <v>209.65</v>
          </cell>
          <cell r="DN570">
            <v>209.65</v>
          </cell>
          <cell r="DR570">
            <v>209.65</v>
          </cell>
          <cell r="DW570">
            <v>209.65</v>
          </cell>
          <cell r="EF570">
            <v>209.65</v>
          </cell>
          <cell r="EO570">
            <v>209.65</v>
          </cell>
        </row>
        <row r="571">
          <cell r="A571">
            <v>225</v>
          </cell>
          <cell r="B571" t="str">
            <v>FG</v>
          </cell>
          <cell r="C571" t="str">
            <v>FM</v>
          </cell>
          <cell r="D571" t="str">
            <v>OIL BASED NOODLES</v>
          </cell>
        </row>
        <row r="572">
          <cell r="A572">
            <v>226</v>
          </cell>
          <cell r="B572" t="str">
            <v>FG</v>
          </cell>
          <cell r="C572" t="str">
            <v>SM</v>
          </cell>
          <cell r="D572" t="str">
            <v>TRANSLUCENT</v>
          </cell>
          <cell r="J572">
            <v>256.82299999999998</v>
          </cell>
          <cell r="M572">
            <v>16</v>
          </cell>
          <cell r="N572">
            <v>175.02</v>
          </cell>
          <cell r="S572">
            <v>162.048</v>
          </cell>
          <cell r="W572">
            <v>108.02</v>
          </cell>
          <cell r="AB572">
            <v>42.472999999999999</v>
          </cell>
          <cell r="AF572">
            <v>84.65</v>
          </cell>
          <cell r="AK572">
            <v>164.71799999999999</v>
          </cell>
          <cell r="AN572">
            <v>35.055</v>
          </cell>
          <cell r="AO572">
            <v>62.74</v>
          </cell>
          <cell r="AT572">
            <v>170.44300000000001</v>
          </cell>
          <cell r="AW572">
            <v>75.25</v>
          </cell>
          <cell r="AX572">
            <v>45.83</v>
          </cell>
          <cell r="BC572">
            <v>151.74299999999999</v>
          </cell>
          <cell r="BF572">
            <v>15.75</v>
          </cell>
          <cell r="BG572">
            <v>81.91</v>
          </cell>
          <cell r="BL572">
            <v>34.542999999999999</v>
          </cell>
          <cell r="BO572">
            <v>63.674999999999997</v>
          </cell>
          <cell r="BP572">
            <v>78.94</v>
          </cell>
          <cell r="BU572">
            <v>80.13</v>
          </cell>
          <cell r="BX572">
            <v>15.975</v>
          </cell>
          <cell r="BY572">
            <v>26.31</v>
          </cell>
          <cell r="CD572">
            <v>205.63</v>
          </cell>
          <cell r="CG572">
            <v>48.195999999999984</v>
          </cell>
          <cell r="CH572">
            <v>6.3</v>
          </cell>
          <cell r="CV572">
            <v>111.755</v>
          </cell>
          <cell r="DE572">
            <v>177.85499999999999</v>
          </cell>
          <cell r="DM572">
            <v>14.6</v>
          </cell>
          <cell r="DN572">
            <v>25.597999999999999</v>
          </cell>
          <cell r="DR572">
            <v>40.198</v>
          </cell>
          <cell r="DV572">
            <v>14.6</v>
          </cell>
          <cell r="DW572">
            <v>22.448</v>
          </cell>
          <cell r="EA572">
            <v>156.93</v>
          </cell>
          <cell r="EF572">
            <v>79.11</v>
          </cell>
          <cell r="EI572">
            <v>106.4</v>
          </cell>
          <cell r="EJ572">
            <v>74.430000000000007</v>
          </cell>
          <cell r="EO572">
            <v>95.11</v>
          </cell>
          <cell r="ES572">
            <v>66.03</v>
          </cell>
        </row>
        <row r="573">
          <cell r="A573">
            <v>227</v>
          </cell>
          <cell r="B573" t="str">
            <v>FG</v>
          </cell>
          <cell r="C573" t="str">
            <v>SM</v>
          </cell>
          <cell r="D573" t="str">
            <v>TETMOSOL</v>
          </cell>
        </row>
        <row r="574">
          <cell r="A574">
            <v>228</v>
          </cell>
          <cell r="B574" t="str">
            <v>FG</v>
          </cell>
          <cell r="C574" t="str">
            <v>FM</v>
          </cell>
          <cell r="D574" t="str">
            <v xml:space="preserve">J &amp; J </v>
          </cell>
          <cell r="J574">
            <v>0.8</v>
          </cell>
          <cell r="S574">
            <v>0.8</v>
          </cell>
          <cell r="AB574">
            <v>0.8</v>
          </cell>
          <cell r="AK574">
            <v>0.8</v>
          </cell>
          <cell r="AT574">
            <v>0.8</v>
          </cell>
          <cell r="BC574">
            <v>0.8</v>
          </cell>
          <cell r="BL574">
            <v>0.8</v>
          </cell>
        </row>
        <row r="575">
          <cell r="A575">
            <v>229</v>
          </cell>
          <cell r="B575" t="str">
            <v>FG</v>
          </cell>
          <cell r="C575" t="str">
            <v>FM</v>
          </cell>
          <cell r="D575" t="str">
            <v>JBS 80:20</v>
          </cell>
          <cell r="CZ575">
            <v>52</v>
          </cell>
          <cell r="DI575">
            <v>52</v>
          </cell>
        </row>
        <row r="576">
          <cell r="A576">
            <v>230</v>
          </cell>
          <cell r="B576" t="str">
            <v>FG</v>
          </cell>
          <cell r="C576" t="str">
            <v>FM</v>
          </cell>
          <cell r="D576" t="str">
            <v>IMPORTED NOODLES</v>
          </cell>
          <cell r="N576">
            <v>52</v>
          </cell>
          <cell r="W576">
            <v>52</v>
          </cell>
          <cell r="AF576">
            <v>52</v>
          </cell>
          <cell r="AO576">
            <v>52</v>
          </cell>
          <cell r="AX576">
            <v>52</v>
          </cell>
          <cell r="BG576">
            <v>52</v>
          </cell>
          <cell r="BP576">
            <v>52</v>
          </cell>
          <cell r="BY576">
            <v>52</v>
          </cell>
          <cell r="CH576">
            <v>52</v>
          </cell>
          <cell r="EA576">
            <v>52</v>
          </cell>
          <cell r="EJ576">
            <v>52</v>
          </cell>
          <cell r="ES576">
            <v>52</v>
          </cell>
        </row>
        <row r="577">
          <cell r="A577">
            <v>231</v>
          </cell>
          <cell r="B577" t="str">
            <v>FG</v>
          </cell>
          <cell r="C577" t="str">
            <v>FM</v>
          </cell>
          <cell r="D577" t="str">
            <v>HAWAI SYNDAATE BASE REGULER</v>
          </cell>
        </row>
        <row r="578">
          <cell r="F578">
            <v>0</v>
          </cell>
          <cell r="G578">
            <v>0</v>
          </cell>
          <cell r="H578">
            <v>0</v>
          </cell>
          <cell r="I578">
            <v>237.50500000000002</v>
          </cell>
          <cell r="J578">
            <v>1055.0869999999998</v>
          </cell>
          <cell r="K578">
            <v>0</v>
          </cell>
          <cell r="L578">
            <v>0</v>
          </cell>
          <cell r="M578">
            <v>308.8</v>
          </cell>
          <cell r="N578">
            <v>934.34999999999991</v>
          </cell>
          <cell r="O578">
            <v>0</v>
          </cell>
          <cell r="P578">
            <v>0</v>
          </cell>
          <cell r="Q578">
            <v>0</v>
          </cell>
          <cell r="R578">
            <v>224.70000000000002</v>
          </cell>
          <cell r="S578">
            <v>1199.1619999999998</v>
          </cell>
          <cell r="T578">
            <v>0</v>
          </cell>
          <cell r="U578">
            <v>0</v>
          </cell>
          <cell r="V578">
            <v>506.4</v>
          </cell>
          <cell r="W578">
            <v>803.89999999999986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1121.1869999999997</v>
          </cell>
          <cell r="AC578">
            <v>0</v>
          </cell>
          <cell r="AD578">
            <v>0</v>
          </cell>
          <cell r="AE578">
            <v>0</v>
          </cell>
          <cell r="AF578">
            <v>672.07500000000005</v>
          </cell>
          <cell r="AG578">
            <v>0</v>
          </cell>
          <cell r="AH578">
            <v>0</v>
          </cell>
          <cell r="AI578">
            <v>0</v>
          </cell>
          <cell r="AJ578">
            <v>316.5</v>
          </cell>
          <cell r="AK578">
            <v>1126.6319999999998</v>
          </cell>
          <cell r="AL578">
            <v>0</v>
          </cell>
          <cell r="AM578">
            <v>0</v>
          </cell>
          <cell r="AN578">
            <v>99.85499999999999</v>
          </cell>
          <cell r="AO578">
            <v>1017.37</v>
          </cell>
          <cell r="AP578">
            <v>0</v>
          </cell>
          <cell r="AQ578">
            <v>0</v>
          </cell>
          <cell r="AR578">
            <v>0</v>
          </cell>
          <cell r="AS578">
            <v>359.59999999999997</v>
          </cell>
          <cell r="AT578">
            <v>1063.4569999999999</v>
          </cell>
          <cell r="AU578">
            <v>0</v>
          </cell>
          <cell r="AV578">
            <v>0</v>
          </cell>
          <cell r="AW578">
            <v>358.45</v>
          </cell>
          <cell r="AX578">
            <v>910.86000000000024</v>
          </cell>
          <cell r="AY578">
            <v>0</v>
          </cell>
          <cell r="AZ578">
            <v>0</v>
          </cell>
          <cell r="BA578">
            <v>0</v>
          </cell>
          <cell r="BB578">
            <v>378.8</v>
          </cell>
          <cell r="BC578">
            <v>982.85699999999997</v>
          </cell>
          <cell r="BD578">
            <v>0</v>
          </cell>
          <cell r="BE578">
            <v>0</v>
          </cell>
          <cell r="BF578">
            <v>119.75</v>
          </cell>
          <cell r="BG578">
            <v>881.34</v>
          </cell>
          <cell r="BH578">
            <v>0</v>
          </cell>
          <cell r="BI578">
            <v>0</v>
          </cell>
          <cell r="BJ578">
            <v>0</v>
          </cell>
          <cell r="BK578">
            <v>275.60000000000002</v>
          </cell>
          <cell r="BL578">
            <v>800.8069999999999</v>
          </cell>
          <cell r="BM578">
            <v>0</v>
          </cell>
          <cell r="BN578">
            <v>0</v>
          </cell>
          <cell r="BO578">
            <v>701.67499999999995</v>
          </cell>
          <cell r="BP578">
            <v>687.56999999999994</v>
          </cell>
          <cell r="BQ578">
            <v>0</v>
          </cell>
          <cell r="BR578">
            <v>0</v>
          </cell>
          <cell r="BS578">
            <v>0</v>
          </cell>
          <cell r="BT578">
            <v>244.60000000000002</v>
          </cell>
          <cell r="BU578">
            <v>752.99099999999987</v>
          </cell>
          <cell r="BV578">
            <v>0</v>
          </cell>
          <cell r="BW578">
            <v>0</v>
          </cell>
          <cell r="BX578">
            <v>307.97500000000002</v>
          </cell>
          <cell r="BY578">
            <v>919.74</v>
          </cell>
          <cell r="BZ578">
            <v>0</v>
          </cell>
          <cell r="CA578">
            <v>0</v>
          </cell>
          <cell r="CB578">
            <v>0</v>
          </cell>
          <cell r="CC578">
            <v>222.79999999999998</v>
          </cell>
          <cell r="CD578">
            <v>1066.491</v>
          </cell>
          <cell r="CE578">
            <v>0</v>
          </cell>
          <cell r="CF578">
            <v>0</v>
          </cell>
          <cell r="CG578">
            <v>460.99599999999998</v>
          </cell>
          <cell r="CH578">
            <v>680.49999999999989</v>
          </cell>
          <cell r="CL578">
            <v>447.70000000000005</v>
          </cell>
          <cell r="CP578">
            <v>454</v>
          </cell>
          <cell r="CQ578">
            <v>901.7</v>
          </cell>
          <cell r="CU578">
            <v>188.79999999999998</v>
          </cell>
          <cell r="CV578">
            <v>881.61599999999999</v>
          </cell>
          <cell r="CY578">
            <v>345.99999999999994</v>
          </cell>
          <cell r="CZ578">
            <v>1103.92</v>
          </cell>
          <cell r="DD578">
            <v>148.39999999999998</v>
          </cell>
          <cell r="DE578">
            <v>868.46600000000001</v>
          </cell>
          <cell r="DH578">
            <v>449</v>
          </cell>
          <cell r="DI578">
            <v>648.72</v>
          </cell>
          <cell r="DM578">
            <v>246.6</v>
          </cell>
          <cell r="DN578">
            <v>913.2589999999999</v>
          </cell>
          <cell r="DQ578">
            <v>742.40000000000009</v>
          </cell>
          <cell r="DR578">
            <v>1902.259</v>
          </cell>
          <cell r="DS578">
            <v>0</v>
          </cell>
          <cell r="DT578">
            <v>0</v>
          </cell>
          <cell r="DU578">
            <v>0</v>
          </cell>
          <cell r="DV578">
            <v>279.95000000000005</v>
          </cell>
          <cell r="DW578">
            <v>1002.2089999999999</v>
          </cell>
          <cell r="DX578">
            <v>0</v>
          </cell>
          <cell r="DY578">
            <v>0</v>
          </cell>
          <cell r="DZ578">
            <v>281.7</v>
          </cell>
          <cell r="EA578">
            <v>1066.97</v>
          </cell>
          <cell r="EB578">
            <v>0</v>
          </cell>
          <cell r="EC578">
            <v>0</v>
          </cell>
          <cell r="ED578">
            <v>0</v>
          </cell>
          <cell r="EE578">
            <v>265.20000000000005</v>
          </cell>
          <cell r="EF578">
            <v>1042.771</v>
          </cell>
          <cell r="EG578">
            <v>0</v>
          </cell>
          <cell r="EH578">
            <v>0</v>
          </cell>
          <cell r="EI578">
            <v>258.39999999999998</v>
          </cell>
          <cell r="EJ578">
            <v>1020.6000000000001</v>
          </cell>
          <cell r="EK578">
            <v>0</v>
          </cell>
          <cell r="EL578">
            <v>0</v>
          </cell>
          <cell r="EM578">
            <v>0</v>
          </cell>
          <cell r="EN578">
            <v>262</v>
          </cell>
          <cell r="EO578">
            <v>1041.3710000000001</v>
          </cell>
          <cell r="EP578">
            <v>0</v>
          </cell>
          <cell r="EQ578">
            <v>0</v>
          </cell>
          <cell r="ER578">
            <v>425.7</v>
          </cell>
          <cell r="ES578">
            <v>900.44</v>
          </cell>
        </row>
        <row r="579">
          <cell r="F579">
            <v>2354.1805300000001</v>
          </cell>
          <cell r="G579">
            <v>7438.4816523999998</v>
          </cell>
          <cell r="H579">
            <v>7158.5759999999991</v>
          </cell>
          <cell r="I579">
            <v>13313.650000000001</v>
          </cell>
          <cell r="J579">
            <v>2306.5059999999994</v>
          </cell>
          <cell r="K579">
            <v>9356.1519999999982</v>
          </cell>
          <cell r="L579">
            <v>4954.9129999999996</v>
          </cell>
          <cell r="M579">
            <v>4144.53</v>
          </cell>
          <cell r="N579">
            <v>934.34999999999991</v>
          </cell>
          <cell r="O579">
            <v>2478.8063499999998</v>
          </cell>
          <cell r="P579">
            <v>6069.6082523999994</v>
          </cell>
          <cell r="Q579">
            <v>6895.9960000000001</v>
          </cell>
          <cell r="R579">
            <v>13955.941000000003</v>
          </cell>
          <cell r="S579">
            <v>2801.4109999999996</v>
          </cell>
          <cell r="T579">
            <v>9509.1869999999999</v>
          </cell>
          <cell r="U579">
            <v>2548.31</v>
          </cell>
          <cell r="V579">
            <v>4822.2389999999996</v>
          </cell>
          <cell r="W579">
            <v>803.89999999999986</v>
          </cell>
          <cell r="X579">
            <v>2608.3906499999998</v>
          </cell>
          <cell r="Y579">
            <v>6421.6038049000008</v>
          </cell>
          <cell r="Z579">
            <v>6611.4559999999992</v>
          </cell>
          <cell r="AA579">
            <v>12157.329999999998</v>
          </cell>
          <cell r="AB579">
            <v>2857.8289999999997</v>
          </cell>
          <cell r="AC579">
            <v>9475.893</v>
          </cell>
          <cell r="AD579">
            <v>3036.6689999999999</v>
          </cell>
          <cell r="AE579">
            <v>1077.49</v>
          </cell>
          <cell r="AF579">
            <v>672.07500000000005</v>
          </cell>
          <cell r="AG579">
            <v>1974.83725</v>
          </cell>
          <cell r="AH579">
            <v>6950.0324524000007</v>
          </cell>
          <cell r="AI579">
            <v>7047.1059999999998</v>
          </cell>
          <cell r="AJ579">
            <v>13428.520999999999</v>
          </cell>
          <cell r="AK579">
            <v>2625.5360000000001</v>
          </cell>
          <cell r="AL579">
            <v>6899.1119999999992</v>
          </cell>
          <cell r="AM579">
            <v>2657.8090000000002</v>
          </cell>
          <cell r="AN579">
            <v>1799.7850000000001</v>
          </cell>
          <cell r="AO579">
            <v>1017.37</v>
          </cell>
          <cell r="AP579">
            <v>2632.3622299999997</v>
          </cell>
          <cell r="AQ579">
            <v>6399.8248049000013</v>
          </cell>
          <cell r="AR579">
            <v>6811.3509999999987</v>
          </cell>
          <cell r="AS579">
            <v>13643.711235714287</v>
          </cell>
          <cell r="AT579">
            <v>2704.7749999999996</v>
          </cell>
          <cell r="AU579">
            <v>7695.8760000000002</v>
          </cell>
          <cell r="AV579">
            <v>7701.96</v>
          </cell>
          <cell r="AW579">
            <v>2175.0500000000002</v>
          </cell>
          <cell r="AX579">
            <v>910.86000000000024</v>
          </cell>
          <cell r="AY579">
            <v>2800.7691500000001</v>
          </cell>
          <cell r="AZ579">
            <v>6205.5501049000004</v>
          </cell>
          <cell r="BA579">
            <v>5881.8909999999996</v>
          </cell>
          <cell r="BB579">
            <v>13861.003007142855</v>
          </cell>
          <cell r="BC579">
            <v>2651.7759999999998</v>
          </cell>
          <cell r="BD579">
            <v>8226.8649999999998</v>
          </cell>
          <cell r="BE579">
            <v>6380.99</v>
          </cell>
          <cell r="BF579">
            <v>1994.21</v>
          </cell>
          <cell r="BG579">
            <v>881.34</v>
          </cell>
          <cell r="BH579">
            <v>2278.2832679999997</v>
          </cell>
          <cell r="BI579">
            <v>5920.4696049000004</v>
          </cell>
          <cell r="BJ579">
            <v>5519.5059999999994</v>
          </cell>
          <cell r="BK579">
            <v>14869.181551428574</v>
          </cell>
          <cell r="BL579">
            <v>2394.8310000000001</v>
          </cell>
          <cell r="BM579">
            <v>8034.85</v>
          </cell>
          <cell r="BN579">
            <v>7642.259</v>
          </cell>
          <cell r="BO579">
            <v>2612.2549999999997</v>
          </cell>
          <cell r="BP579">
            <v>687.56999999999994</v>
          </cell>
          <cell r="BQ579">
            <v>1693.254688</v>
          </cell>
          <cell r="BR579">
            <v>6521.3964049000006</v>
          </cell>
          <cell r="BS579">
            <v>7633.0110000000004</v>
          </cell>
          <cell r="BT579">
            <v>14642.102982142855</v>
          </cell>
          <cell r="BU579">
            <v>2437.4830000000002</v>
          </cell>
          <cell r="BV579">
            <v>7741.7900000000009</v>
          </cell>
          <cell r="BW579">
            <v>5314.9740000000002</v>
          </cell>
          <cell r="BX579">
            <v>2537.8250000000003</v>
          </cell>
          <cell r="BY579">
            <v>919.74</v>
          </cell>
          <cell r="BZ579">
            <v>2190.063768</v>
          </cell>
          <cell r="CA579">
            <v>6583.0664048999988</v>
          </cell>
          <cell r="CB579">
            <v>7539.2209999999995</v>
          </cell>
          <cell r="CC579">
            <v>15157.984633571428</v>
          </cell>
          <cell r="CD579">
            <v>2583.8890000000001</v>
          </cell>
          <cell r="CE579">
            <v>6168.5219999999999</v>
          </cell>
          <cell r="CF579">
            <v>10692.822</v>
          </cell>
          <cell r="CG579">
            <v>4014.4960000000001</v>
          </cell>
          <cell r="CH579">
            <v>680.49999999999989</v>
          </cell>
          <cell r="CI579">
            <v>2319.0300000000002</v>
          </cell>
          <cell r="CJ579">
            <v>8624.9</v>
          </cell>
          <cell r="CK579">
            <v>6273.8770000000004</v>
          </cell>
          <cell r="CL579">
            <v>16064.834999999999</v>
          </cell>
          <cell r="CM579">
            <v>400.072</v>
          </cell>
          <cell r="CN579">
            <v>6846.95</v>
          </cell>
          <cell r="CO579">
            <v>8432.1839999999993</v>
          </cell>
          <cell r="CP579">
            <v>647</v>
          </cell>
          <cell r="CQ579">
            <v>901.7</v>
          </cell>
          <cell r="CR579">
            <v>2273.9199999999996</v>
          </cell>
          <cell r="CS579">
            <v>8989.15</v>
          </cell>
          <cell r="CT579">
            <v>6178.3270000000002</v>
          </cell>
          <cell r="CU579">
            <v>15738.769000000002</v>
          </cell>
          <cell r="CV579">
            <v>1308.5930000000001</v>
          </cell>
          <cell r="CW579">
            <v>7622.116</v>
          </cell>
          <cell r="CX579">
            <v>6134.7120000000004</v>
          </cell>
          <cell r="CY579">
            <v>1968.0500000000002</v>
          </cell>
          <cell r="CZ579">
            <v>1103.92</v>
          </cell>
          <cell r="DA579">
            <v>11010.304999999998</v>
          </cell>
          <cell r="DB579">
            <v>0</v>
          </cell>
          <cell r="DC579">
            <v>5951.1419999999998</v>
          </cell>
          <cell r="DD579">
            <v>17358.482</v>
          </cell>
          <cell r="DE579">
            <v>1234.683</v>
          </cell>
          <cell r="DF579">
            <v>7799.9500000000007</v>
          </cell>
          <cell r="DG579">
            <v>9688.0429999999997</v>
          </cell>
          <cell r="DH579">
            <v>812</v>
          </cell>
          <cell r="DI579">
            <v>648.72</v>
          </cell>
          <cell r="DJ579">
            <v>1814.5800000000002</v>
          </cell>
          <cell r="DK579">
            <v>8878.48</v>
          </cell>
          <cell r="DL579">
            <v>6439.2219999999998</v>
          </cell>
          <cell r="DM579">
            <v>16864.831999999999</v>
          </cell>
          <cell r="DN579">
            <v>1173.3279999999997</v>
          </cell>
          <cell r="DO579">
            <v>7240.7819999999992</v>
          </cell>
          <cell r="DP579">
            <v>9447.6099999999988</v>
          </cell>
          <cell r="DQ579">
            <v>4406.3999999999996</v>
          </cell>
          <cell r="DR579">
            <v>1902.259</v>
          </cell>
          <cell r="DS579">
            <v>1876.74388</v>
          </cell>
          <cell r="DT579">
            <v>9448.2335999999996</v>
          </cell>
          <cell r="DU579">
            <v>6672.7220000000007</v>
          </cell>
          <cell r="DV579">
            <v>16254.384407142859</v>
          </cell>
          <cell r="DW579">
            <v>2319.7719999999999</v>
          </cell>
          <cell r="DX579">
            <v>6273.4140000000007</v>
          </cell>
          <cell r="DY579">
            <v>8930.4310000000005</v>
          </cell>
          <cell r="DZ579">
            <v>2653.4</v>
          </cell>
          <cell r="EA579">
            <v>1066.97</v>
          </cell>
          <cell r="EB579">
            <v>2094.8177179999998</v>
          </cell>
          <cell r="EC579">
            <v>9737.0511449000005</v>
          </cell>
          <cell r="ED579">
            <v>6239.3220000000001</v>
          </cell>
          <cell r="EE579">
            <v>16033.513460285716</v>
          </cell>
          <cell r="EF579">
            <v>2925.3940000000002</v>
          </cell>
          <cell r="EG579">
            <v>5930.9719999999998</v>
          </cell>
          <cell r="EH579">
            <v>4289.0509999999995</v>
          </cell>
          <cell r="EI579">
            <v>258.39999999999998</v>
          </cell>
          <cell r="EJ579">
            <v>1020.6000000000001</v>
          </cell>
          <cell r="EK579">
            <v>2429.2226499999997</v>
          </cell>
          <cell r="EL579">
            <v>8946.7241049000004</v>
          </cell>
          <cell r="EM579">
            <v>5382.5619999999999</v>
          </cell>
          <cell r="EN579">
            <v>15746.206880285714</v>
          </cell>
          <cell r="EO579">
            <v>3069.2730000000001</v>
          </cell>
          <cell r="EP579">
            <v>7209.7510000000002</v>
          </cell>
          <cell r="EQ579">
            <v>1648.7660000000001</v>
          </cell>
          <cell r="ER579">
            <v>2120.04</v>
          </cell>
          <cell r="ES579">
            <v>900.44</v>
          </cell>
        </row>
        <row r="580">
          <cell r="X580">
            <v>2608.3906499999998</v>
          </cell>
          <cell r="Y580">
            <v>6421.6038049000008</v>
          </cell>
          <cell r="Z580">
            <v>6611.4559999999992</v>
          </cell>
          <cell r="AA580">
            <v>12157.329999999998</v>
          </cell>
          <cell r="AB580">
            <v>5100.2029999999995</v>
          </cell>
          <cell r="AC580">
            <v>9475.893</v>
          </cell>
          <cell r="AD580">
            <v>3036.6689999999999</v>
          </cell>
          <cell r="AE580">
            <v>1077.49</v>
          </cell>
          <cell r="AF580">
            <v>1999.8100000000002</v>
          </cell>
        </row>
        <row r="581">
          <cell r="X581">
            <v>5008.1413000000002</v>
          </cell>
          <cell r="Y581">
            <v>12843.207609800002</v>
          </cell>
          <cell r="Z581">
            <v>13009.322</v>
          </cell>
          <cell r="AA581">
            <v>18176.93</v>
          </cell>
          <cell r="AB581">
            <v>6806.0949999999993</v>
          </cell>
          <cell r="AC581">
            <v>18951.786</v>
          </cell>
          <cell r="AD581">
            <v>6073.3379999999997</v>
          </cell>
          <cell r="AE581">
            <v>2030.58</v>
          </cell>
          <cell r="AF581">
            <v>2008.7250000000001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VF Oleo costing model"/>
      <sheetName val="Upside &amp; downside"/>
      <sheetName val="Assumption"/>
      <sheetName val="Summary P&amp;L"/>
      <sheetName val="P&amp;L"/>
      <sheetName val="Oleo P&amp;L"/>
      <sheetName val="Input-output"/>
      <sheetName val="2.2 Landed RM cost"/>
      <sheetName val="Service charges"/>
      <sheetName val="By product summary-1"/>
      <sheetName val="By-product balance sheet"/>
      <sheetName val="Cycle Time Assumptions"/>
      <sheetName val="I-Credits"/>
      <sheetName val="1.9. Direct overheads"/>
      <sheetName val="1.5. Indirect overheads"/>
      <sheetName val="1.6 S&amp;M overheads"/>
      <sheetName val="1.3. Location &amp; Resource"/>
      <sheetName val="PKFAD processing cost"/>
      <sheetName val="1.19. Processing cost summary"/>
      <sheetName val="1.14 PKO Processing cost"/>
      <sheetName val="1.18. Processing Time"/>
      <sheetName val="2.22 Resource wise cost"/>
      <sheetName val="2.12 Cost computation-PFAD"/>
      <sheetName val="1.17 Mustard processing cost"/>
      <sheetName val="1.15. PFAD processing cost"/>
      <sheetName val="1.16. RBDPS processing cost"/>
      <sheetName val="2.24 Alcohol process"/>
      <sheetName val="2.14. Cost computation - MO"/>
      <sheetName val="2.25 Mustard residue Process"/>
      <sheetName val="2.26 PKO Residue Process"/>
      <sheetName val="2.23  Mixed  residue Process"/>
      <sheetName val="1.13. CPS processing cost"/>
      <sheetName val="1.14 CNO Processing cost"/>
      <sheetName val="MIX RESIDUE processing cost"/>
      <sheetName val="PKO Reco Sheet"/>
      <sheetName val="Mustard Reco Sheet"/>
      <sheetName val="PFAD Reco Sheet"/>
      <sheetName val="Hydrgen Gas BOM"/>
      <sheetName val="FO &amp; Naptha"/>
      <sheetName val="1.7.Additives sheet"/>
      <sheetName val="CNO-Final"/>
      <sheetName val="Split Fatty Acid V12 14"/>
      <sheetName val="2.17.Cost computation PKFAD"/>
      <sheetName val="2.17.Cost computation PKO V1214"/>
      <sheetName val="2.15.Cost computation PKO V1216"/>
      <sheetName val="2.1x.Cost computation PKO Laur"/>
      <sheetName val="2.13. Cost computation-CPS"/>
      <sheetName val="2.19 Cost computation-RBDPS"/>
      <sheetName val="2.18.Cost computation CNO V1214"/>
      <sheetName val="2.16.Cost computation CNO V1216"/>
      <sheetName val="1.8. Logistics cost"/>
      <sheetName val="2.1 Logistics cost"/>
      <sheetName val="2.4. Seweree Direct overheads"/>
      <sheetName val="2.3.Kutch-2 Direct overheads"/>
      <sheetName val="2.5. Taloja Direct overheads"/>
      <sheetName val="2.6 Sion Direct overheads"/>
      <sheetName val="2.7 Kutch-1 Direct overheads"/>
      <sheetName val="Interest"/>
      <sheetName val="2.8. Process wise depreciation"/>
      <sheetName val="2.9Process wise Direct overhead"/>
      <sheetName val="2.10 Indirect overheads"/>
      <sheetName val="2.11 S&amp;M overhead"/>
      <sheetName val="2.20. Substitutable values"/>
      <sheetName val="2.21.Substitutable value comp"/>
      <sheetName val="Input output sheet-MCT"/>
      <sheetName val="MCT Processing cost"/>
      <sheetName val="MCT computation"/>
      <sheetName val="PM"/>
      <sheetName val="10. Data 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>
        <row r="5">
          <cell r="B5" t="str">
            <v>Taloja Lurgi</v>
          </cell>
          <cell r="D5" t="str">
            <v>Sion K1-K2</v>
          </cell>
        </row>
        <row r="6">
          <cell r="D6" t="str">
            <v>Sion K1-K3</v>
          </cell>
        </row>
        <row r="7">
          <cell r="D7" t="str">
            <v>Sion K3</v>
          </cell>
        </row>
        <row r="8">
          <cell r="D8" t="str">
            <v>Section 3</v>
          </cell>
        </row>
        <row r="9">
          <cell r="D9" t="str">
            <v>Section 4</v>
          </cell>
        </row>
        <row r="10">
          <cell r="D10" t="str">
            <v>Section 5</v>
          </cell>
        </row>
        <row r="11">
          <cell r="D11" t="str">
            <v>Sion distill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yer jamming"/>
      <sheetName val="Ass.Sheet"/>
      <sheetName val="Consolidated Cost"/>
      <sheetName val="Production"/>
      <sheetName val="Mr. P.S. Dwivedi"/>
      <sheetName val=" Lube oil pump GV"/>
      <sheetName val=" TG loading "/>
      <sheetName val=" P-309AB Stoppage"/>
      <sheetName val=" Cooling eff of E303"/>
      <sheetName val=" Fuel NG heating by E204B"/>
      <sheetName val=" Lighting at sub station"/>
      <sheetName val=" IG plant air to K 421"/>
      <sheetName val=" Lighting at subȠstation"/>
      <sheetName val="Ass_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2"/>
      <sheetName val="Sheet3"/>
    </sheetNames>
    <sheetDataSet>
      <sheetData sheetId="0" refreshError="1"/>
      <sheetData sheetId="1" refreshError="1">
        <row r="21">
          <cell r="L21">
            <v>200</v>
          </cell>
        </row>
        <row r="22">
          <cell r="L22">
            <v>162</v>
          </cell>
        </row>
        <row r="23">
          <cell r="L23">
            <v>23780</v>
          </cell>
        </row>
        <row r="24">
          <cell r="L24">
            <v>23538</v>
          </cell>
        </row>
        <row r="25">
          <cell r="L25">
            <v>23537</v>
          </cell>
        </row>
        <row r="26">
          <cell r="L26">
            <v>874788</v>
          </cell>
        </row>
        <row r="27">
          <cell r="L27">
            <v>2040</v>
          </cell>
        </row>
        <row r="28">
          <cell r="L28">
            <v>740</v>
          </cell>
        </row>
        <row r="29">
          <cell r="L29">
            <v>3932025</v>
          </cell>
        </row>
        <row r="30">
          <cell r="L30">
            <v>888</v>
          </cell>
        </row>
        <row r="31">
          <cell r="L31">
            <v>1763</v>
          </cell>
        </row>
        <row r="32">
          <cell r="L32">
            <v>322</v>
          </cell>
        </row>
        <row r="33">
          <cell r="L33">
            <v>3022</v>
          </cell>
        </row>
        <row r="34">
          <cell r="L34">
            <v>25</v>
          </cell>
        </row>
        <row r="35">
          <cell r="L35">
            <v>54325</v>
          </cell>
        </row>
        <row r="36">
          <cell r="L36">
            <v>108650</v>
          </cell>
        </row>
        <row r="37">
          <cell r="L37">
            <v>54325</v>
          </cell>
        </row>
        <row r="38">
          <cell r="L38">
            <v>54325</v>
          </cell>
        </row>
        <row r="39">
          <cell r="L39">
            <v>108650</v>
          </cell>
        </row>
        <row r="40">
          <cell r="L40">
            <v>720588</v>
          </cell>
        </row>
        <row r="41">
          <cell r="L41">
            <v>106775</v>
          </cell>
        </row>
        <row r="42">
          <cell r="L42">
            <v>1418510</v>
          </cell>
        </row>
        <row r="43">
          <cell r="L43">
            <v>3598864</v>
          </cell>
        </row>
        <row r="44">
          <cell r="L44">
            <v>5069</v>
          </cell>
        </row>
        <row r="45">
          <cell r="L45">
            <v>95359</v>
          </cell>
        </row>
        <row r="46">
          <cell r="L46">
            <v>60478</v>
          </cell>
        </row>
        <row r="47">
          <cell r="L47">
            <v>17138</v>
          </cell>
        </row>
        <row r="48">
          <cell r="L48">
            <v>112682</v>
          </cell>
        </row>
        <row r="49">
          <cell r="L49">
            <v>114320</v>
          </cell>
        </row>
        <row r="50">
          <cell r="L50">
            <v>257414</v>
          </cell>
        </row>
        <row r="51">
          <cell r="L51">
            <v>192397</v>
          </cell>
        </row>
        <row r="52">
          <cell r="L52">
            <v>274333</v>
          </cell>
        </row>
        <row r="53">
          <cell r="L53">
            <v>226829</v>
          </cell>
        </row>
        <row r="54">
          <cell r="L54">
            <v>197076</v>
          </cell>
        </row>
        <row r="55">
          <cell r="L55">
            <v>119340</v>
          </cell>
        </row>
        <row r="56">
          <cell r="L56">
            <v>108405</v>
          </cell>
        </row>
        <row r="57">
          <cell r="L57">
            <v>83377</v>
          </cell>
        </row>
        <row r="58">
          <cell r="L58">
            <v>1016</v>
          </cell>
        </row>
        <row r="59">
          <cell r="L59">
            <v>1886</v>
          </cell>
        </row>
        <row r="60">
          <cell r="L60">
            <v>108650</v>
          </cell>
        </row>
        <row r="61">
          <cell r="L61">
            <v>108650</v>
          </cell>
        </row>
        <row r="62">
          <cell r="L62">
            <v>53329</v>
          </cell>
        </row>
        <row r="63">
          <cell r="L63">
            <v>1118</v>
          </cell>
        </row>
        <row r="64">
          <cell r="L64">
            <v>51528</v>
          </cell>
        </row>
        <row r="65">
          <cell r="L65">
            <v>51528</v>
          </cell>
        </row>
        <row r="66">
          <cell r="L66">
            <v>188</v>
          </cell>
        </row>
        <row r="67">
          <cell r="L67">
            <v>2947350</v>
          </cell>
        </row>
        <row r="68">
          <cell r="L68">
            <v>2968281</v>
          </cell>
        </row>
        <row r="69">
          <cell r="L69">
            <v>89147</v>
          </cell>
        </row>
        <row r="70">
          <cell r="L70">
            <v>2993</v>
          </cell>
        </row>
        <row r="71">
          <cell r="L71">
            <v>478764</v>
          </cell>
        </row>
        <row r="72">
          <cell r="L72">
            <v>400</v>
          </cell>
        </row>
        <row r="73">
          <cell r="L73">
            <v>748</v>
          </cell>
        </row>
        <row r="74">
          <cell r="L74">
            <v>371</v>
          </cell>
        </row>
        <row r="75">
          <cell r="L75">
            <v>50854</v>
          </cell>
        </row>
        <row r="76">
          <cell r="L76">
            <v>79227</v>
          </cell>
        </row>
        <row r="77">
          <cell r="L77">
            <v>337301</v>
          </cell>
        </row>
        <row r="78">
          <cell r="L78">
            <v>14101</v>
          </cell>
        </row>
        <row r="79">
          <cell r="L79">
            <v>3084</v>
          </cell>
        </row>
        <row r="80">
          <cell r="L80">
            <v>86727</v>
          </cell>
        </row>
        <row r="81">
          <cell r="L81">
            <v>194092</v>
          </cell>
        </row>
        <row r="82">
          <cell r="L82">
            <v>70945</v>
          </cell>
        </row>
        <row r="83">
          <cell r="L83">
            <v>52237</v>
          </cell>
        </row>
        <row r="84">
          <cell r="L84">
            <v>53370</v>
          </cell>
        </row>
        <row r="85">
          <cell r="L85">
            <v>555060</v>
          </cell>
        </row>
        <row r="86">
          <cell r="L86">
            <v>33161</v>
          </cell>
        </row>
        <row r="87">
          <cell r="L87">
            <v>3967</v>
          </cell>
        </row>
        <row r="88">
          <cell r="L88">
            <v>54405</v>
          </cell>
        </row>
        <row r="89">
          <cell r="L89">
            <v>242163</v>
          </cell>
        </row>
        <row r="90">
          <cell r="L90">
            <v>170</v>
          </cell>
        </row>
        <row r="91">
          <cell r="L91">
            <v>554</v>
          </cell>
        </row>
        <row r="110">
          <cell r="L110" t="str">
            <v>Amount out of
(6) to be allowed
as credit during
the year</v>
          </cell>
        </row>
        <row r="112">
          <cell r="L112">
            <v>7</v>
          </cell>
        </row>
      </sheetData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V for loss c-off"/>
      <sheetName val="PIVOT"/>
      <sheetName val="Working"/>
      <sheetName val="P II Done on 31.08.2010"/>
      <sheetName val="P II Done"/>
      <sheetName val="P II Pending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>
        <row r="627">
          <cell r="A627" t="str">
            <v>5000525972</v>
          </cell>
          <cell r="B627" t="str">
            <v>5000522433</v>
          </cell>
          <cell r="C627" t="str">
            <v>450005514200020</v>
          </cell>
          <cell r="D627" t="str">
            <v>MIGO_GR</v>
          </cell>
          <cell r="E627" t="str">
            <v>8102958/23.08.10</v>
          </cell>
          <cell r="F627" t="str">
            <v>9200019163</v>
          </cell>
          <cell r="G627" t="str">
            <v>25545</v>
          </cell>
          <cell r="H627" t="str">
            <v>GR / IR Clearing -SemiFinished Goods- Auto</v>
          </cell>
          <cell r="I627" t="str">
            <v>4500055142</v>
          </cell>
          <cell r="J627" t="str">
            <v>03B1</v>
          </cell>
          <cell r="K627" t="str">
            <v>100736</v>
          </cell>
          <cell r="L627" t="str">
            <v>VVF LTD.</v>
          </cell>
          <cell r="M627" t="str">
            <v>501277</v>
          </cell>
          <cell r="N627" t="str">
            <v>Split Fatty Acid C8-C18</v>
          </cell>
          <cell r="O627" t="str">
            <v>INR</v>
          </cell>
          <cell r="P627" t="str">
            <v/>
          </cell>
          <cell r="Q627" t="str">
            <v/>
          </cell>
          <cell r="R627" t="str">
            <v>010000441295</v>
          </cell>
          <cell r="S627" t="str">
            <v>A</v>
          </cell>
          <cell r="T627" t="str">
            <v>9084019041</v>
          </cell>
          <cell r="U627" t="str">
            <v>P003</v>
          </cell>
          <cell r="V627" t="str">
            <v>2010</v>
          </cell>
          <cell r="W627" t="str">
            <v/>
          </cell>
          <cell r="X627" t="str">
            <v>MT</v>
          </cell>
          <cell r="Y627" t="str">
            <v/>
          </cell>
          <cell r="Z627" t="str">
            <v>VVF</v>
          </cell>
          <cell r="AA627" t="str">
            <v>WE</v>
          </cell>
          <cell r="AB627">
            <v>40416</v>
          </cell>
          <cell r="AC627">
            <v>40416</v>
          </cell>
          <cell r="AD627">
            <v>40395</v>
          </cell>
          <cell r="AE627">
            <v>-1239600</v>
          </cell>
          <cell r="AF627">
            <v>-16.11</v>
          </cell>
        </row>
        <row r="628">
          <cell r="A628" t="str">
            <v>5000526000</v>
          </cell>
          <cell r="B628" t="str">
            <v>5000522433</v>
          </cell>
          <cell r="C628" t="str">
            <v>450005562500010</v>
          </cell>
          <cell r="D628" t="str">
            <v>MIGO_GR</v>
          </cell>
          <cell r="E628" t="str">
            <v>8102913/21.08.10</v>
          </cell>
          <cell r="F628" t="str">
            <v>9200019179</v>
          </cell>
          <cell r="G628" t="str">
            <v>25545</v>
          </cell>
          <cell r="H628" t="str">
            <v>GR / IR Clearing -SemiFinished Goods- Auto</v>
          </cell>
          <cell r="I628" t="str">
            <v>4500055625</v>
          </cell>
          <cell r="J628" t="str">
            <v>14B2</v>
          </cell>
          <cell r="K628" t="str">
            <v>100736</v>
          </cell>
          <cell r="L628" t="str">
            <v>VVF LTD.</v>
          </cell>
          <cell r="M628" t="str">
            <v>502076</v>
          </cell>
          <cell r="N628" t="str">
            <v>SPLIT FATTY ACID (RESIDUE)</v>
          </cell>
          <cell r="O628" t="str">
            <v>INR</v>
          </cell>
          <cell r="P628" t="str">
            <v/>
          </cell>
          <cell r="Q628" t="str">
            <v/>
          </cell>
          <cell r="R628" t="str">
            <v>010000441357</v>
          </cell>
          <cell r="S628" t="str">
            <v>A</v>
          </cell>
          <cell r="T628" t="str">
            <v>9084019041</v>
          </cell>
          <cell r="U628" t="str">
            <v>P014</v>
          </cell>
          <cell r="V628" t="str">
            <v>2010</v>
          </cell>
          <cell r="W628" t="str">
            <v/>
          </cell>
          <cell r="X628" t="str">
            <v>MT</v>
          </cell>
          <cell r="Y628" t="str">
            <v/>
          </cell>
          <cell r="Z628" t="str">
            <v>VVF</v>
          </cell>
          <cell r="AA628" t="str">
            <v>WE</v>
          </cell>
          <cell r="AB628">
            <v>40415</v>
          </cell>
          <cell r="AC628">
            <v>40416</v>
          </cell>
          <cell r="AD628">
            <v>40410</v>
          </cell>
          <cell r="AE628">
            <v>-683731.64</v>
          </cell>
          <cell r="AF628">
            <v>16.11</v>
          </cell>
        </row>
        <row r="629">
          <cell r="A629" t="str">
            <v>5000525998</v>
          </cell>
          <cell r="B629" t="str">
            <v>5000522433</v>
          </cell>
          <cell r="C629" t="str">
            <v>450005399300010</v>
          </cell>
          <cell r="D629" t="str">
            <v>MIGO_GR</v>
          </cell>
          <cell r="E629" t="str">
            <v>1411002462/21.08</v>
          </cell>
          <cell r="F629" t="str">
            <v>9200019180</v>
          </cell>
          <cell r="G629" t="str">
            <v>25545</v>
          </cell>
          <cell r="H629" t="str">
            <v>GR / IR Clearing -SemiFinished Goods- Auto</v>
          </cell>
          <cell r="I629" t="str">
            <v>4500053993</v>
          </cell>
          <cell r="J629" t="str">
            <v>04B1</v>
          </cell>
          <cell r="K629" t="str">
            <v>302787</v>
          </cell>
          <cell r="L629" t="str">
            <v>VVF LIMITED BADDI</v>
          </cell>
          <cell r="M629" t="str">
            <v>502037</v>
          </cell>
          <cell r="N629" t="str">
            <v>RESIDUE</v>
          </cell>
          <cell r="O629" t="str">
            <v>INR</v>
          </cell>
          <cell r="P629" t="str">
            <v/>
          </cell>
          <cell r="Q629" t="str">
            <v/>
          </cell>
          <cell r="R629" t="str">
            <v>010000441357</v>
          </cell>
          <cell r="S629" t="str">
            <v>A</v>
          </cell>
          <cell r="T629" t="str">
            <v>9084019041</v>
          </cell>
          <cell r="U629" t="str">
            <v>P004</v>
          </cell>
          <cell r="V629" t="str">
            <v>2010</v>
          </cell>
          <cell r="W629" t="str">
            <v/>
          </cell>
          <cell r="X629" t="str">
            <v>MT</v>
          </cell>
          <cell r="Y629" t="str">
            <v/>
          </cell>
          <cell r="Z629" t="str">
            <v>VVF</v>
          </cell>
          <cell r="AA629" t="str">
            <v>WE</v>
          </cell>
          <cell r="AB629">
            <v>40411</v>
          </cell>
          <cell r="AC629">
            <v>40414</v>
          </cell>
          <cell r="AD629">
            <v>40362</v>
          </cell>
          <cell r="AE629">
            <v>-450840</v>
          </cell>
          <cell r="AF629">
            <v>-16.11</v>
          </cell>
        </row>
        <row r="630">
          <cell r="A630" t="str">
            <v>5000526012</v>
          </cell>
          <cell r="B630" t="str">
            <v>5000522433</v>
          </cell>
          <cell r="C630" t="str">
            <v>450005514200020</v>
          </cell>
          <cell r="D630" t="str">
            <v>MIGO_GR</v>
          </cell>
          <cell r="E630" t="str">
            <v>8102968/23.08.10</v>
          </cell>
          <cell r="F630" t="str">
            <v>9200019182</v>
          </cell>
          <cell r="G630" t="str">
            <v>25545</v>
          </cell>
          <cell r="H630" t="str">
            <v>GR / IR Clearing -SemiFinished Goods- Auto</v>
          </cell>
          <cell r="I630" t="str">
            <v>4500055142</v>
          </cell>
          <cell r="J630" t="str">
            <v>03B1</v>
          </cell>
          <cell r="K630" t="str">
            <v>100736</v>
          </cell>
          <cell r="L630" t="str">
            <v>VVF LTD.</v>
          </cell>
          <cell r="M630" t="str">
            <v>501277</v>
          </cell>
          <cell r="N630" t="str">
            <v>Split Fatty Acid C8-C18</v>
          </cell>
          <cell r="O630" t="str">
            <v>INR</v>
          </cell>
          <cell r="P630" t="str">
            <v/>
          </cell>
          <cell r="Q630" t="str">
            <v/>
          </cell>
          <cell r="R630" t="str">
            <v>010000441357</v>
          </cell>
          <cell r="S630" t="str">
            <v>A</v>
          </cell>
          <cell r="T630" t="str">
            <v>9084021347</v>
          </cell>
          <cell r="U630" t="str">
            <v>P003</v>
          </cell>
          <cell r="V630" t="str">
            <v>2010</v>
          </cell>
          <cell r="W630" t="str">
            <v/>
          </cell>
          <cell r="X630" t="str">
            <v>MT</v>
          </cell>
          <cell r="Y630" t="str">
            <v/>
          </cell>
          <cell r="Z630" t="str">
            <v>VVF</v>
          </cell>
          <cell r="AA630" t="str">
            <v>WE</v>
          </cell>
          <cell r="AB630">
            <v>40416</v>
          </cell>
          <cell r="AC630">
            <v>40416</v>
          </cell>
          <cell r="AD630">
            <v>40395</v>
          </cell>
          <cell r="AE630">
            <v>-1028400</v>
          </cell>
          <cell r="AF630">
            <v>16.11</v>
          </cell>
        </row>
        <row r="631">
          <cell r="A631" t="str">
            <v>5000526024</v>
          </cell>
          <cell r="B631" t="str">
            <v>5000522433</v>
          </cell>
          <cell r="C631" t="str">
            <v>450005514200020</v>
          </cell>
          <cell r="D631" t="str">
            <v>MIGO_GR</v>
          </cell>
          <cell r="E631" t="str">
            <v>8102942/22.08.10</v>
          </cell>
          <cell r="F631" t="str">
            <v>9200019184</v>
          </cell>
          <cell r="G631" t="str">
            <v>25545</v>
          </cell>
          <cell r="H631" t="str">
            <v>GR / IR Clearing -SemiFinished Goods- Auto</v>
          </cell>
          <cell r="I631" t="str">
            <v>4500055142</v>
          </cell>
          <cell r="J631" t="str">
            <v>03B1</v>
          </cell>
          <cell r="K631" t="str">
            <v>100736</v>
          </cell>
          <cell r="L631" t="str">
            <v>VVF LTD.</v>
          </cell>
          <cell r="M631" t="str">
            <v>501277</v>
          </cell>
          <cell r="N631" t="str">
            <v>Split Fatty Acid C8-C18</v>
          </cell>
          <cell r="O631" t="str">
            <v>INR</v>
          </cell>
          <cell r="P631" t="str">
            <v/>
          </cell>
          <cell r="Q631" t="str">
            <v/>
          </cell>
          <cell r="R631" t="str">
            <v>010000441357</v>
          </cell>
          <cell r="S631" t="str">
            <v>A</v>
          </cell>
          <cell r="T631" t="str">
            <v>9084021032</v>
          </cell>
          <cell r="U631" t="str">
            <v>P003</v>
          </cell>
          <cell r="V631" t="str">
            <v>2010</v>
          </cell>
          <cell r="W631" t="str">
            <v/>
          </cell>
          <cell r="X631" t="str">
            <v>MT</v>
          </cell>
          <cell r="Y631" t="str">
            <v/>
          </cell>
          <cell r="Z631" t="str">
            <v>VVF</v>
          </cell>
          <cell r="AA631" t="str">
            <v>WE</v>
          </cell>
          <cell r="AB631">
            <v>40415</v>
          </cell>
          <cell r="AC631">
            <v>40416</v>
          </cell>
          <cell r="AD631">
            <v>40395</v>
          </cell>
          <cell r="AE631">
            <v>-1416600</v>
          </cell>
          <cell r="AF631">
            <v>-16.11</v>
          </cell>
        </row>
        <row r="632">
          <cell r="A632" t="str">
            <v>5000408243</v>
          </cell>
          <cell r="B632" t="str">
            <v>5000522433</v>
          </cell>
          <cell r="C632" t="str">
            <v>450004191500020</v>
          </cell>
          <cell r="D632" t="str">
            <v>MIGO_GR</v>
          </cell>
          <cell r="E632" t="str">
            <v>310004785</v>
          </cell>
          <cell r="F632" t="str">
            <v>9200019190</v>
          </cell>
          <cell r="G632" t="str">
            <v>25545</v>
          </cell>
          <cell r="H632" t="str">
            <v>GR / IR Clearing -SemiFinished Goods- Auto</v>
          </cell>
          <cell r="I632" t="str">
            <v>4500041915</v>
          </cell>
          <cell r="J632" t="str">
            <v>13B2</v>
          </cell>
          <cell r="K632" t="str">
            <v>VVF-TALOJA</v>
          </cell>
          <cell r="L632" t="str">
            <v>VVF LIMITED - TALOJA</v>
          </cell>
          <cell r="M632" t="str">
            <v>500636</v>
          </cell>
          <cell r="N632" t="str">
            <v>Vitavon AL 400 Kg</v>
          </cell>
          <cell r="O632" t="str">
            <v>INR</v>
          </cell>
          <cell r="P632" t="str">
            <v/>
          </cell>
          <cell r="Q632" t="str">
            <v/>
          </cell>
          <cell r="R632" t="str">
            <v>010000441357</v>
          </cell>
          <cell r="S632" t="str">
            <v>A</v>
          </cell>
          <cell r="T632" t="str">
            <v>9084016573</v>
          </cell>
          <cell r="U632" t="str">
            <v>P013</v>
          </cell>
          <cell r="V632" t="str">
            <v>2009</v>
          </cell>
          <cell r="W632" t="str">
            <v/>
          </cell>
          <cell r="X632" t="str">
            <v>MT</v>
          </cell>
          <cell r="Y632" t="str">
            <v/>
          </cell>
          <cell r="Z632" t="str">
            <v>VVF</v>
          </cell>
          <cell r="AA632" t="str">
            <v>WE</v>
          </cell>
          <cell r="AB632">
            <v>40052</v>
          </cell>
          <cell r="AC632">
            <v>40052</v>
          </cell>
          <cell r="AD632">
            <v>40007</v>
          </cell>
          <cell r="AE632">
            <v>-544273.28</v>
          </cell>
          <cell r="AF632">
            <v>16.11</v>
          </cell>
        </row>
        <row r="633">
          <cell r="A633" t="str">
            <v>5000526152</v>
          </cell>
          <cell r="B633" t="str">
            <v>5000522433</v>
          </cell>
          <cell r="C633" t="str">
            <v>450005514500010</v>
          </cell>
          <cell r="D633" t="str">
            <v>MIGO_GR</v>
          </cell>
          <cell r="E633" t="str">
            <v>8102869/19.08.10</v>
          </cell>
          <cell r="F633" t="str">
            <v>9200019258</v>
          </cell>
          <cell r="G633" t="str">
            <v>25545</v>
          </cell>
          <cell r="H633" t="str">
            <v>GR / IR Clearing -SemiFinished Goods- Auto</v>
          </cell>
          <cell r="I633" t="str">
            <v>4500055145</v>
          </cell>
          <cell r="J633" t="str">
            <v>14B2</v>
          </cell>
          <cell r="K633" t="str">
            <v>100736</v>
          </cell>
          <cell r="L633" t="str">
            <v>VVF LTD.</v>
          </cell>
          <cell r="M633" t="str">
            <v>502076</v>
          </cell>
          <cell r="N633" t="str">
            <v>SPLIT FATTY ACID (RESIDUE)</v>
          </cell>
          <cell r="O633" t="str">
            <v>INR</v>
          </cell>
          <cell r="P633" t="str">
            <v/>
          </cell>
          <cell r="Q633" t="str">
            <v/>
          </cell>
          <cell r="R633" t="str">
            <v>010000441471</v>
          </cell>
          <cell r="S633" t="str">
            <v>A</v>
          </cell>
          <cell r="T633" t="str">
            <v>9084016573</v>
          </cell>
          <cell r="U633" t="str">
            <v>P014</v>
          </cell>
          <cell r="V633" t="str">
            <v>2010</v>
          </cell>
          <cell r="W633" t="str">
            <v/>
          </cell>
          <cell r="X633" t="str">
            <v>MT</v>
          </cell>
          <cell r="Y633" t="str">
            <v/>
          </cell>
          <cell r="Z633" t="str">
            <v>VVF</v>
          </cell>
          <cell r="AA633" t="str">
            <v>WE</v>
          </cell>
          <cell r="AB633">
            <v>40415</v>
          </cell>
          <cell r="AC633">
            <v>40416</v>
          </cell>
          <cell r="AD633">
            <v>40395</v>
          </cell>
          <cell r="AE633">
            <v>-597273.5</v>
          </cell>
          <cell r="AF633">
            <v>-16.11</v>
          </cell>
        </row>
        <row r="634">
          <cell r="A634" t="str">
            <v>5000526243</v>
          </cell>
          <cell r="B634" t="str">
            <v>5000522433</v>
          </cell>
          <cell r="C634" t="str">
            <v>450005559800010</v>
          </cell>
          <cell r="D634" t="str">
            <v>MIGO_GR</v>
          </cell>
          <cell r="E634" t="str">
            <v>311005724</v>
          </cell>
          <cell r="F634" t="str">
            <v>9200019321</v>
          </cell>
          <cell r="G634" t="str">
            <v>25545</v>
          </cell>
          <cell r="H634" t="str">
            <v>GR / IR Clearing -SemiFinished Goods- Auto</v>
          </cell>
          <cell r="I634" t="str">
            <v>4500055598</v>
          </cell>
          <cell r="J634" t="str">
            <v>16B2</v>
          </cell>
          <cell r="K634" t="str">
            <v>VVF-TALOJA</v>
          </cell>
          <cell r="L634" t="str">
            <v>VVF LIMITED - TALOJA</v>
          </cell>
          <cell r="M634" t="str">
            <v>500636</v>
          </cell>
          <cell r="N634" t="str">
            <v>SOAP NOODLES</v>
          </cell>
          <cell r="O634" t="str">
            <v>INR</v>
          </cell>
          <cell r="P634" t="str">
            <v/>
          </cell>
          <cell r="Q634" t="str">
            <v/>
          </cell>
          <cell r="R634" t="str">
            <v>010000441533</v>
          </cell>
          <cell r="S634" t="str">
            <v>A</v>
          </cell>
          <cell r="T634" t="str">
            <v>9084015897</v>
          </cell>
          <cell r="U634" t="str">
            <v>P016</v>
          </cell>
          <cell r="V634" t="str">
            <v>2010</v>
          </cell>
          <cell r="W634" t="str">
            <v/>
          </cell>
          <cell r="X634" t="str">
            <v>MT</v>
          </cell>
          <cell r="Y634" t="str">
            <v/>
          </cell>
          <cell r="Z634" t="str">
            <v>VVF</v>
          </cell>
          <cell r="AA634" t="str">
            <v>WE</v>
          </cell>
          <cell r="AB634">
            <v>40415</v>
          </cell>
          <cell r="AC634">
            <v>40416</v>
          </cell>
          <cell r="AD634">
            <v>40409</v>
          </cell>
          <cell r="AE634">
            <v>-616000</v>
          </cell>
          <cell r="AF634">
            <v>16.11</v>
          </cell>
        </row>
        <row r="635">
          <cell r="A635" t="str">
            <v>5000526245</v>
          </cell>
          <cell r="B635" t="str">
            <v>5000522433</v>
          </cell>
          <cell r="C635" t="str">
            <v>450005559800010</v>
          </cell>
          <cell r="D635" t="str">
            <v>MIGO_GR</v>
          </cell>
          <cell r="E635" t="str">
            <v>311005725</v>
          </cell>
          <cell r="F635" t="str">
            <v>9200019323</v>
          </cell>
          <cell r="G635" t="str">
            <v>25545</v>
          </cell>
          <cell r="H635" t="str">
            <v>GR / IR Clearing -SemiFinished Goods- Auto</v>
          </cell>
          <cell r="I635" t="str">
            <v>4500055598</v>
          </cell>
          <cell r="J635" t="str">
            <v>16B2</v>
          </cell>
          <cell r="K635" t="str">
            <v>VVF-TALOJA</v>
          </cell>
          <cell r="L635" t="str">
            <v>VVF LIMITED - TALOJA</v>
          </cell>
          <cell r="M635" t="str">
            <v>500636</v>
          </cell>
          <cell r="N635" t="str">
            <v>SOAP NOODLES</v>
          </cell>
          <cell r="O635" t="str">
            <v>INR</v>
          </cell>
          <cell r="P635" t="str">
            <v/>
          </cell>
          <cell r="Q635" t="str">
            <v/>
          </cell>
          <cell r="R635" t="str">
            <v>010000441537</v>
          </cell>
          <cell r="S635" t="str">
            <v>A</v>
          </cell>
          <cell r="T635" t="str">
            <v>9084015896</v>
          </cell>
          <cell r="U635" t="str">
            <v>P016</v>
          </cell>
          <cell r="V635" t="str">
            <v>2010</v>
          </cell>
          <cell r="W635" t="str">
            <v/>
          </cell>
          <cell r="X635" t="str">
            <v>MT</v>
          </cell>
          <cell r="Y635" t="str">
            <v/>
          </cell>
          <cell r="Z635" t="str">
            <v>VVF</v>
          </cell>
          <cell r="AA635" t="str">
            <v>WE</v>
          </cell>
          <cell r="AB635">
            <v>40415</v>
          </cell>
          <cell r="AC635">
            <v>40416</v>
          </cell>
          <cell r="AD635">
            <v>40409</v>
          </cell>
          <cell r="AE635">
            <v>-616000</v>
          </cell>
          <cell r="AF635">
            <v>-16.11</v>
          </cell>
        </row>
        <row r="636">
          <cell r="A636" t="str">
            <v>5000526253</v>
          </cell>
          <cell r="B636" t="str">
            <v>5000522433</v>
          </cell>
          <cell r="C636" t="str">
            <v>450005522800040</v>
          </cell>
          <cell r="D636" t="str">
            <v>MIGO_GR</v>
          </cell>
          <cell r="E636" t="str">
            <v>122-120-26.08.10</v>
          </cell>
          <cell r="F636" t="str">
            <v>9200019328</v>
          </cell>
          <cell r="G636" t="str">
            <v>25545</v>
          </cell>
          <cell r="H636" t="str">
            <v>GR / IR Clearing -SemiFinished Goods- Auto</v>
          </cell>
          <cell r="I636" t="str">
            <v>4500055228</v>
          </cell>
          <cell r="J636" t="str">
            <v>11B2</v>
          </cell>
          <cell r="K636" t="str">
            <v>100736</v>
          </cell>
          <cell r="L636" t="str">
            <v>VVF LTD.</v>
          </cell>
          <cell r="M636" t="str">
            <v>502285</v>
          </cell>
          <cell r="N636" t="str">
            <v>SPLIT FATTY ACID (RBD PALM STEARINE)</v>
          </cell>
          <cell r="O636" t="str">
            <v>INR</v>
          </cell>
          <cell r="P636" t="str">
            <v/>
          </cell>
          <cell r="Q636" t="str">
            <v/>
          </cell>
          <cell r="R636" t="str">
            <v>010000441537</v>
          </cell>
          <cell r="S636" t="str">
            <v>A</v>
          </cell>
          <cell r="T636" t="str">
            <v>9084015896</v>
          </cell>
          <cell r="U636" t="str">
            <v>P011</v>
          </cell>
          <cell r="V636" t="str">
            <v>2010</v>
          </cell>
          <cell r="W636" t="str">
            <v/>
          </cell>
          <cell r="X636" t="str">
            <v>MT</v>
          </cell>
          <cell r="Y636" t="str">
            <v/>
          </cell>
          <cell r="Z636" t="str">
            <v>VVF</v>
          </cell>
          <cell r="AA636" t="str">
            <v>WE</v>
          </cell>
          <cell r="AB636">
            <v>40416</v>
          </cell>
          <cell r="AC636">
            <v>40416</v>
          </cell>
          <cell r="AD636">
            <v>40396</v>
          </cell>
          <cell r="AE636">
            <v>-40305</v>
          </cell>
          <cell r="AF636">
            <v>16.11</v>
          </cell>
        </row>
        <row r="637">
          <cell r="A637" t="str">
            <v>5000526264</v>
          </cell>
          <cell r="B637" t="str">
            <v>5000522433</v>
          </cell>
          <cell r="C637" t="str">
            <v>450005522800040</v>
          </cell>
          <cell r="D637" t="str">
            <v>MIGO_GR</v>
          </cell>
          <cell r="E637" t="str">
            <v>121/123-26.08.10</v>
          </cell>
          <cell r="F637" t="str">
            <v>9200019338</v>
          </cell>
          <cell r="G637" t="str">
            <v>25545</v>
          </cell>
          <cell r="H637" t="str">
            <v>GR / IR Clearing -SemiFinished Goods- Auto</v>
          </cell>
          <cell r="I637" t="str">
            <v>4500055228</v>
          </cell>
          <cell r="J637" t="str">
            <v>11B2</v>
          </cell>
          <cell r="K637" t="str">
            <v>100736</v>
          </cell>
          <cell r="L637" t="str">
            <v>VVF LTD.</v>
          </cell>
          <cell r="M637" t="str">
            <v>502285</v>
          </cell>
          <cell r="N637" t="str">
            <v>SPLIT FATTY ACID (RBD PALM STEARINE)</v>
          </cell>
          <cell r="O637" t="str">
            <v>INR</v>
          </cell>
          <cell r="P637" t="str">
            <v/>
          </cell>
          <cell r="Q637" t="str">
            <v/>
          </cell>
          <cell r="R637" t="str">
            <v>010000441537</v>
          </cell>
          <cell r="S637" t="str">
            <v>A</v>
          </cell>
          <cell r="T637" t="str">
            <v>9084015896</v>
          </cell>
          <cell r="U637" t="str">
            <v>P011</v>
          </cell>
          <cell r="V637" t="str">
            <v>2010</v>
          </cell>
          <cell r="W637" t="str">
            <v/>
          </cell>
          <cell r="X637" t="str">
            <v>MT</v>
          </cell>
          <cell r="Y637" t="str">
            <v/>
          </cell>
          <cell r="Z637" t="str">
            <v>VVF</v>
          </cell>
          <cell r="AA637" t="str">
            <v>WE</v>
          </cell>
          <cell r="AB637">
            <v>40416</v>
          </cell>
          <cell r="AC637">
            <v>40416</v>
          </cell>
          <cell r="AD637">
            <v>40396</v>
          </cell>
          <cell r="AE637">
            <v>-35760</v>
          </cell>
          <cell r="AF637">
            <v>-16.11</v>
          </cell>
        </row>
        <row r="638">
          <cell r="A638" t="str">
            <v>5000526269</v>
          </cell>
          <cell r="B638" t="str">
            <v>5000522433</v>
          </cell>
          <cell r="C638" t="str">
            <v>450005522800050</v>
          </cell>
          <cell r="D638" t="str">
            <v>MIGO_GR</v>
          </cell>
          <cell r="E638" t="str">
            <v>121/119-26.08.10</v>
          </cell>
          <cell r="F638" t="str">
            <v>9200019341</v>
          </cell>
          <cell r="G638" t="str">
            <v>25545</v>
          </cell>
          <cell r="H638" t="str">
            <v>GR / IR Clearing -SemiFinished Goods- Auto</v>
          </cell>
          <cell r="I638" t="str">
            <v>4500055228</v>
          </cell>
          <cell r="J638" t="str">
            <v>11B1</v>
          </cell>
          <cell r="K638" t="str">
            <v>100736</v>
          </cell>
          <cell r="L638" t="str">
            <v>VVF LTD.</v>
          </cell>
          <cell r="M638" t="str">
            <v>500217</v>
          </cell>
          <cell r="N638" t="str">
            <v>CRUDE GLYCERINE</v>
          </cell>
          <cell r="O638" t="str">
            <v>INR</v>
          </cell>
          <cell r="P638" t="str">
            <v/>
          </cell>
          <cell r="Q638" t="str">
            <v/>
          </cell>
          <cell r="R638" t="str">
            <v>010000441569</v>
          </cell>
          <cell r="S638" t="str">
            <v>A</v>
          </cell>
          <cell r="T638" t="str">
            <v>9084015896</v>
          </cell>
          <cell r="U638" t="str">
            <v>P011</v>
          </cell>
          <cell r="V638" t="str">
            <v>2010</v>
          </cell>
          <cell r="W638" t="str">
            <v/>
          </cell>
          <cell r="X638" t="str">
            <v>MT</v>
          </cell>
          <cell r="Y638" t="str">
            <v/>
          </cell>
          <cell r="Z638" t="str">
            <v>VVF</v>
          </cell>
          <cell r="AA638" t="str">
            <v>WE</v>
          </cell>
          <cell r="AB638">
            <v>40416</v>
          </cell>
          <cell r="AC638">
            <v>40416</v>
          </cell>
          <cell r="AD638">
            <v>40396</v>
          </cell>
          <cell r="AE638">
            <v>-0.2</v>
          </cell>
          <cell r="AF638">
            <v>16.11</v>
          </cell>
        </row>
        <row r="639">
          <cell r="A639" t="str">
            <v>5000526295</v>
          </cell>
          <cell r="B639" t="str">
            <v>5000522433</v>
          </cell>
          <cell r="C639" t="str">
            <v>450005522800040</v>
          </cell>
          <cell r="D639" t="str">
            <v>MIGO_GR</v>
          </cell>
          <cell r="E639" t="str">
            <v>122/124-26.08.10</v>
          </cell>
          <cell r="F639" t="str">
            <v>9200019357</v>
          </cell>
          <cell r="G639" t="str">
            <v>25545</v>
          </cell>
          <cell r="H639" t="str">
            <v>GR / IR Clearing -SemiFinished Goods- Auto</v>
          </cell>
          <cell r="I639" t="str">
            <v>4500055228</v>
          </cell>
          <cell r="J639" t="str">
            <v>11B2</v>
          </cell>
          <cell r="K639" t="str">
            <v>100736</v>
          </cell>
          <cell r="L639" t="str">
            <v>VVF LTD.</v>
          </cell>
          <cell r="M639" t="str">
            <v>502285</v>
          </cell>
          <cell r="N639" t="str">
            <v>SPLIT FATTY ACID (RBD PALM STEARINE)</v>
          </cell>
          <cell r="O639" t="str">
            <v>INR</v>
          </cell>
          <cell r="P639" t="str">
            <v/>
          </cell>
          <cell r="Q639" t="str">
            <v/>
          </cell>
          <cell r="R639" t="str">
            <v>010000441569</v>
          </cell>
          <cell r="S639" t="str">
            <v>A</v>
          </cell>
          <cell r="T639" t="str">
            <v>9084015896</v>
          </cell>
          <cell r="U639" t="str">
            <v>P011</v>
          </cell>
          <cell r="V639" t="str">
            <v>2010</v>
          </cell>
          <cell r="W639" t="str">
            <v/>
          </cell>
          <cell r="X639" t="str">
            <v>MT</v>
          </cell>
          <cell r="Y639" t="str">
            <v/>
          </cell>
          <cell r="Z639" t="str">
            <v>VVF</v>
          </cell>
          <cell r="AA639" t="str">
            <v>WE</v>
          </cell>
          <cell r="AB639">
            <v>40416</v>
          </cell>
          <cell r="AC639">
            <v>40416</v>
          </cell>
          <cell r="AD639">
            <v>40396</v>
          </cell>
          <cell r="AE639">
            <v>-40890</v>
          </cell>
          <cell r="AF639">
            <v>-16.11</v>
          </cell>
        </row>
        <row r="640">
          <cell r="A640" t="str">
            <v>5000526297</v>
          </cell>
          <cell r="B640" t="str">
            <v>5000522433</v>
          </cell>
          <cell r="C640" t="str">
            <v>450005522800040</v>
          </cell>
          <cell r="D640" t="str">
            <v>MIGO_GR</v>
          </cell>
          <cell r="E640" t="str">
            <v>123/125-26.08.10</v>
          </cell>
          <cell r="F640" t="str">
            <v>9200019358</v>
          </cell>
          <cell r="G640" t="str">
            <v>25545</v>
          </cell>
          <cell r="H640" t="str">
            <v>GR / IR Clearing -SemiFinished Goods- Auto</v>
          </cell>
          <cell r="I640" t="str">
            <v>4500055228</v>
          </cell>
          <cell r="J640" t="str">
            <v>11B2</v>
          </cell>
          <cell r="K640" t="str">
            <v>100736</v>
          </cell>
          <cell r="L640" t="str">
            <v>VVF LTD.</v>
          </cell>
          <cell r="M640" t="str">
            <v>502285</v>
          </cell>
          <cell r="N640" t="str">
            <v>SPLIT FATTY ACID (RBD PALM STEARINE)</v>
          </cell>
          <cell r="O640" t="str">
            <v>INR</v>
          </cell>
          <cell r="P640" t="str">
            <v/>
          </cell>
          <cell r="Q640" t="str">
            <v/>
          </cell>
          <cell r="R640" t="str">
            <v>010000441569</v>
          </cell>
          <cell r="S640" t="str">
            <v>A</v>
          </cell>
          <cell r="T640" t="str">
            <v>9084015896</v>
          </cell>
          <cell r="U640" t="str">
            <v>P011</v>
          </cell>
          <cell r="V640" t="str">
            <v>2010</v>
          </cell>
          <cell r="W640" t="str">
            <v/>
          </cell>
          <cell r="X640" t="str">
            <v>MT</v>
          </cell>
          <cell r="Y640" t="str">
            <v/>
          </cell>
          <cell r="Z640" t="str">
            <v>VVF</v>
          </cell>
          <cell r="AA640" t="str">
            <v>WE</v>
          </cell>
          <cell r="AB640">
            <v>40416</v>
          </cell>
          <cell r="AC640">
            <v>40416</v>
          </cell>
          <cell r="AD640">
            <v>40396</v>
          </cell>
          <cell r="AE640">
            <v>-41175</v>
          </cell>
          <cell r="AF640">
            <v>16.11</v>
          </cell>
        </row>
        <row r="641">
          <cell r="A641" t="str">
            <v>5000526285</v>
          </cell>
          <cell r="B641" t="str">
            <v>5000522433</v>
          </cell>
          <cell r="C641" t="str">
            <v>450005562500010</v>
          </cell>
          <cell r="D641" t="str">
            <v>MIGO_GR</v>
          </cell>
          <cell r="E641" t="str">
            <v>8102901/21.08.10</v>
          </cell>
          <cell r="F641" t="str">
            <v>9200019360</v>
          </cell>
          <cell r="G641" t="str">
            <v>25545</v>
          </cell>
          <cell r="H641" t="str">
            <v>GR / IR Clearing -SemiFinished Goods- Auto</v>
          </cell>
          <cell r="I641" t="str">
            <v>4500055625</v>
          </cell>
          <cell r="J641" t="str">
            <v>14B2</v>
          </cell>
          <cell r="K641" t="str">
            <v>100736</v>
          </cell>
          <cell r="L641" t="str">
            <v>VVF LTD.</v>
          </cell>
          <cell r="M641" t="str">
            <v>502076</v>
          </cell>
          <cell r="N641" t="str">
            <v>SPLIT FATTY ACID (RESIDUE)</v>
          </cell>
          <cell r="O641" t="str">
            <v>INR</v>
          </cell>
          <cell r="P641" t="str">
            <v/>
          </cell>
          <cell r="Q641" t="str">
            <v/>
          </cell>
          <cell r="R641" t="str">
            <v>010000441606</v>
          </cell>
          <cell r="S641" t="str">
            <v>A</v>
          </cell>
          <cell r="T641" t="str">
            <v>9084015896</v>
          </cell>
          <cell r="U641" t="str">
            <v>P014</v>
          </cell>
          <cell r="V641" t="str">
            <v>2010</v>
          </cell>
          <cell r="W641" t="str">
            <v/>
          </cell>
          <cell r="X641" t="str">
            <v>MT</v>
          </cell>
          <cell r="Y641" t="str">
            <v/>
          </cell>
          <cell r="Z641" t="str">
            <v>VVF</v>
          </cell>
          <cell r="AA641" t="str">
            <v>WE</v>
          </cell>
          <cell r="AB641">
            <v>40415</v>
          </cell>
          <cell r="AC641">
            <v>40416</v>
          </cell>
          <cell r="AD641">
            <v>40410</v>
          </cell>
          <cell r="AE641">
            <v>-666440.63</v>
          </cell>
          <cell r="AF641">
            <v>-16.11</v>
          </cell>
        </row>
        <row r="642">
          <cell r="A642" t="str">
            <v>5000526361</v>
          </cell>
          <cell r="B642" t="str">
            <v>5000522433</v>
          </cell>
          <cell r="C642" t="str">
            <v>450005522800040</v>
          </cell>
          <cell r="D642" t="str">
            <v>MIGO_GR</v>
          </cell>
          <cell r="E642" t="str">
            <v>124/126-26.08.10</v>
          </cell>
          <cell r="F642" t="str">
            <v>9200019367</v>
          </cell>
          <cell r="G642" t="str">
            <v>25545</v>
          </cell>
          <cell r="H642" t="str">
            <v>GR / IR Clearing -SemiFinished Goods- Auto</v>
          </cell>
          <cell r="I642" t="str">
            <v>4500055228</v>
          </cell>
          <cell r="J642" t="str">
            <v>11B2</v>
          </cell>
          <cell r="K642" t="str">
            <v>100736</v>
          </cell>
          <cell r="L642" t="str">
            <v>VVF LTD.</v>
          </cell>
          <cell r="M642" t="str">
            <v>502285</v>
          </cell>
          <cell r="N642" t="str">
            <v>SPLIT FATTY ACID (RBD PALM STEARINE)</v>
          </cell>
          <cell r="O642" t="str">
            <v>INR</v>
          </cell>
          <cell r="P642" t="str">
            <v/>
          </cell>
          <cell r="Q642" t="str">
            <v/>
          </cell>
          <cell r="R642" t="str">
            <v>010000441606</v>
          </cell>
          <cell r="S642" t="str">
            <v>A</v>
          </cell>
          <cell r="T642" t="str">
            <v>9084015896</v>
          </cell>
          <cell r="U642" t="str">
            <v>P011</v>
          </cell>
          <cell r="V642" t="str">
            <v>2010</v>
          </cell>
          <cell r="W642" t="str">
            <v/>
          </cell>
          <cell r="X642" t="str">
            <v>MT</v>
          </cell>
          <cell r="Y642" t="str">
            <v/>
          </cell>
          <cell r="Z642" t="str">
            <v>VVF</v>
          </cell>
          <cell r="AA642" t="str">
            <v>WE</v>
          </cell>
          <cell r="AB642">
            <v>40416</v>
          </cell>
          <cell r="AC642">
            <v>40416</v>
          </cell>
          <cell r="AD642">
            <v>40396</v>
          </cell>
          <cell r="AE642">
            <v>-26460</v>
          </cell>
          <cell r="AF642">
            <v>16.11</v>
          </cell>
        </row>
        <row r="643">
          <cell r="A643" t="str">
            <v>5000526364</v>
          </cell>
          <cell r="B643" t="str">
            <v>5000522433</v>
          </cell>
          <cell r="C643" t="str">
            <v>450005399300010</v>
          </cell>
          <cell r="D643" t="str">
            <v>MIGO_GR</v>
          </cell>
          <cell r="E643" t="str">
            <v>1411002446/20.08</v>
          </cell>
          <cell r="F643" t="str">
            <v>9200019369</v>
          </cell>
          <cell r="G643" t="str">
            <v>25545</v>
          </cell>
          <cell r="H643" t="str">
            <v>GR / IR Clearing -SemiFinished Goods- Auto</v>
          </cell>
          <cell r="I643" t="str">
            <v>4500053993</v>
          </cell>
          <cell r="J643" t="str">
            <v>04B1</v>
          </cell>
          <cell r="K643" t="str">
            <v>302787</v>
          </cell>
          <cell r="L643" t="str">
            <v>VVF LIMITED BADDI</v>
          </cell>
          <cell r="M643" t="str">
            <v>502037</v>
          </cell>
          <cell r="N643" t="str">
            <v>RESIDUE</v>
          </cell>
          <cell r="O643" t="str">
            <v>INR</v>
          </cell>
          <cell r="P643" t="str">
            <v/>
          </cell>
          <cell r="Q643" t="str">
            <v/>
          </cell>
          <cell r="R643" t="str">
            <v>010000441606</v>
          </cell>
          <cell r="S643" t="str">
            <v>A</v>
          </cell>
          <cell r="T643" t="str">
            <v>9084015896</v>
          </cell>
          <cell r="U643" t="str">
            <v>P004</v>
          </cell>
          <cell r="V643" t="str">
            <v>2010</v>
          </cell>
          <cell r="W643" t="str">
            <v/>
          </cell>
          <cell r="X643" t="str">
            <v>MT</v>
          </cell>
          <cell r="Y643" t="str">
            <v/>
          </cell>
          <cell r="Z643" t="str">
            <v>VVF</v>
          </cell>
          <cell r="AA643" t="str">
            <v>WE</v>
          </cell>
          <cell r="AB643">
            <v>40415</v>
          </cell>
          <cell r="AC643">
            <v>40415</v>
          </cell>
          <cell r="AD643">
            <v>40362</v>
          </cell>
          <cell r="AE643">
            <v>-301750</v>
          </cell>
          <cell r="AF643">
            <v>-16.11</v>
          </cell>
        </row>
        <row r="644">
          <cell r="A644" t="str">
            <v>5000526378</v>
          </cell>
          <cell r="B644" t="str">
            <v>5000522433</v>
          </cell>
          <cell r="C644" t="str">
            <v>450005562500010</v>
          </cell>
          <cell r="D644" t="str">
            <v>MIGO_GR</v>
          </cell>
          <cell r="E644" t="str">
            <v>8102955/23.08.10</v>
          </cell>
          <cell r="F644" t="str">
            <v>9200019379</v>
          </cell>
          <cell r="G644" t="str">
            <v>25545</v>
          </cell>
          <cell r="H644" t="str">
            <v>GR / IR Clearing -SemiFinished Goods- Auto</v>
          </cell>
          <cell r="I644" t="str">
            <v>4500055625</v>
          </cell>
          <cell r="J644" t="str">
            <v>14B2</v>
          </cell>
          <cell r="K644" t="str">
            <v>100736</v>
          </cell>
          <cell r="L644" t="str">
            <v>VVF LTD.</v>
          </cell>
          <cell r="M644" t="str">
            <v>502076</v>
          </cell>
          <cell r="N644" t="str">
            <v>SPLIT FATTY ACID (RESIDUE)</v>
          </cell>
          <cell r="O644" t="str">
            <v>INR</v>
          </cell>
          <cell r="P644" t="str">
            <v/>
          </cell>
          <cell r="Q644" t="str">
            <v/>
          </cell>
          <cell r="R644" t="str">
            <v>010000441653</v>
          </cell>
          <cell r="S644" t="str">
            <v>A</v>
          </cell>
          <cell r="T644" t="str">
            <v>9084015896</v>
          </cell>
          <cell r="U644" t="str">
            <v>P014</v>
          </cell>
          <cell r="V644" t="str">
            <v>2010</v>
          </cell>
          <cell r="W644" t="str">
            <v/>
          </cell>
          <cell r="X644" t="str">
            <v>MT</v>
          </cell>
          <cell r="Y644" t="str">
            <v/>
          </cell>
          <cell r="Z644" t="str">
            <v>VVF</v>
          </cell>
          <cell r="AA644" t="str">
            <v>WE</v>
          </cell>
          <cell r="AB644">
            <v>40416</v>
          </cell>
          <cell r="AC644">
            <v>40417</v>
          </cell>
          <cell r="AD644">
            <v>40410</v>
          </cell>
          <cell r="AE644">
            <v>-676361.6</v>
          </cell>
          <cell r="AF644">
            <v>16.11</v>
          </cell>
        </row>
        <row r="645">
          <cell r="A645" t="str">
            <v>5000526468</v>
          </cell>
          <cell r="B645" t="str">
            <v>5000522433</v>
          </cell>
          <cell r="C645" t="str">
            <v>450005562500010</v>
          </cell>
          <cell r="D645" t="str">
            <v>MIGO_GR</v>
          </cell>
          <cell r="E645" t="str">
            <v>8102906/21.08.10</v>
          </cell>
          <cell r="F645" t="str">
            <v>9200019424</v>
          </cell>
          <cell r="G645" t="str">
            <v>25545</v>
          </cell>
          <cell r="H645" t="str">
            <v>GR / IR Clearing -SemiFinished Goods- Auto</v>
          </cell>
          <cell r="I645" t="str">
            <v>4500055625</v>
          </cell>
          <cell r="J645" t="str">
            <v>14B2</v>
          </cell>
          <cell r="K645" t="str">
            <v>100736</v>
          </cell>
          <cell r="L645" t="str">
            <v>VVF LTD.</v>
          </cell>
          <cell r="M645" t="str">
            <v>502076</v>
          </cell>
          <cell r="N645" t="str">
            <v>SPLIT FATTY ACID (RESIDUE)</v>
          </cell>
          <cell r="O645" t="str">
            <v>INR</v>
          </cell>
          <cell r="P645" t="str">
            <v/>
          </cell>
          <cell r="Q645" t="str">
            <v/>
          </cell>
          <cell r="R645" t="str">
            <v>010000441853</v>
          </cell>
          <cell r="S645" t="str">
            <v>A</v>
          </cell>
          <cell r="T645" t="str">
            <v>9084015896</v>
          </cell>
          <cell r="U645" t="str">
            <v>P014</v>
          </cell>
          <cell r="V645" t="str">
            <v>2010</v>
          </cell>
          <cell r="W645" t="str">
            <v/>
          </cell>
          <cell r="X645" t="str">
            <v>MT</v>
          </cell>
          <cell r="Y645" t="str">
            <v/>
          </cell>
          <cell r="Z645" t="str">
            <v>VVF</v>
          </cell>
          <cell r="AA645" t="str">
            <v>WE</v>
          </cell>
          <cell r="AB645">
            <v>40416</v>
          </cell>
          <cell r="AC645">
            <v>40417</v>
          </cell>
          <cell r="AD645">
            <v>40410</v>
          </cell>
          <cell r="AE645">
            <v>-682881.33</v>
          </cell>
          <cell r="AF645">
            <v>-16.11</v>
          </cell>
        </row>
        <row r="646">
          <cell r="A646" t="str">
            <v>5000526488</v>
          </cell>
          <cell r="B646" t="str">
            <v>5000522433</v>
          </cell>
          <cell r="C646" t="str">
            <v>450005522800040</v>
          </cell>
          <cell r="D646" t="str">
            <v>MIGO_GR</v>
          </cell>
          <cell r="E646" t="str">
            <v>128/126-27.08.10</v>
          </cell>
          <cell r="F646" t="str">
            <v>9200019430</v>
          </cell>
          <cell r="G646" t="str">
            <v>25545</v>
          </cell>
          <cell r="H646" t="str">
            <v>GR / IR Clearing -SemiFinished Goods- Auto</v>
          </cell>
          <cell r="I646" t="str">
            <v>4500055228</v>
          </cell>
          <cell r="J646" t="str">
            <v>11B2</v>
          </cell>
          <cell r="K646" t="str">
            <v>100736</v>
          </cell>
          <cell r="L646" t="str">
            <v>VVF LTD.</v>
          </cell>
          <cell r="M646" t="str">
            <v>502285</v>
          </cell>
          <cell r="N646" t="str">
            <v>SPLIT FATTY ACID (RBD PALM STEARINE)</v>
          </cell>
          <cell r="O646" t="str">
            <v>INR</v>
          </cell>
          <cell r="P646" t="str">
            <v/>
          </cell>
          <cell r="Q646" t="str">
            <v/>
          </cell>
          <cell r="R646" t="str">
            <v>010000441853</v>
          </cell>
          <cell r="S646" t="str">
            <v>A</v>
          </cell>
          <cell r="T646" t="str">
            <v>9084015896</v>
          </cell>
          <cell r="U646" t="str">
            <v>P011</v>
          </cell>
          <cell r="V646" t="str">
            <v>2010</v>
          </cell>
          <cell r="W646" t="str">
            <v/>
          </cell>
          <cell r="X646" t="str">
            <v>MT</v>
          </cell>
          <cell r="Y646" t="str">
            <v/>
          </cell>
          <cell r="Z646" t="str">
            <v>VVF</v>
          </cell>
          <cell r="AA646" t="str">
            <v>WE</v>
          </cell>
          <cell r="AB646">
            <v>40417</v>
          </cell>
          <cell r="AC646">
            <v>40417</v>
          </cell>
          <cell r="AD646">
            <v>40396</v>
          </cell>
          <cell r="AE646">
            <v>-31785</v>
          </cell>
          <cell r="AF646">
            <v>16.11</v>
          </cell>
        </row>
        <row r="647">
          <cell r="A647" t="str">
            <v>5000526525</v>
          </cell>
          <cell r="B647" t="str">
            <v>5000522433</v>
          </cell>
          <cell r="C647" t="str">
            <v>450005522800040</v>
          </cell>
          <cell r="D647" t="str">
            <v>MIGO_GR</v>
          </cell>
          <cell r="E647" t="str">
            <v>125/127-27.08.10</v>
          </cell>
          <cell r="F647" t="str">
            <v>9200019458</v>
          </cell>
          <cell r="G647" t="str">
            <v>25545</v>
          </cell>
          <cell r="H647" t="str">
            <v>GR / IR Clearing -SemiFinished Goods- Auto</v>
          </cell>
          <cell r="I647" t="str">
            <v>4500055228</v>
          </cell>
          <cell r="J647" t="str">
            <v>11B2</v>
          </cell>
          <cell r="K647" t="str">
            <v>100736</v>
          </cell>
          <cell r="L647" t="str">
            <v>VVF LTD.</v>
          </cell>
          <cell r="M647" t="str">
            <v>502285</v>
          </cell>
          <cell r="N647" t="str">
            <v>SPLIT FATTY ACID (RBD PALM STEARINE)</v>
          </cell>
          <cell r="O647" t="str">
            <v>INR</v>
          </cell>
          <cell r="P647" t="str">
            <v/>
          </cell>
          <cell r="Q647" t="str">
            <v/>
          </cell>
          <cell r="R647" t="str">
            <v>010000441853</v>
          </cell>
          <cell r="S647" t="str">
            <v>A</v>
          </cell>
          <cell r="T647" t="str">
            <v>9084015896</v>
          </cell>
          <cell r="U647" t="str">
            <v>P011</v>
          </cell>
          <cell r="V647" t="str">
            <v>2010</v>
          </cell>
          <cell r="W647" t="str">
            <v/>
          </cell>
          <cell r="X647" t="str">
            <v>MT</v>
          </cell>
          <cell r="Y647" t="str">
            <v/>
          </cell>
          <cell r="Z647" t="str">
            <v>VVF</v>
          </cell>
          <cell r="AA647" t="str">
            <v>WE</v>
          </cell>
          <cell r="AB647">
            <v>40417</v>
          </cell>
          <cell r="AC647">
            <v>40417</v>
          </cell>
          <cell r="AD647">
            <v>40396</v>
          </cell>
          <cell r="AE647">
            <v>-27495</v>
          </cell>
          <cell r="AF647">
            <v>-16.11</v>
          </cell>
        </row>
        <row r="648">
          <cell r="A648" t="str">
            <v>5000526527</v>
          </cell>
          <cell r="B648" t="str">
            <v>5000522433</v>
          </cell>
          <cell r="C648" t="str">
            <v>450005522800040</v>
          </cell>
          <cell r="D648" t="str">
            <v>MIGO_GR</v>
          </cell>
          <cell r="E648" t="str">
            <v>127/129-27.08.10</v>
          </cell>
          <cell r="F648" t="str">
            <v>9200019459</v>
          </cell>
          <cell r="G648" t="str">
            <v>25545</v>
          </cell>
          <cell r="H648" t="str">
            <v>GR / IR Clearing -SemiFinished Goods- Auto</v>
          </cell>
          <cell r="I648" t="str">
            <v>4500055228</v>
          </cell>
          <cell r="J648" t="str">
            <v>11B2</v>
          </cell>
          <cell r="K648" t="str">
            <v>100736</v>
          </cell>
          <cell r="L648" t="str">
            <v>VVF LTD.</v>
          </cell>
          <cell r="M648" t="str">
            <v>502285</v>
          </cell>
          <cell r="N648" t="str">
            <v>SPLIT FATTY ACID (RBD PALM STEARINE)</v>
          </cell>
          <cell r="O648" t="str">
            <v>INR</v>
          </cell>
          <cell r="P648" t="str">
            <v/>
          </cell>
          <cell r="Q648" t="str">
            <v/>
          </cell>
          <cell r="R648" t="str">
            <v>010000441853</v>
          </cell>
          <cell r="S648" t="str">
            <v>A</v>
          </cell>
          <cell r="T648" t="str">
            <v>9084015896</v>
          </cell>
          <cell r="U648" t="str">
            <v>P011</v>
          </cell>
          <cell r="V648" t="str">
            <v>2010</v>
          </cell>
          <cell r="W648" t="str">
            <v/>
          </cell>
          <cell r="X648" t="str">
            <v>MT</v>
          </cell>
          <cell r="Y648" t="str">
            <v/>
          </cell>
          <cell r="Z648" t="str">
            <v>VVF</v>
          </cell>
          <cell r="AA648" t="str">
            <v>WE</v>
          </cell>
          <cell r="AB648">
            <v>40417</v>
          </cell>
          <cell r="AC648">
            <v>40417</v>
          </cell>
          <cell r="AD648">
            <v>40396</v>
          </cell>
          <cell r="AE648">
            <v>-41025</v>
          </cell>
          <cell r="AF648">
            <v>16.11</v>
          </cell>
        </row>
        <row r="649">
          <cell r="A649" t="str">
            <v>5000526534</v>
          </cell>
          <cell r="B649" t="str">
            <v>5000522433</v>
          </cell>
          <cell r="C649" t="str">
            <v>450005514200010</v>
          </cell>
          <cell r="D649" t="str">
            <v>MIGO_GR</v>
          </cell>
          <cell r="E649" t="str">
            <v>8103003/25.08.10</v>
          </cell>
          <cell r="F649" t="str">
            <v>9200019463</v>
          </cell>
          <cell r="G649" t="str">
            <v>25545</v>
          </cell>
          <cell r="H649" t="str">
            <v>GR / IR Clearing -SemiFinished Goods- Auto</v>
          </cell>
          <cell r="I649" t="str">
            <v>4500055142</v>
          </cell>
          <cell r="J649" t="str">
            <v>03B1</v>
          </cell>
          <cell r="K649" t="str">
            <v>100736</v>
          </cell>
          <cell r="L649" t="str">
            <v>VVF LTD.</v>
          </cell>
          <cell r="M649" t="str">
            <v>501277</v>
          </cell>
          <cell r="N649" t="str">
            <v>Split Fatty Acid C8-C18</v>
          </cell>
          <cell r="O649" t="str">
            <v>INR</v>
          </cell>
          <cell r="P649" t="str">
            <v/>
          </cell>
          <cell r="Q649" t="str">
            <v/>
          </cell>
          <cell r="R649" t="str">
            <v>010000441853</v>
          </cell>
          <cell r="S649" t="str">
            <v>A</v>
          </cell>
          <cell r="T649" t="str">
            <v>9084016145</v>
          </cell>
          <cell r="U649" t="str">
            <v>P003</v>
          </cell>
          <cell r="V649" t="str">
            <v>2010</v>
          </cell>
          <cell r="W649" t="str">
            <v/>
          </cell>
          <cell r="X649" t="str">
            <v>MT</v>
          </cell>
          <cell r="Y649" t="str">
            <v/>
          </cell>
          <cell r="Z649" t="str">
            <v>VVF</v>
          </cell>
          <cell r="AA649" t="str">
            <v>WE</v>
          </cell>
          <cell r="AB649">
            <v>40417</v>
          </cell>
          <cell r="AC649">
            <v>40417</v>
          </cell>
          <cell r="AD649">
            <v>40395</v>
          </cell>
          <cell r="AE649">
            <v>-945000</v>
          </cell>
          <cell r="AF649">
            <v>-16.11</v>
          </cell>
        </row>
        <row r="650">
          <cell r="A650" t="str">
            <v>5000526542</v>
          </cell>
          <cell r="B650" t="str">
            <v>5000522433</v>
          </cell>
          <cell r="C650" t="str">
            <v>450005396900070</v>
          </cell>
          <cell r="D650" t="str">
            <v>MIGO_GR</v>
          </cell>
          <cell r="E650" t="str">
            <v>3104202/19.08.10</v>
          </cell>
          <cell r="F650" t="str">
            <v>9200019464</v>
          </cell>
          <cell r="G650" t="str">
            <v>25545</v>
          </cell>
          <cell r="H650" t="str">
            <v>GR / IR Clearing -SemiFinished Goods- Auto</v>
          </cell>
          <cell r="I650" t="str">
            <v>4500053969</v>
          </cell>
          <cell r="J650" t="str">
            <v>14B2</v>
          </cell>
          <cell r="K650" t="str">
            <v>VVF-TALOJA</v>
          </cell>
          <cell r="L650" t="str">
            <v>VVF LIMITED - TALOJA</v>
          </cell>
          <cell r="M650" t="str">
            <v>500639</v>
          </cell>
          <cell r="N650" t="str">
            <v>SOAP NOODLES</v>
          </cell>
          <cell r="O650" t="str">
            <v>INR</v>
          </cell>
          <cell r="P650" t="str">
            <v/>
          </cell>
          <cell r="Q650" t="str">
            <v/>
          </cell>
          <cell r="R650" t="str">
            <v>010000441897</v>
          </cell>
          <cell r="S650" t="str">
            <v>A</v>
          </cell>
          <cell r="T650" t="str">
            <v>9084016145</v>
          </cell>
          <cell r="U650" t="str">
            <v>P014</v>
          </cell>
          <cell r="V650" t="str">
            <v>2010</v>
          </cell>
          <cell r="W650" t="str">
            <v/>
          </cell>
          <cell r="X650" t="str">
            <v>MT</v>
          </cell>
          <cell r="Y650" t="str">
            <v/>
          </cell>
          <cell r="Z650" t="str">
            <v>VVF</v>
          </cell>
          <cell r="AA650" t="str">
            <v>WE</v>
          </cell>
          <cell r="AB650">
            <v>40417</v>
          </cell>
          <cell r="AC650">
            <v>40417</v>
          </cell>
          <cell r="AD650">
            <v>40361</v>
          </cell>
          <cell r="AE650">
            <v>-696434.2</v>
          </cell>
          <cell r="AF650">
            <v>16.11</v>
          </cell>
        </row>
        <row r="651">
          <cell r="A651" t="str">
            <v>5000526535</v>
          </cell>
          <cell r="B651" t="str">
            <v>5000522433</v>
          </cell>
          <cell r="C651" t="str">
            <v>450005514200010</v>
          </cell>
          <cell r="D651" t="str">
            <v>MIGO_GR</v>
          </cell>
          <cell r="E651" t="str">
            <v>8102986/25.08.10</v>
          </cell>
          <cell r="F651" t="str">
            <v>9200019465</v>
          </cell>
          <cell r="G651" t="str">
            <v>25545</v>
          </cell>
          <cell r="H651" t="str">
            <v>GR / IR Clearing -SemiFinished Goods- Auto</v>
          </cell>
          <cell r="I651" t="str">
            <v>4500055142</v>
          </cell>
          <cell r="J651" t="str">
            <v>03B1</v>
          </cell>
          <cell r="K651" t="str">
            <v>100736</v>
          </cell>
          <cell r="L651" t="str">
            <v>VVF LTD.</v>
          </cell>
          <cell r="M651" t="str">
            <v>501277</v>
          </cell>
          <cell r="N651" t="str">
            <v>Split Fatty Acid C8-C18</v>
          </cell>
          <cell r="O651" t="str">
            <v>INR</v>
          </cell>
          <cell r="P651" t="str">
            <v/>
          </cell>
          <cell r="Q651" t="str">
            <v/>
          </cell>
          <cell r="R651" t="str">
            <v>010000441897</v>
          </cell>
          <cell r="S651" t="str">
            <v>A</v>
          </cell>
          <cell r="T651" t="str">
            <v>9084016145</v>
          </cell>
          <cell r="U651" t="str">
            <v>P003</v>
          </cell>
          <cell r="V651" t="str">
            <v>2010</v>
          </cell>
          <cell r="W651" t="str">
            <v/>
          </cell>
          <cell r="X651" t="str">
            <v>MT</v>
          </cell>
          <cell r="Y651" t="str">
            <v/>
          </cell>
          <cell r="Z651" t="str">
            <v>VVF</v>
          </cell>
          <cell r="AA651" t="str">
            <v>WE</v>
          </cell>
          <cell r="AB651">
            <v>40417</v>
          </cell>
          <cell r="AC651">
            <v>40417</v>
          </cell>
          <cell r="AD651">
            <v>40395</v>
          </cell>
          <cell r="AE651">
            <v>-1446000</v>
          </cell>
          <cell r="AF651">
            <v>-16.11</v>
          </cell>
        </row>
        <row r="652">
          <cell r="A652" t="str">
            <v>5000526536</v>
          </cell>
          <cell r="B652" t="str">
            <v>5000522433</v>
          </cell>
          <cell r="C652" t="str">
            <v>450003604201106</v>
          </cell>
          <cell r="D652" t="str">
            <v>MIGO_GR</v>
          </cell>
          <cell r="E652" t="str">
            <v>8900255060/26.8</v>
          </cell>
          <cell r="F652" t="str">
            <v>9200019466</v>
          </cell>
          <cell r="G652" t="str">
            <v>25545</v>
          </cell>
          <cell r="H652" t="str">
            <v>GR / IR Clearing -SemiFinished Goods- Auto</v>
          </cell>
          <cell r="I652" t="str">
            <v>4500036042</v>
          </cell>
          <cell r="J652" t="str">
            <v>03B1</v>
          </cell>
          <cell r="K652" t="str">
            <v>101277</v>
          </cell>
          <cell r="L652" t="str">
            <v>VVF Limited-Sion</v>
          </cell>
          <cell r="M652" t="str">
            <v>501713</v>
          </cell>
          <cell r="N652" t="str">
            <v>T-DISTILLED FATTY ACID - C16C18</v>
          </cell>
          <cell r="O652" t="str">
            <v>INR</v>
          </cell>
          <cell r="P652" t="str">
            <v/>
          </cell>
          <cell r="Q652" t="str">
            <v/>
          </cell>
          <cell r="R652" t="str">
            <v>010000441897</v>
          </cell>
          <cell r="S652" t="str">
            <v>A</v>
          </cell>
          <cell r="T652" t="str">
            <v>9084016145</v>
          </cell>
          <cell r="U652" t="str">
            <v>P003</v>
          </cell>
          <cell r="V652" t="str">
            <v>2010</v>
          </cell>
          <cell r="W652" t="str">
            <v/>
          </cell>
          <cell r="X652" t="str">
            <v>MT</v>
          </cell>
          <cell r="Y652" t="str">
            <v/>
          </cell>
          <cell r="Z652" t="str">
            <v>VVF</v>
          </cell>
          <cell r="AA652" t="str">
            <v>WE</v>
          </cell>
          <cell r="AB652">
            <v>40417</v>
          </cell>
          <cell r="AC652">
            <v>40417</v>
          </cell>
          <cell r="AD652">
            <v>39792</v>
          </cell>
          <cell r="AE652">
            <v>-2.21</v>
          </cell>
          <cell r="AF652">
            <v>16.11</v>
          </cell>
        </row>
        <row r="653">
          <cell r="A653" t="str">
            <v>5000526537</v>
          </cell>
          <cell r="B653" t="str">
            <v>5000522433</v>
          </cell>
          <cell r="C653" t="str">
            <v>450005514200010</v>
          </cell>
          <cell r="D653" t="str">
            <v>MIGO_GR</v>
          </cell>
          <cell r="E653" t="str">
            <v>8102976/25.08.10</v>
          </cell>
          <cell r="F653" t="str">
            <v>9200019467</v>
          </cell>
          <cell r="G653" t="str">
            <v>25545</v>
          </cell>
          <cell r="H653" t="str">
            <v>GR / IR Clearing -SemiFinished Goods- Auto</v>
          </cell>
          <cell r="I653" t="str">
            <v>4500055142</v>
          </cell>
          <cell r="J653" t="str">
            <v>03B1</v>
          </cell>
          <cell r="K653" t="str">
            <v>100736</v>
          </cell>
          <cell r="L653" t="str">
            <v>VVF LTD.</v>
          </cell>
          <cell r="M653" t="str">
            <v>501277</v>
          </cell>
          <cell r="N653" t="str">
            <v>Split Fatty Acid C8-C18</v>
          </cell>
          <cell r="O653" t="str">
            <v>INR</v>
          </cell>
          <cell r="P653" t="str">
            <v/>
          </cell>
          <cell r="Q653" t="str">
            <v/>
          </cell>
          <cell r="R653" t="str">
            <v>010000441897</v>
          </cell>
          <cell r="S653" t="str">
            <v>A</v>
          </cell>
          <cell r="T653" t="str">
            <v>9084016145</v>
          </cell>
          <cell r="U653" t="str">
            <v>P003</v>
          </cell>
          <cell r="V653" t="str">
            <v>2010</v>
          </cell>
          <cell r="W653" t="str">
            <v/>
          </cell>
          <cell r="X653" t="str">
            <v>MT</v>
          </cell>
          <cell r="Y653" t="str">
            <v/>
          </cell>
          <cell r="Z653" t="str">
            <v>VVF</v>
          </cell>
          <cell r="AA653" t="str">
            <v>WE</v>
          </cell>
          <cell r="AB653">
            <v>40417</v>
          </cell>
          <cell r="AC653">
            <v>40417</v>
          </cell>
          <cell r="AD653">
            <v>40395</v>
          </cell>
          <cell r="AE653">
            <v>-1270200</v>
          </cell>
          <cell r="AF653">
            <v>-16.11</v>
          </cell>
        </row>
        <row r="654">
          <cell r="A654" t="str">
            <v>5000526538</v>
          </cell>
          <cell r="B654" t="str">
            <v>5000522433</v>
          </cell>
          <cell r="C654" t="str">
            <v>450005514200010</v>
          </cell>
          <cell r="D654" t="str">
            <v>MIGO_GR</v>
          </cell>
          <cell r="E654" t="str">
            <v>8102978/25.08.10</v>
          </cell>
          <cell r="F654" t="str">
            <v>9200019468</v>
          </cell>
          <cell r="G654" t="str">
            <v>25545</v>
          </cell>
          <cell r="H654" t="str">
            <v>GR / IR Clearing -SemiFinished Goods- Auto</v>
          </cell>
          <cell r="I654" t="str">
            <v>4500055142</v>
          </cell>
          <cell r="J654" t="str">
            <v>03B1</v>
          </cell>
          <cell r="K654" t="str">
            <v>100736</v>
          </cell>
          <cell r="L654" t="str">
            <v>VVF LTD.</v>
          </cell>
          <cell r="M654" t="str">
            <v>501277</v>
          </cell>
          <cell r="N654" t="str">
            <v>Split Fatty Acid C8-C18</v>
          </cell>
          <cell r="O654" t="str">
            <v>INR</v>
          </cell>
          <cell r="P654" t="str">
            <v/>
          </cell>
          <cell r="Q654" t="str">
            <v/>
          </cell>
          <cell r="R654" t="str">
            <v>010000441897</v>
          </cell>
          <cell r="S654" t="str">
            <v>A</v>
          </cell>
          <cell r="T654" t="str">
            <v>9084016200</v>
          </cell>
          <cell r="U654" t="str">
            <v>P003</v>
          </cell>
          <cell r="V654" t="str">
            <v>2010</v>
          </cell>
          <cell r="W654" t="str">
            <v/>
          </cell>
          <cell r="X654" t="str">
            <v>MT</v>
          </cell>
          <cell r="Y654" t="str">
            <v/>
          </cell>
          <cell r="Z654" t="str">
            <v>VVF</v>
          </cell>
          <cell r="AA654" t="str">
            <v>WE</v>
          </cell>
          <cell r="AB654">
            <v>40417</v>
          </cell>
          <cell r="AC654">
            <v>40417</v>
          </cell>
          <cell r="AD654">
            <v>40395</v>
          </cell>
          <cell r="AE654">
            <v>-1453800</v>
          </cell>
          <cell r="AF654">
            <v>16.11</v>
          </cell>
        </row>
        <row r="655">
          <cell r="A655" t="str">
            <v>5000526550</v>
          </cell>
          <cell r="B655" t="str">
            <v>5000522433</v>
          </cell>
          <cell r="C655" t="str">
            <v>450005514200010</v>
          </cell>
          <cell r="D655" t="str">
            <v>MIGO_GR</v>
          </cell>
          <cell r="E655" t="str">
            <v>8103007/25.08.10</v>
          </cell>
          <cell r="F655" t="str">
            <v>9200019469</v>
          </cell>
          <cell r="G655" t="str">
            <v>25545</v>
          </cell>
          <cell r="H655" t="str">
            <v>GR / IR Clearing -SemiFinished Goods- Auto</v>
          </cell>
          <cell r="I655" t="str">
            <v>4500055142</v>
          </cell>
          <cell r="J655" t="str">
            <v>03B1</v>
          </cell>
          <cell r="K655" t="str">
            <v>100736</v>
          </cell>
          <cell r="L655" t="str">
            <v>VVF LTD.</v>
          </cell>
          <cell r="M655" t="str">
            <v>501277</v>
          </cell>
          <cell r="N655" t="str">
            <v>Split Fatty Acid C8-C18</v>
          </cell>
          <cell r="O655" t="str">
            <v>INR</v>
          </cell>
          <cell r="P655" t="str">
            <v/>
          </cell>
          <cell r="Q655" t="str">
            <v/>
          </cell>
          <cell r="R655" t="str">
            <v>010000441897</v>
          </cell>
          <cell r="S655" t="str">
            <v>A</v>
          </cell>
          <cell r="T655" t="str">
            <v>9084016208</v>
          </cell>
          <cell r="U655" t="str">
            <v>P003</v>
          </cell>
          <cell r="V655" t="str">
            <v>2010</v>
          </cell>
          <cell r="W655" t="str">
            <v/>
          </cell>
          <cell r="X655" t="str">
            <v>MT</v>
          </cell>
          <cell r="Y655" t="str">
            <v/>
          </cell>
          <cell r="Z655" t="str">
            <v>VVF</v>
          </cell>
          <cell r="AA655" t="str">
            <v>WE</v>
          </cell>
          <cell r="AB655">
            <v>40417</v>
          </cell>
          <cell r="AC655">
            <v>40417</v>
          </cell>
          <cell r="AD655">
            <v>40395</v>
          </cell>
          <cell r="AE655">
            <v>-1282800</v>
          </cell>
          <cell r="AF655">
            <v>-16.11</v>
          </cell>
        </row>
        <row r="656">
          <cell r="A656" t="str">
            <v>5000526551</v>
          </cell>
          <cell r="B656" t="str">
            <v>5000522433</v>
          </cell>
          <cell r="C656" t="str">
            <v>450005514200010</v>
          </cell>
          <cell r="D656" t="str">
            <v>MIGO_GR</v>
          </cell>
          <cell r="E656" t="str">
            <v>8102999/25.08.10</v>
          </cell>
          <cell r="F656" t="str">
            <v>9200019470</v>
          </cell>
          <cell r="G656" t="str">
            <v>25545</v>
          </cell>
          <cell r="H656" t="str">
            <v>GR / IR Clearing -SemiFinished Goods- Auto</v>
          </cell>
          <cell r="I656" t="str">
            <v>4500055142</v>
          </cell>
          <cell r="J656" t="str">
            <v>03B1</v>
          </cell>
          <cell r="K656" t="str">
            <v>100736</v>
          </cell>
          <cell r="L656" t="str">
            <v>VVF LTD.</v>
          </cell>
          <cell r="M656" t="str">
            <v>501277</v>
          </cell>
          <cell r="N656" t="str">
            <v>Split Fatty Acid C8-C18</v>
          </cell>
          <cell r="O656" t="str">
            <v>INR</v>
          </cell>
          <cell r="P656" t="str">
            <v/>
          </cell>
          <cell r="Q656" t="str">
            <v/>
          </cell>
          <cell r="R656" t="str">
            <v>010000441897</v>
          </cell>
          <cell r="S656" t="str">
            <v>A</v>
          </cell>
          <cell r="T656" t="str">
            <v>9084011039</v>
          </cell>
          <cell r="U656" t="str">
            <v>P003</v>
          </cell>
          <cell r="V656" t="str">
            <v>2010</v>
          </cell>
          <cell r="W656" t="str">
            <v/>
          </cell>
          <cell r="X656" t="str">
            <v>MT</v>
          </cell>
          <cell r="Y656" t="str">
            <v/>
          </cell>
          <cell r="Z656" t="str">
            <v>VVF</v>
          </cell>
          <cell r="AA656" t="str">
            <v>WE</v>
          </cell>
          <cell r="AB656">
            <v>40417</v>
          </cell>
          <cell r="AC656">
            <v>40417</v>
          </cell>
          <cell r="AD656">
            <v>40395</v>
          </cell>
          <cell r="AE656">
            <v>-998400</v>
          </cell>
          <cell r="AF656">
            <v>16.11</v>
          </cell>
        </row>
        <row r="657">
          <cell r="A657" t="str">
            <v>5000526555</v>
          </cell>
          <cell r="B657" t="str">
            <v>5000522433</v>
          </cell>
          <cell r="C657" t="str">
            <v>450005514200010</v>
          </cell>
          <cell r="D657" t="str">
            <v>MIGO_GR</v>
          </cell>
          <cell r="E657" t="str">
            <v>8102996/25.08.10</v>
          </cell>
          <cell r="F657" t="str">
            <v>9200019472</v>
          </cell>
          <cell r="G657" t="str">
            <v>25545</v>
          </cell>
          <cell r="H657" t="str">
            <v>GR / IR Clearing -SemiFinished Goods- Auto</v>
          </cell>
          <cell r="I657" t="str">
            <v>4500055142</v>
          </cell>
          <cell r="J657" t="str">
            <v>03B1</v>
          </cell>
          <cell r="K657" t="str">
            <v>100736</v>
          </cell>
          <cell r="L657" t="str">
            <v>VVF LTD.</v>
          </cell>
          <cell r="M657" t="str">
            <v>501277</v>
          </cell>
          <cell r="N657" t="str">
            <v>Split Fatty Acid C8-C18</v>
          </cell>
          <cell r="O657" t="str">
            <v>INR</v>
          </cell>
          <cell r="P657" t="str">
            <v/>
          </cell>
          <cell r="Q657" t="str">
            <v/>
          </cell>
          <cell r="R657" t="str">
            <v>010000441897</v>
          </cell>
          <cell r="S657" t="str">
            <v>A</v>
          </cell>
          <cell r="T657" t="str">
            <v>9084011040</v>
          </cell>
          <cell r="U657" t="str">
            <v>P003</v>
          </cell>
          <cell r="V657" t="str">
            <v>2010</v>
          </cell>
          <cell r="W657" t="str">
            <v/>
          </cell>
          <cell r="X657" t="str">
            <v>MT</v>
          </cell>
          <cell r="Y657" t="str">
            <v/>
          </cell>
          <cell r="Z657" t="str">
            <v>VVF</v>
          </cell>
          <cell r="AA657" t="str">
            <v>WE</v>
          </cell>
          <cell r="AB657">
            <v>40417</v>
          </cell>
          <cell r="AC657">
            <v>40417</v>
          </cell>
          <cell r="AD657">
            <v>40395</v>
          </cell>
          <cell r="AE657">
            <v>-1284000</v>
          </cell>
          <cell r="AF657">
            <v>-16.11</v>
          </cell>
        </row>
        <row r="658">
          <cell r="A658" t="str">
            <v>5000526556</v>
          </cell>
          <cell r="B658" t="str">
            <v>5000522433</v>
          </cell>
          <cell r="C658" t="str">
            <v>450005514200010</v>
          </cell>
          <cell r="D658" t="str">
            <v>MIGO_GR</v>
          </cell>
          <cell r="E658" t="str">
            <v>8102985/25.08.10</v>
          </cell>
          <cell r="F658" t="str">
            <v>9200019473</v>
          </cell>
          <cell r="G658" t="str">
            <v>25545</v>
          </cell>
          <cell r="H658" t="str">
            <v>GR / IR Clearing -SemiFinished Goods- Auto</v>
          </cell>
          <cell r="I658" t="str">
            <v>4500055142</v>
          </cell>
          <cell r="J658" t="str">
            <v>03B1</v>
          </cell>
          <cell r="K658" t="str">
            <v>100736</v>
          </cell>
          <cell r="L658" t="str">
            <v>VVF LTD.</v>
          </cell>
          <cell r="M658" t="str">
            <v>501277</v>
          </cell>
          <cell r="N658" t="str">
            <v>Split Fatty Acid C8-C18</v>
          </cell>
          <cell r="O658" t="str">
            <v>INR</v>
          </cell>
          <cell r="P658" t="str">
            <v/>
          </cell>
          <cell r="Q658" t="str">
            <v/>
          </cell>
          <cell r="R658" t="str">
            <v>010000441897</v>
          </cell>
          <cell r="S658" t="str">
            <v>A</v>
          </cell>
          <cell r="T658" t="str">
            <v>9084016211</v>
          </cell>
          <cell r="U658" t="str">
            <v>P003</v>
          </cell>
          <cell r="V658" t="str">
            <v>2010</v>
          </cell>
          <cell r="W658" t="str">
            <v/>
          </cell>
          <cell r="X658" t="str">
            <v>MT</v>
          </cell>
          <cell r="Y658" t="str">
            <v/>
          </cell>
          <cell r="Z658" t="str">
            <v>VVF</v>
          </cell>
          <cell r="AA658" t="str">
            <v>WE</v>
          </cell>
          <cell r="AB658">
            <v>40417</v>
          </cell>
          <cell r="AC658">
            <v>40417</v>
          </cell>
          <cell r="AD658">
            <v>40395</v>
          </cell>
          <cell r="AE658">
            <v>-1256400</v>
          </cell>
          <cell r="AF658">
            <v>16.11</v>
          </cell>
        </row>
        <row r="659">
          <cell r="A659" t="str">
            <v>5000526557</v>
          </cell>
          <cell r="B659" t="str">
            <v>5000522433</v>
          </cell>
          <cell r="C659" t="str">
            <v>450005514200010</v>
          </cell>
          <cell r="D659" t="str">
            <v>MIGO_GR</v>
          </cell>
          <cell r="E659" t="str">
            <v>8102981/25.08.10</v>
          </cell>
          <cell r="F659" t="str">
            <v>9200019474</v>
          </cell>
          <cell r="G659" t="str">
            <v>25545</v>
          </cell>
          <cell r="H659" t="str">
            <v>GR / IR Clearing -SemiFinished Goods- Auto</v>
          </cell>
          <cell r="I659" t="str">
            <v>4500055142</v>
          </cell>
          <cell r="J659" t="str">
            <v>03B1</v>
          </cell>
          <cell r="K659" t="str">
            <v>100736</v>
          </cell>
          <cell r="L659" t="str">
            <v>VVF LTD.</v>
          </cell>
          <cell r="M659" t="str">
            <v>501277</v>
          </cell>
          <cell r="N659" t="str">
            <v>Split Fatty Acid C8-C18</v>
          </cell>
          <cell r="O659" t="str">
            <v>INR</v>
          </cell>
          <cell r="P659" t="str">
            <v/>
          </cell>
          <cell r="Q659" t="str">
            <v/>
          </cell>
          <cell r="R659" t="str">
            <v>010000441897</v>
          </cell>
          <cell r="S659" t="str">
            <v>A</v>
          </cell>
          <cell r="T659" t="str">
            <v>9084022354</v>
          </cell>
          <cell r="U659" t="str">
            <v>P003</v>
          </cell>
          <cell r="V659" t="str">
            <v>2010</v>
          </cell>
          <cell r="W659" t="str">
            <v/>
          </cell>
          <cell r="X659" t="str">
            <v>MT</v>
          </cell>
          <cell r="Y659" t="str">
            <v/>
          </cell>
          <cell r="Z659" t="str">
            <v>VVF</v>
          </cell>
          <cell r="AA659" t="str">
            <v>WE</v>
          </cell>
          <cell r="AB659">
            <v>40417</v>
          </cell>
          <cell r="AC659">
            <v>40417</v>
          </cell>
          <cell r="AD659">
            <v>40395</v>
          </cell>
          <cell r="AE659">
            <v>-1276200</v>
          </cell>
          <cell r="AF659">
            <v>-16.11</v>
          </cell>
        </row>
        <row r="660">
          <cell r="A660" t="str">
            <v>5000526561</v>
          </cell>
          <cell r="B660" t="str">
            <v>5000522433</v>
          </cell>
          <cell r="C660" t="str">
            <v>450005514200020</v>
          </cell>
          <cell r="D660" t="str">
            <v>MIGO_GR</v>
          </cell>
          <cell r="E660" t="str">
            <v>8102961 23.8.10</v>
          </cell>
          <cell r="F660" t="str">
            <v>9200019476</v>
          </cell>
          <cell r="G660" t="str">
            <v>25545</v>
          </cell>
          <cell r="H660" t="str">
            <v>GR / IR Clearing -SemiFinished Goods- Auto</v>
          </cell>
          <cell r="I660" t="str">
            <v>4500055142</v>
          </cell>
          <cell r="J660" t="str">
            <v>03B1</v>
          </cell>
          <cell r="K660" t="str">
            <v>100736</v>
          </cell>
          <cell r="L660" t="str">
            <v>VVF LTD.</v>
          </cell>
          <cell r="M660" t="str">
            <v>501277</v>
          </cell>
          <cell r="N660" t="str">
            <v>Split Fatty Acid C8-C18</v>
          </cell>
          <cell r="O660" t="str">
            <v>INR</v>
          </cell>
          <cell r="P660" t="str">
            <v/>
          </cell>
          <cell r="Q660" t="str">
            <v/>
          </cell>
          <cell r="R660" t="str">
            <v>010000441897</v>
          </cell>
          <cell r="S660" t="str">
            <v>A</v>
          </cell>
          <cell r="T660" t="str">
            <v>9084016212</v>
          </cell>
          <cell r="U660" t="str">
            <v>P003</v>
          </cell>
          <cell r="V660" t="str">
            <v>2010</v>
          </cell>
          <cell r="W660" t="str">
            <v/>
          </cell>
          <cell r="X660" t="str">
            <v>MT</v>
          </cell>
          <cell r="Y660" t="str">
            <v/>
          </cell>
          <cell r="Z660" t="str">
            <v>VVF</v>
          </cell>
          <cell r="AA660" t="str">
            <v>WE</v>
          </cell>
          <cell r="AB660">
            <v>40416</v>
          </cell>
          <cell r="AC660">
            <v>40416</v>
          </cell>
          <cell r="AD660">
            <v>40395</v>
          </cell>
          <cell r="AE660">
            <v>-1687800</v>
          </cell>
          <cell r="AF660">
            <v>16.11</v>
          </cell>
        </row>
        <row r="661">
          <cell r="A661" t="str">
            <v>5000526571</v>
          </cell>
          <cell r="B661" t="str">
            <v>5000522433</v>
          </cell>
          <cell r="C661" t="str">
            <v>450005522800040</v>
          </cell>
          <cell r="D661" t="str">
            <v>MIGO_GR</v>
          </cell>
          <cell r="E661" t="str">
            <v>131/129-27.08.10</v>
          </cell>
          <cell r="F661" t="str">
            <v>9200019479</v>
          </cell>
          <cell r="G661" t="str">
            <v>25545</v>
          </cell>
          <cell r="H661" t="str">
            <v>GR / IR Clearing -SemiFinished Goods- Auto</v>
          </cell>
          <cell r="I661" t="str">
            <v>4500055228</v>
          </cell>
          <cell r="J661" t="str">
            <v>11B2</v>
          </cell>
          <cell r="K661" t="str">
            <v>100736</v>
          </cell>
          <cell r="L661" t="str">
            <v>VVF LTD.</v>
          </cell>
          <cell r="M661" t="str">
            <v>502285</v>
          </cell>
          <cell r="N661" t="str">
            <v>SPLIT FATTY ACID (RBD PALM STEARINE)</v>
          </cell>
          <cell r="O661" t="str">
            <v>INR</v>
          </cell>
          <cell r="P661" t="str">
            <v/>
          </cell>
          <cell r="Q661" t="str">
            <v/>
          </cell>
          <cell r="R661" t="str">
            <v>010000441897</v>
          </cell>
          <cell r="S661" t="str">
            <v>A</v>
          </cell>
          <cell r="T661" t="str">
            <v>9084016212</v>
          </cell>
          <cell r="U661" t="str">
            <v>P011</v>
          </cell>
          <cell r="V661" t="str">
            <v>2010</v>
          </cell>
          <cell r="W661" t="str">
            <v/>
          </cell>
          <cell r="X661" t="str">
            <v>MT</v>
          </cell>
          <cell r="Y661" t="str">
            <v/>
          </cell>
          <cell r="Z661" t="str">
            <v>VVF</v>
          </cell>
          <cell r="AA661" t="str">
            <v>WE</v>
          </cell>
          <cell r="AB661">
            <v>40417</v>
          </cell>
          <cell r="AC661">
            <v>40417</v>
          </cell>
          <cell r="AD661">
            <v>40396</v>
          </cell>
          <cell r="AE661">
            <v>-36015</v>
          </cell>
          <cell r="AF661">
            <v>-16.11</v>
          </cell>
        </row>
        <row r="662">
          <cell r="A662" t="str">
            <v>5000526572</v>
          </cell>
          <cell r="B662" t="str">
            <v>5000522433</v>
          </cell>
          <cell r="C662" t="str">
            <v>450005522800040</v>
          </cell>
          <cell r="D662" t="str">
            <v>MIGO_GR</v>
          </cell>
          <cell r="E662" t="str">
            <v>130/128-27.08.10</v>
          </cell>
          <cell r="F662" t="str">
            <v>9200019481</v>
          </cell>
          <cell r="G662" t="str">
            <v>25545</v>
          </cell>
          <cell r="H662" t="str">
            <v>GR / IR Clearing -SemiFinished Goods- Auto</v>
          </cell>
          <cell r="I662" t="str">
            <v>4500055228</v>
          </cell>
          <cell r="J662" t="str">
            <v>11B2</v>
          </cell>
          <cell r="K662" t="str">
            <v>100736</v>
          </cell>
          <cell r="L662" t="str">
            <v>VVF LTD.</v>
          </cell>
          <cell r="M662" t="str">
            <v>502285</v>
          </cell>
          <cell r="N662" t="str">
            <v>SPLIT FATTY ACID (RBD PALM STEARINE)</v>
          </cell>
          <cell r="O662" t="str">
            <v>INR</v>
          </cell>
          <cell r="P662" t="str">
            <v/>
          </cell>
          <cell r="Q662" t="str">
            <v/>
          </cell>
          <cell r="R662" t="str">
            <v>010000441897</v>
          </cell>
          <cell r="S662" t="str">
            <v>A</v>
          </cell>
          <cell r="T662" t="str">
            <v>9084016212</v>
          </cell>
          <cell r="U662" t="str">
            <v>P011</v>
          </cell>
          <cell r="V662" t="str">
            <v>2010</v>
          </cell>
          <cell r="W662" t="str">
            <v/>
          </cell>
          <cell r="X662" t="str">
            <v>MT</v>
          </cell>
          <cell r="Y662" t="str">
            <v/>
          </cell>
          <cell r="Z662" t="str">
            <v>VVF</v>
          </cell>
          <cell r="AA662" t="str">
            <v>WE</v>
          </cell>
          <cell r="AB662">
            <v>40417</v>
          </cell>
          <cell r="AC662">
            <v>40417</v>
          </cell>
          <cell r="AD662">
            <v>40396</v>
          </cell>
          <cell r="AE662">
            <v>-36435</v>
          </cell>
          <cell r="AF662">
            <v>16.11</v>
          </cell>
        </row>
        <row r="663">
          <cell r="A663" t="str">
            <v>5000526549</v>
          </cell>
          <cell r="B663" t="str">
            <v>5000522433</v>
          </cell>
          <cell r="C663" t="str">
            <v>450005514200020</v>
          </cell>
          <cell r="D663" t="str">
            <v>MIGO_GR</v>
          </cell>
          <cell r="E663" t="str">
            <v>8102972/23.08.10</v>
          </cell>
          <cell r="F663" t="str">
            <v>9200019483</v>
          </cell>
          <cell r="G663" t="str">
            <v>25545</v>
          </cell>
          <cell r="H663" t="str">
            <v>GR / IR Clearing -SemiFinished Goods- Auto</v>
          </cell>
          <cell r="I663" t="str">
            <v>4500055142</v>
          </cell>
          <cell r="J663" t="str">
            <v>03B1</v>
          </cell>
          <cell r="K663" t="str">
            <v>100736</v>
          </cell>
          <cell r="L663" t="str">
            <v>VVF LTD.</v>
          </cell>
          <cell r="M663" t="str">
            <v>501277</v>
          </cell>
          <cell r="N663" t="str">
            <v>Split Fatty Acid C8-C18</v>
          </cell>
          <cell r="O663" t="str">
            <v>INR</v>
          </cell>
          <cell r="P663" t="str">
            <v/>
          </cell>
          <cell r="Q663" t="str">
            <v/>
          </cell>
          <cell r="R663" t="str">
            <v>010000441897</v>
          </cell>
          <cell r="S663" t="str">
            <v>A</v>
          </cell>
          <cell r="T663" t="str">
            <v>9084016177</v>
          </cell>
          <cell r="U663" t="str">
            <v>P003</v>
          </cell>
          <cell r="V663" t="str">
            <v>2010</v>
          </cell>
          <cell r="W663" t="str">
            <v/>
          </cell>
          <cell r="X663" t="str">
            <v>MT</v>
          </cell>
          <cell r="Y663" t="str">
            <v/>
          </cell>
          <cell r="Z663" t="str">
            <v>VVF</v>
          </cell>
          <cell r="AA663" t="str">
            <v>WE</v>
          </cell>
          <cell r="AB663">
            <v>40416</v>
          </cell>
          <cell r="AC663">
            <v>40416</v>
          </cell>
          <cell r="AD663">
            <v>40395</v>
          </cell>
          <cell r="AE663">
            <v>-1516800</v>
          </cell>
          <cell r="AF663">
            <v>-16.11</v>
          </cell>
        </row>
        <row r="664">
          <cell r="A664" t="str">
            <v>5000526580</v>
          </cell>
          <cell r="B664" t="str">
            <v>5000522433</v>
          </cell>
          <cell r="C664" t="str">
            <v>450005559800010</v>
          </cell>
          <cell r="D664" t="str">
            <v>MIGO_GR</v>
          </cell>
          <cell r="E664" t="str">
            <v>311005805</v>
          </cell>
          <cell r="F664" t="str">
            <v>9200019484</v>
          </cell>
          <cell r="G664" t="str">
            <v>25545</v>
          </cell>
          <cell r="H664" t="str">
            <v>GR / IR Clearing -SemiFinished Goods- Auto</v>
          </cell>
          <cell r="I664" t="str">
            <v>4500055598</v>
          </cell>
          <cell r="J664" t="str">
            <v>16B2</v>
          </cell>
          <cell r="K664" t="str">
            <v>VVF-TALOJA</v>
          </cell>
          <cell r="L664" t="str">
            <v>VVF LIMITED - TALOJA</v>
          </cell>
          <cell r="M664" t="str">
            <v>500636</v>
          </cell>
          <cell r="N664" t="str">
            <v>SOAP NOODLES</v>
          </cell>
          <cell r="O664" t="str">
            <v>INR</v>
          </cell>
          <cell r="P664" t="str">
            <v/>
          </cell>
          <cell r="Q664" t="str">
            <v/>
          </cell>
          <cell r="R664" t="str">
            <v>010000441897</v>
          </cell>
          <cell r="S664" t="str">
            <v>A</v>
          </cell>
          <cell r="T664" t="str">
            <v>9084015971</v>
          </cell>
          <cell r="U664" t="str">
            <v>P016</v>
          </cell>
          <cell r="V664" t="str">
            <v>2010</v>
          </cell>
          <cell r="W664" t="str">
            <v/>
          </cell>
          <cell r="X664" t="str">
            <v>MT</v>
          </cell>
          <cell r="Y664" t="str">
            <v/>
          </cell>
          <cell r="Z664" t="str">
            <v>VVF</v>
          </cell>
          <cell r="AA664" t="str">
            <v>WE</v>
          </cell>
          <cell r="AB664">
            <v>40417</v>
          </cell>
          <cell r="AC664">
            <v>40417</v>
          </cell>
          <cell r="AD664">
            <v>40409</v>
          </cell>
          <cell r="AE664">
            <v>-616000</v>
          </cell>
          <cell r="AF664">
            <v>16.11</v>
          </cell>
        </row>
        <row r="665">
          <cell r="A665" t="str">
            <v>5000526584</v>
          </cell>
          <cell r="B665" t="str">
            <v>5000522433</v>
          </cell>
          <cell r="C665" t="str">
            <v>450005514200020</v>
          </cell>
          <cell r="D665" t="str">
            <v>MIGO_GR</v>
          </cell>
          <cell r="E665" t="str">
            <v>8102945/23.08.10</v>
          </cell>
          <cell r="F665" t="str">
            <v>9200019488</v>
          </cell>
          <cell r="G665" t="str">
            <v>25545</v>
          </cell>
          <cell r="H665" t="str">
            <v>GR / IR Clearing -SemiFinished Goods- Auto</v>
          </cell>
          <cell r="I665" t="str">
            <v>4500055142</v>
          </cell>
          <cell r="J665" t="str">
            <v>03B1</v>
          </cell>
          <cell r="K665" t="str">
            <v>100736</v>
          </cell>
          <cell r="L665" t="str">
            <v>VVF LTD.</v>
          </cell>
          <cell r="M665" t="str">
            <v>501277</v>
          </cell>
          <cell r="N665" t="str">
            <v>Split Fatty Acid C8-C18</v>
          </cell>
          <cell r="O665" t="str">
            <v>INR</v>
          </cell>
          <cell r="P665" t="str">
            <v/>
          </cell>
          <cell r="Q665" t="str">
            <v/>
          </cell>
          <cell r="R665" t="str">
            <v>010000441897</v>
          </cell>
          <cell r="S665" t="str">
            <v>A</v>
          </cell>
          <cell r="T665" t="str">
            <v>9084016179</v>
          </cell>
          <cell r="U665" t="str">
            <v>P003</v>
          </cell>
          <cell r="V665" t="str">
            <v>2010</v>
          </cell>
          <cell r="W665" t="str">
            <v/>
          </cell>
          <cell r="X665" t="str">
            <v>MT</v>
          </cell>
          <cell r="Y665" t="str">
            <v/>
          </cell>
          <cell r="Z665" t="str">
            <v>VVF</v>
          </cell>
          <cell r="AA665" t="str">
            <v>WE</v>
          </cell>
          <cell r="AB665">
            <v>40416</v>
          </cell>
          <cell r="AC665">
            <v>40416</v>
          </cell>
          <cell r="AD665">
            <v>40395</v>
          </cell>
          <cell r="AE665">
            <v>-1422000</v>
          </cell>
          <cell r="AF665">
            <v>-16.11</v>
          </cell>
        </row>
        <row r="666">
          <cell r="A666" t="str">
            <v>5000526586</v>
          </cell>
          <cell r="B666" t="str">
            <v>5000522433</v>
          </cell>
          <cell r="C666" t="str">
            <v>450005514200020</v>
          </cell>
          <cell r="D666" t="str">
            <v>MIGO_GR</v>
          </cell>
          <cell r="E666" t="str">
            <v>8102975/23.08.10</v>
          </cell>
          <cell r="F666" t="str">
            <v>9200019490</v>
          </cell>
          <cell r="G666" t="str">
            <v>25545</v>
          </cell>
          <cell r="H666" t="str">
            <v>GR / IR Clearing -SemiFinished Goods- Auto</v>
          </cell>
          <cell r="I666" t="str">
            <v>4500055142</v>
          </cell>
          <cell r="J666" t="str">
            <v>03B1</v>
          </cell>
          <cell r="K666" t="str">
            <v>100736</v>
          </cell>
          <cell r="L666" t="str">
            <v>VVF LTD.</v>
          </cell>
          <cell r="M666" t="str">
            <v>501277</v>
          </cell>
          <cell r="N666" t="str">
            <v>Split Fatty Acid C8-C18</v>
          </cell>
          <cell r="O666" t="str">
            <v>INR</v>
          </cell>
          <cell r="P666" t="str">
            <v/>
          </cell>
          <cell r="Q666" t="str">
            <v/>
          </cell>
          <cell r="R666" t="str">
            <v>010000441897</v>
          </cell>
          <cell r="S666" t="str">
            <v>A</v>
          </cell>
          <cell r="T666" t="str">
            <v>9084022373</v>
          </cell>
          <cell r="U666" t="str">
            <v>P003</v>
          </cell>
          <cell r="V666" t="str">
            <v>2010</v>
          </cell>
          <cell r="W666" t="str">
            <v/>
          </cell>
          <cell r="X666" t="str">
            <v>MT</v>
          </cell>
          <cell r="Y666" t="str">
            <v/>
          </cell>
          <cell r="Z666" t="str">
            <v>VVF</v>
          </cell>
          <cell r="AA666" t="str">
            <v>WE</v>
          </cell>
          <cell r="AB666">
            <v>40416</v>
          </cell>
          <cell r="AC666">
            <v>40416</v>
          </cell>
          <cell r="AD666">
            <v>40395</v>
          </cell>
          <cell r="AE666">
            <v>-1435800</v>
          </cell>
          <cell r="AF666">
            <v>16.11</v>
          </cell>
        </row>
        <row r="667">
          <cell r="A667" t="str">
            <v>5000526590</v>
          </cell>
          <cell r="B667" t="str">
            <v>5000522433</v>
          </cell>
          <cell r="C667" t="str">
            <v>450005514200020</v>
          </cell>
          <cell r="D667" t="str">
            <v>MIGO_GR</v>
          </cell>
          <cell r="E667" t="str">
            <v>8102956/23.08.10</v>
          </cell>
          <cell r="F667" t="str">
            <v>9200019493</v>
          </cell>
          <cell r="G667" t="str">
            <v>25545</v>
          </cell>
          <cell r="H667" t="str">
            <v>GR / IR Clearing -SemiFinished Goods- Auto</v>
          </cell>
          <cell r="I667" t="str">
            <v>4500055142</v>
          </cell>
          <cell r="J667" t="str">
            <v>03B1</v>
          </cell>
          <cell r="K667" t="str">
            <v>100736</v>
          </cell>
          <cell r="L667" t="str">
            <v>VVF LTD.</v>
          </cell>
          <cell r="M667" t="str">
            <v>501277</v>
          </cell>
          <cell r="N667" t="str">
            <v>Split Fatty Acid C8-C18</v>
          </cell>
          <cell r="O667" t="str">
            <v>INR</v>
          </cell>
          <cell r="P667" t="str">
            <v/>
          </cell>
          <cell r="Q667" t="str">
            <v/>
          </cell>
          <cell r="R667" t="str">
            <v>010000441897</v>
          </cell>
          <cell r="S667" t="str">
            <v>A</v>
          </cell>
          <cell r="T667" t="str">
            <v>9084022378</v>
          </cell>
          <cell r="U667" t="str">
            <v>P003</v>
          </cell>
          <cell r="V667" t="str">
            <v>2010</v>
          </cell>
          <cell r="W667" t="str">
            <v/>
          </cell>
          <cell r="X667" t="str">
            <v>MT</v>
          </cell>
          <cell r="Y667" t="str">
            <v/>
          </cell>
          <cell r="Z667" t="str">
            <v>VVF</v>
          </cell>
          <cell r="AA667" t="str">
            <v>WE</v>
          </cell>
          <cell r="AB667">
            <v>40416</v>
          </cell>
          <cell r="AC667">
            <v>40416</v>
          </cell>
          <cell r="AD667">
            <v>40395</v>
          </cell>
          <cell r="AE667">
            <v>-1458000</v>
          </cell>
          <cell r="AF667">
            <v>-16.11</v>
          </cell>
        </row>
        <row r="668">
          <cell r="A668" t="str">
            <v>5000526592</v>
          </cell>
          <cell r="B668" t="str">
            <v>5000522433</v>
          </cell>
          <cell r="C668" t="str">
            <v>450005514200020</v>
          </cell>
          <cell r="D668" t="str">
            <v>MIGO_GR</v>
          </cell>
          <cell r="E668" t="str">
            <v>8102970/23.08.10</v>
          </cell>
          <cell r="F668" t="str">
            <v>9200019494</v>
          </cell>
          <cell r="G668" t="str">
            <v>25545</v>
          </cell>
          <cell r="H668" t="str">
            <v>GR / IR Clearing -SemiFinished Goods- Auto</v>
          </cell>
          <cell r="I668" t="str">
            <v>4500055142</v>
          </cell>
          <cell r="J668" t="str">
            <v>03B1</v>
          </cell>
          <cell r="K668" t="str">
            <v>100736</v>
          </cell>
          <cell r="L668" t="str">
            <v>VVF LTD.</v>
          </cell>
          <cell r="M668" t="str">
            <v>501277</v>
          </cell>
          <cell r="N668" t="str">
            <v>Split Fatty Acid C8-C18</v>
          </cell>
          <cell r="O668" t="str">
            <v>INR</v>
          </cell>
          <cell r="P668" t="str">
            <v/>
          </cell>
          <cell r="Q668" t="str">
            <v/>
          </cell>
          <cell r="R668" t="str">
            <v>010000441897</v>
          </cell>
          <cell r="S668" t="str">
            <v>A</v>
          </cell>
          <cell r="T668" t="str">
            <v>9084013512</v>
          </cell>
          <cell r="U668" t="str">
            <v>P003</v>
          </cell>
          <cell r="V668" t="str">
            <v>2010</v>
          </cell>
          <cell r="W668" t="str">
            <v/>
          </cell>
          <cell r="X668" t="str">
            <v>MT</v>
          </cell>
          <cell r="Y668" t="str">
            <v/>
          </cell>
          <cell r="Z668" t="str">
            <v>VVF</v>
          </cell>
          <cell r="AA668" t="str">
            <v>WE</v>
          </cell>
          <cell r="AB668">
            <v>40416</v>
          </cell>
          <cell r="AC668">
            <v>40416</v>
          </cell>
          <cell r="AD668">
            <v>40395</v>
          </cell>
          <cell r="AE668">
            <v>-1267200</v>
          </cell>
          <cell r="AF668">
            <v>16.11</v>
          </cell>
        </row>
        <row r="669">
          <cell r="A669" t="str">
            <v>5000526593</v>
          </cell>
          <cell r="B669" t="str">
            <v>5000522433</v>
          </cell>
          <cell r="C669" t="str">
            <v>450005514200020</v>
          </cell>
          <cell r="D669" t="str">
            <v>MIGO_GR</v>
          </cell>
          <cell r="E669" t="str">
            <v>8102948/23.08.10</v>
          </cell>
          <cell r="F669" t="str">
            <v>9200019496</v>
          </cell>
          <cell r="G669" t="str">
            <v>25545</v>
          </cell>
          <cell r="H669" t="str">
            <v>GR / IR Clearing -SemiFinished Goods- Auto</v>
          </cell>
          <cell r="I669" t="str">
            <v>4500055142</v>
          </cell>
          <cell r="J669" t="str">
            <v>03B1</v>
          </cell>
          <cell r="K669" t="str">
            <v>100736</v>
          </cell>
          <cell r="L669" t="str">
            <v>VVF LTD.</v>
          </cell>
          <cell r="M669" t="str">
            <v>501277</v>
          </cell>
          <cell r="N669" t="str">
            <v>Split Fatty Acid C8-C18</v>
          </cell>
          <cell r="O669" t="str">
            <v>INR</v>
          </cell>
          <cell r="P669" t="str">
            <v/>
          </cell>
          <cell r="Q669" t="str">
            <v/>
          </cell>
          <cell r="R669" t="str">
            <v>010000441897</v>
          </cell>
          <cell r="S669" t="str">
            <v>A</v>
          </cell>
          <cell r="T669" t="str">
            <v>9084016162</v>
          </cell>
          <cell r="U669" t="str">
            <v>P003</v>
          </cell>
          <cell r="V669" t="str">
            <v>2010</v>
          </cell>
          <cell r="W669" t="str">
            <v/>
          </cell>
          <cell r="X669" t="str">
            <v>MT</v>
          </cell>
          <cell r="Y669" t="str">
            <v/>
          </cell>
          <cell r="Z669" t="str">
            <v>VVF</v>
          </cell>
          <cell r="AA669" t="str">
            <v>WE</v>
          </cell>
          <cell r="AB669">
            <v>40416</v>
          </cell>
          <cell r="AC669">
            <v>40416</v>
          </cell>
          <cell r="AD669">
            <v>40395</v>
          </cell>
          <cell r="AE669">
            <v>-941400</v>
          </cell>
          <cell r="AF669">
            <v>-16.11</v>
          </cell>
        </row>
        <row r="670">
          <cell r="A670" t="str">
            <v>5000526594</v>
          </cell>
          <cell r="B670" t="str">
            <v>5000522433</v>
          </cell>
          <cell r="C670" t="str">
            <v>450005514200020</v>
          </cell>
          <cell r="D670" t="str">
            <v>MIGO_GR</v>
          </cell>
          <cell r="E670" t="str">
            <v>8102974/23.08.10</v>
          </cell>
          <cell r="F670" t="str">
            <v>9200019498</v>
          </cell>
          <cell r="G670" t="str">
            <v>25545</v>
          </cell>
          <cell r="H670" t="str">
            <v>GR / IR Clearing -SemiFinished Goods- Auto</v>
          </cell>
          <cell r="I670" t="str">
            <v>4500055142</v>
          </cell>
          <cell r="J670" t="str">
            <v>03B1</v>
          </cell>
          <cell r="K670" t="str">
            <v>100736</v>
          </cell>
          <cell r="L670" t="str">
            <v>VVF LTD.</v>
          </cell>
          <cell r="M670" t="str">
            <v>501277</v>
          </cell>
          <cell r="N670" t="str">
            <v>Split Fatty Acid C8-C18</v>
          </cell>
          <cell r="O670" t="str">
            <v>INR</v>
          </cell>
          <cell r="P670" t="str">
            <v/>
          </cell>
          <cell r="Q670" t="str">
            <v/>
          </cell>
          <cell r="R670" t="str">
            <v>010000441897</v>
          </cell>
          <cell r="S670" t="str">
            <v>A</v>
          </cell>
          <cell r="T670" t="str">
            <v>9084016162</v>
          </cell>
          <cell r="U670" t="str">
            <v>P003</v>
          </cell>
          <cell r="V670" t="str">
            <v>2010</v>
          </cell>
          <cell r="W670" t="str">
            <v/>
          </cell>
          <cell r="X670" t="str">
            <v>MT</v>
          </cell>
          <cell r="Y670" t="str">
            <v/>
          </cell>
          <cell r="Z670" t="str">
            <v>VVF</v>
          </cell>
          <cell r="AA670" t="str">
            <v>WE</v>
          </cell>
          <cell r="AB670">
            <v>40416</v>
          </cell>
          <cell r="AC670">
            <v>40416</v>
          </cell>
          <cell r="AD670">
            <v>40395</v>
          </cell>
          <cell r="AE670">
            <v>-1294200</v>
          </cell>
          <cell r="AF670">
            <v>16.11</v>
          </cell>
        </row>
        <row r="671">
          <cell r="A671" t="str">
            <v>5000526616</v>
          </cell>
          <cell r="B671" t="str">
            <v>5000522433</v>
          </cell>
          <cell r="C671" t="str">
            <v>450003604201106</v>
          </cell>
          <cell r="D671" t="str">
            <v>MIGO_GR</v>
          </cell>
          <cell r="E671" t="str">
            <v>8900255062/26.8</v>
          </cell>
          <cell r="F671" t="str">
            <v>9200019512</v>
          </cell>
          <cell r="G671" t="str">
            <v>25545</v>
          </cell>
          <cell r="H671" t="str">
            <v>GR / IR Clearing -SemiFinished Goods- Auto</v>
          </cell>
          <cell r="I671" t="str">
            <v>4500036042</v>
          </cell>
          <cell r="J671" t="str">
            <v>03B1</v>
          </cell>
          <cell r="K671" t="str">
            <v>101277</v>
          </cell>
          <cell r="L671" t="str">
            <v>VVF Limited-Sion</v>
          </cell>
          <cell r="M671" t="str">
            <v>501713</v>
          </cell>
          <cell r="N671" t="str">
            <v>T-DISTILLED FATTY ACID - C16C18</v>
          </cell>
          <cell r="O671" t="str">
            <v>INR</v>
          </cell>
          <cell r="P671" t="str">
            <v/>
          </cell>
          <cell r="Q671" t="str">
            <v/>
          </cell>
          <cell r="R671" t="str">
            <v>010000441897</v>
          </cell>
          <cell r="S671" t="str">
            <v>A</v>
          </cell>
          <cell r="T671" t="str">
            <v>9084016162</v>
          </cell>
          <cell r="U671" t="str">
            <v>P003</v>
          </cell>
          <cell r="V671" t="str">
            <v>2010</v>
          </cell>
          <cell r="W671" t="str">
            <v/>
          </cell>
          <cell r="X671" t="str">
            <v>MT</v>
          </cell>
          <cell r="Y671" t="str">
            <v/>
          </cell>
          <cell r="Z671" t="str">
            <v>VVF</v>
          </cell>
          <cell r="AA671" t="str">
            <v>WE</v>
          </cell>
          <cell r="AB671">
            <v>40417</v>
          </cell>
          <cell r="AC671">
            <v>40417</v>
          </cell>
          <cell r="AD671">
            <v>39792</v>
          </cell>
          <cell r="AE671">
            <v>-2.1800000000000002</v>
          </cell>
          <cell r="AF671">
            <v>-16.11</v>
          </cell>
        </row>
        <row r="672">
          <cell r="A672" t="str">
            <v>5000526606</v>
          </cell>
          <cell r="B672" t="str">
            <v>5000522433</v>
          </cell>
          <cell r="C672" t="str">
            <v>450005522800040</v>
          </cell>
          <cell r="D672" t="str">
            <v>MIGO_GR</v>
          </cell>
          <cell r="E672" t="str">
            <v>132/130-27.08.10</v>
          </cell>
          <cell r="F672" t="str">
            <v>9200019516</v>
          </cell>
          <cell r="G672" t="str">
            <v>25545</v>
          </cell>
          <cell r="H672" t="str">
            <v>GR / IR Clearing -SemiFinished Goods- Auto</v>
          </cell>
          <cell r="I672" t="str">
            <v>4500055228</v>
          </cell>
          <cell r="J672" t="str">
            <v>11B2</v>
          </cell>
          <cell r="K672" t="str">
            <v>100736</v>
          </cell>
          <cell r="L672" t="str">
            <v>VVF LTD.</v>
          </cell>
          <cell r="M672" t="str">
            <v>502285</v>
          </cell>
          <cell r="N672" t="str">
            <v>SPLIT FATTY ACID (RBD PALM STEARINE)</v>
          </cell>
          <cell r="O672" t="str">
            <v>INR</v>
          </cell>
          <cell r="P672" t="str">
            <v/>
          </cell>
          <cell r="Q672" t="str">
            <v/>
          </cell>
          <cell r="R672" t="str">
            <v>010000441897</v>
          </cell>
          <cell r="S672" t="str">
            <v>A</v>
          </cell>
          <cell r="T672" t="str">
            <v>9084016162</v>
          </cell>
          <cell r="U672" t="str">
            <v>P011</v>
          </cell>
          <cell r="V672" t="str">
            <v>2010</v>
          </cell>
          <cell r="W672" t="str">
            <v/>
          </cell>
          <cell r="X672" t="str">
            <v>MT</v>
          </cell>
          <cell r="Y672" t="str">
            <v/>
          </cell>
          <cell r="Z672" t="str">
            <v>VVF</v>
          </cell>
          <cell r="AA672" t="str">
            <v>WE</v>
          </cell>
          <cell r="AB672">
            <v>40417</v>
          </cell>
          <cell r="AC672">
            <v>40417</v>
          </cell>
          <cell r="AD672">
            <v>40396</v>
          </cell>
          <cell r="AE672">
            <v>-39840</v>
          </cell>
          <cell r="AF672">
            <v>16.11</v>
          </cell>
        </row>
        <row r="673">
          <cell r="A673" t="str">
            <v>5000526625</v>
          </cell>
          <cell r="B673" t="str">
            <v>5000522433</v>
          </cell>
          <cell r="C673" t="str">
            <v>450005514200020</v>
          </cell>
          <cell r="D673" t="str">
            <v>MIGO_GR</v>
          </cell>
          <cell r="E673" t="str">
            <v>8102965/23.08.10</v>
          </cell>
          <cell r="F673" t="str">
            <v>9200019518</v>
          </cell>
          <cell r="G673" t="str">
            <v>25545</v>
          </cell>
          <cell r="H673" t="str">
            <v>GR / IR Clearing -SemiFinished Goods- Auto</v>
          </cell>
          <cell r="I673" t="str">
            <v>4500055142</v>
          </cell>
          <cell r="J673" t="str">
            <v>03B1</v>
          </cell>
          <cell r="K673" t="str">
            <v>100736</v>
          </cell>
          <cell r="L673" t="str">
            <v>VVF LTD.</v>
          </cell>
          <cell r="M673" t="str">
            <v>501277</v>
          </cell>
          <cell r="N673" t="str">
            <v>Split Fatty Acid C8-C18</v>
          </cell>
          <cell r="O673" t="str">
            <v>INR</v>
          </cell>
          <cell r="P673" t="str">
            <v/>
          </cell>
          <cell r="Q673" t="str">
            <v/>
          </cell>
          <cell r="R673" t="str">
            <v>010000441897</v>
          </cell>
          <cell r="S673" t="str">
            <v>A</v>
          </cell>
          <cell r="T673" t="str">
            <v>9084010646</v>
          </cell>
          <cell r="U673" t="str">
            <v>P003</v>
          </cell>
          <cell r="V673" t="str">
            <v>2010</v>
          </cell>
          <cell r="W673" t="str">
            <v/>
          </cell>
          <cell r="X673" t="str">
            <v>MT</v>
          </cell>
          <cell r="Y673" t="str">
            <v/>
          </cell>
          <cell r="Z673" t="str">
            <v>VVF</v>
          </cell>
          <cell r="AA673" t="str">
            <v>WE</v>
          </cell>
          <cell r="AB673">
            <v>40416</v>
          </cell>
          <cell r="AC673">
            <v>40416</v>
          </cell>
          <cell r="AD673">
            <v>40395</v>
          </cell>
          <cell r="AE673">
            <v>-1012800</v>
          </cell>
          <cell r="AF673">
            <v>-16.11</v>
          </cell>
        </row>
        <row r="674">
          <cell r="A674" t="str">
            <v>5000526626</v>
          </cell>
          <cell r="B674" t="str">
            <v>5000522433</v>
          </cell>
          <cell r="C674" t="str">
            <v>450005514200020</v>
          </cell>
          <cell r="D674" t="str">
            <v>MIGO_GR</v>
          </cell>
          <cell r="E674" t="str">
            <v>8102969/23.08.10</v>
          </cell>
          <cell r="F674" t="str">
            <v>9200019519</v>
          </cell>
          <cell r="G674" t="str">
            <v>25545</v>
          </cell>
          <cell r="H674" t="str">
            <v>GR / IR Clearing -SemiFinished Goods- Auto</v>
          </cell>
          <cell r="I674" t="str">
            <v>4500055142</v>
          </cell>
          <cell r="J674" t="str">
            <v>03B1</v>
          </cell>
          <cell r="K674" t="str">
            <v>100736</v>
          </cell>
          <cell r="L674" t="str">
            <v>VVF LTD.</v>
          </cell>
          <cell r="M674" t="str">
            <v>501277</v>
          </cell>
          <cell r="N674" t="str">
            <v>Split Fatty Acid C8-C18</v>
          </cell>
          <cell r="O674" t="str">
            <v>INR</v>
          </cell>
          <cell r="P674" t="str">
            <v/>
          </cell>
          <cell r="Q674" t="str">
            <v/>
          </cell>
          <cell r="R674" t="str">
            <v>010000441897</v>
          </cell>
          <cell r="S674" t="str">
            <v>A</v>
          </cell>
          <cell r="T674" t="str">
            <v>9084013519</v>
          </cell>
          <cell r="U674" t="str">
            <v>P003</v>
          </cell>
          <cell r="V674" t="str">
            <v>2010</v>
          </cell>
          <cell r="W674" t="str">
            <v/>
          </cell>
          <cell r="X674" t="str">
            <v>MT</v>
          </cell>
          <cell r="Y674" t="str">
            <v/>
          </cell>
          <cell r="Z674" t="str">
            <v>VVF</v>
          </cell>
          <cell r="AA674" t="str">
            <v>WE</v>
          </cell>
          <cell r="AB674">
            <v>40416</v>
          </cell>
          <cell r="AC674">
            <v>40417</v>
          </cell>
          <cell r="AD674">
            <v>40395</v>
          </cell>
          <cell r="AE674">
            <v>-1024200</v>
          </cell>
          <cell r="AF674">
            <v>16.11</v>
          </cell>
        </row>
        <row r="675">
          <cell r="A675" t="str">
            <v>5000526627</v>
          </cell>
          <cell r="B675" t="str">
            <v>5000522433</v>
          </cell>
          <cell r="C675" t="str">
            <v>450005514200020</v>
          </cell>
          <cell r="D675" t="str">
            <v>MIGO_GR</v>
          </cell>
          <cell r="E675" t="str">
            <v>8102947/23.08.10</v>
          </cell>
          <cell r="F675" t="str">
            <v>9200019520</v>
          </cell>
          <cell r="G675" t="str">
            <v>25545</v>
          </cell>
          <cell r="H675" t="str">
            <v>GR / IR Clearing -SemiFinished Goods- Auto</v>
          </cell>
          <cell r="I675" t="str">
            <v>4500055142</v>
          </cell>
          <cell r="J675" t="str">
            <v>03B1</v>
          </cell>
          <cell r="K675" t="str">
            <v>100736</v>
          </cell>
          <cell r="L675" t="str">
            <v>VVF LTD.</v>
          </cell>
          <cell r="M675" t="str">
            <v>501277</v>
          </cell>
          <cell r="N675" t="str">
            <v>Split Fatty Acid C8-C18</v>
          </cell>
          <cell r="O675" t="str">
            <v>INR</v>
          </cell>
          <cell r="P675" t="str">
            <v/>
          </cell>
          <cell r="Q675" t="str">
            <v/>
          </cell>
          <cell r="R675" t="str">
            <v>010000441897</v>
          </cell>
          <cell r="S675" t="str">
            <v>A</v>
          </cell>
          <cell r="T675" t="str">
            <v>9084013519</v>
          </cell>
          <cell r="U675" t="str">
            <v>P003</v>
          </cell>
          <cell r="V675" t="str">
            <v>2010</v>
          </cell>
          <cell r="W675" t="str">
            <v/>
          </cell>
          <cell r="X675" t="str">
            <v>MT</v>
          </cell>
          <cell r="Y675" t="str">
            <v/>
          </cell>
          <cell r="Z675" t="str">
            <v>VVF</v>
          </cell>
          <cell r="AA675" t="str">
            <v>WE</v>
          </cell>
          <cell r="AB675">
            <v>40416</v>
          </cell>
          <cell r="AC675">
            <v>40416</v>
          </cell>
          <cell r="AD675">
            <v>40395</v>
          </cell>
          <cell r="AE675">
            <v>-1028400</v>
          </cell>
          <cell r="AF675">
            <v>-16.11</v>
          </cell>
        </row>
        <row r="676">
          <cell r="A676" t="str">
            <v>5000526628</v>
          </cell>
          <cell r="B676" t="str">
            <v>5000522433</v>
          </cell>
          <cell r="C676" t="str">
            <v>450005514200020</v>
          </cell>
          <cell r="D676" t="str">
            <v>MIGO_GR</v>
          </cell>
          <cell r="E676" t="str">
            <v>8102941/22.08.10</v>
          </cell>
          <cell r="F676" t="str">
            <v>9200019521</v>
          </cell>
          <cell r="G676" t="str">
            <v>25545</v>
          </cell>
          <cell r="H676" t="str">
            <v>GR / IR Clearing -SemiFinished Goods- Auto</v>
          </cell>
          <cell r="I676" t="str">
            <v>4500055142</v>
          </cell>
          <cell r="J676" t="str">
            <v>03B1</v>
          </cell>
          <cell r="K676" t="str">
            <v>100736</v>
          </cell>
          <cell r="L676" t="str">
            <v>VVF LTD.</v>
          </cell>
          <cell r="M676" t="str">
            <v>501277</v>
          </cell>
          <cell r="N676" t="str">
            <v>Split Fatty Acid C8-C18</v>
          </cell>
          <cell r="O676" t="str">
            <v>INR</v>
          </cell>
          <cell r="P676" t="str">
            <v/>
          </cell>
          <cell r="Q676" t="str">
            <v/>
          </cell>
          <cell r="R676" t="str">
            <v>010000441897</v>
          </cell>
          <cell r="S676" t="str">
            <v>A</v>
          </cell>
          <cell r="T676" t="str">
            <v>9084016193</v>
          </cell>
          <cell r="U676" t="str">
            <v>P003</v>
          </cell>
          <cell r="V676" t="str">
            <v>2010</v>
          </cell>
          <cell r="W676" t="str">
            <v/>
          </cell>
          <cell r="X676" t="str">
            <v>MT</v>
          </cell>
          <cell r="Y676" t="str">
            <v/>
          </cell>
          <cell r="Z676" t="str">
            <v>VVF</v>
          </cell>
          <cell r="AA676" t="str">
            <v>WE</v>
          </cell>
          <cell r="AB676">
            <v>40416</v>
          </cell>
          <cell r="AC676">
            <v>40416</v>
          </cell>
          <cell r="AD676">
            <v>40395</v>
          </cell>
          <cell r="AE676">
            <v>-1007400</v>
          </cell>
          <cell r="AF676">
            <v>16.11</v>
          </cell>
        </row>
        <row r="677">
          <cell r="A677" t="str">
            <v>5000526629</v>
          </cell>
          <cell r="B677" t="str">
            <v>5000522433</v>
          </cell>
          <cell r="C677" t="str">
            <v>450005514200020</v>
          </cell>
          <cell r="D677" t="str">
            <v>MIGO_GR</v>
          </cell>
          <cell r="E677" t="str">
            <v>8102967/23.08.10</v>
          </cell>
          <cell r="F677" t="str">
            <v>9200019522</v>
          </cell>
          <cell r="G677" t="str">
            <v>25545</v>
          </cell>
          <cell r="H677" t="str">
            <v>GR / IR Clearing -SemiFinished Goods- Auto</v>
          </cell>
          <cell r="I677" t="str">
            <v>4500055142</v>
          </cell>
          <cell r="J677" t="str">
            <v>03B1</v>
          </cell>
          <cell r="K677" t="str">
            <v>100736</v>
          </cell>
          <cell r="L677" t="str">
            <v>VVF LTD.</v>
          </cell>
          <cell r="M677" t="str">
            <v>501277</v>
          </cell>
          <cell r="N677" t="str">
            <v>Split Fatty Acid C8-C18</v>
          </cell>
          <cell r="O677" t="str">
            <v>INR</v>
          </cell>
          <cell r="P677" t="str">
            <v/>
          </cell>
          <cell r="Q677" t="str">
            <v/>
          </cell>
          <cell r="R677" t="str">
            <v>010000441897</v>
          </cell>
          <cell r="S677" t="str">
            <v>A</v>
          </cell>
          <cell r="T677" t="str">
            <v>9084015753</v>
          </cell>
          <cell r="U677" t="str">
            <v>P003</v>
          </cell>
          <cell r="V677" t="str">
            <v>2010</v>
          </cell>
          <cell r="W677" t="str">
            <v/>
          </cell>
          <cell r="X677" t="str">
            <v>MT</v>
          </cell>
          <cell r="Y677" t="str">
            <v/>
          </cell>
          <cell r="Z677" t="str">
            <v>VVF</v>
          </cell>
          <cell r="AA677" t="str">
            <v>WE</v>
          </cell>
          <cell r="AB677">
            <v>40416</v>
          </cell>
          <cell r="AC677">
            <v>40416</v>
          </cell>
          <cell r="AD677">
            <v>40395</v>
          </cell>
          <cell r="AE677">
            <v>-1256400</v>
          </cell>
          <cell r="AF677">
            <v>-16.11</v>
          </cell>
        </row>
        <row r="678">
          <cell r="A678" t="str">
            <v>5000526654</v>
          </cell>
          <cell r="B678" t="str">
            <v>5000522433</v>
          </cell>
          <cell r="C678" t="str">
            <v>450005514200010</v>
          </cell>
          <cell r="D678" t="str">
            <v>MIGO_GR</v>
          </cell>
          <cell r="E678" t="str">
            <v>8102977/25.08.10</v>
          </cell>
          <cell r="F678" t="str">
            <v>9200019523</v>
          </cell>
          <cell r="G678" t="str">
            <v>25545</v>
          </cell>
          <cell r="H678" t="str">
            <v>GR / IR Clearing -SemiFinished Goods- Auto</v>
          </cell>
          <cell r="I678" t="str">
            <v>4500055142</v>
          </cell>
          <cell r="J678" t="str">
            <v>03B1</v>
          </cell>
          <cell r="K678" t="str">
            <v>100736</v>
          </cell>
          <cell r="L678" t="str">
            <v>VVF LTD.</v>
          </cell>
          <cell r="M678" t="str">
            <v>501277</v>
          </cell>
          <cell r="N678" t="str">
            <v>Split Fatty Acid C8-C18</v>
          </cell>
          <cell r="O678" t="str">
            <v>INR</v>
          </cell>
          <cell r="P678" t="str">
            <v/>
          </cell>
          <cell r="Q678" t="str">
            <v/>
          </cell>
          <cell r="R678" t="str">
            <v>010000441897</v>
          </cell>
          <cell r="S678" t="str">
            <v>A</v>
          </cell>
          <cell r="T678" t="str">
            <v>9084016152</v>
          </cell>
          <cell r="U678" t="str">
            <v>P003</v>
          </cell>
          <cell r="V678" t="str">
            <v>2010</v>
          </cell>
          <cell r="W678" t="str">
            <v/>
          </cell>
          <cell r="X678" t="str">
            <v>MT</v>
          </cell>
          <cell r="Y678" t="str">
            <v/>
          </cell>
          <cell r="Z678" t="str">
            <v>VVF</v>
          </cell>
          <cell r="AA678" t="str">
            <v>WE</v>
          </cell>
          <cell r="AB678">
            <v>40417</v>
          </cell>
          <cell r="AC678">
            <v>40417</v>
          </cell>
          <cell r="AD678">
            <v>40395</v>
          </cell>
          <cell r="AE678">
            <v>-1443600</v>
          </cell>
          <cell r="AF678">
            <v>16.11</v>
          </cell>
        </row>
        <row r="679">
          <cell r="A679" t="str">
            <v>5000526658</v>
          </cell>
          <cell r="B679" t="str">
            <v>5000522433</v>
          </cell>
          <cell r="C679" t="str">
            <v>450005522800040</v>
          </cell>
          <cell r="D679" t="str">
            <v>MIGO_GR</v>
          </cell>
          <cell r="E679" t="str">
            <v>132/134-27.08.10</v>
          </cell>
          <cell r="F679" t="str">
            <v>9200019526</v>
          </cell>
          <cell r="G679" t="str">
            <v>25545</v>
          </cell>
          <cell r="H679" t="str">
            <v>GR / IR Clearing -SemiFinished Goods- Auto</v>
          </cell>
          <cell r="I679" t="str">
            <v>4500055228</v>
          </cell>
          <cell r="J679" t="str">
            <v>11B2</v>
          </cell>
          <cell r="K679" t="str">
            <v>100736</v>
          </cell>
          <cell r="L679" t="str">
            <v>VVF LTD.</v>
          </cell>
          <cell r="M679" t="str">
            <v>502285</v>
          </cell>
          <cell r="N679" t="str">
            <v>SPLIT FATTY ACID (RBD PALM STEARINE)</v>
          </cell>
          <cell r="O679" t="str">
            <v>INR</v>
          </cell>
          <cell r="P679" t="str">
            <v/>
          </cell>
          <cell r="Q679" t="str">
            <v/>
          </cell>
          <cell r="R679" t="str">
            <v>010000441897</v>
          </cell>
          <cell r="S679" t="str">
            <v>A</v>
          </cell>
          <cell r="T679" t="str">
            <v>9084016152</v>
          </cell>
          <cell r="U679" t="str">
            <v>P011</v>
          </cell>
          <cell r="V679" t="str">
            <v>2010</v>
          </cell>
          <cell r="W679" t="str">
            <v/>
          </cell>
          <cell r="X679" t="str">
            <v>MT</v>
          </cell>
          <cell r="Y679" t="str">
            <v/>
          </cell>
          <cell r="Z679" t="str">
            <v>VVF</v>
          </cell>
          <cell r="AA679" t="str">
            <v>WE</v>
          </cell>
          <cell r="AB679">
            <v>40417</v>
          </cell>
          <cell r="AC679">
            <v>40417</v>
          </cell>
          <cell r="AD679">
            <v>40396</v>
          </cell>
          <cell r="AE679">
            <v>-41265</v>
          </cell>
          <cell r="AF679">
            <v>-16.11</v>
          </cell>
        </row>
        <row r="680">
          <cell r="A680" t="str">
            <v>5000526659</v>
          </cell>
          <cell r="B680" t="str">
            <v>5000522433</v>
          </cell>
          <cell r="C680" t="str">
            <v>450005522800040</v>
          </cell>
          <cell r="D680" t="str">
            <v>MIGO_GR</v>
          </cell>
          <cell r="E680" t="str">
            <v>133/135/27.08.10</v>
          </cell>
          <cell r="F680" t="str">
            <v>9200019527</v>
          </cell>
          <cell r="G680" t="str">
            <v>25545</v>
          </cell>
          <cell r="H680" t="str">
            <v>GR / IR Clearing -SemiFinished Goods- Auto</v>
          </cell>
          <cell r="I680" t="str">
            <v>4500055228</v>
          </cell>
          <cell r="J680" t="str">
            <v>11B2</v>
          </cell>
          <cell r="K680" t="str">
            <v>100736</v>
          </cell>
          <cell r="L680" t="str">
            <v>VVF LTD.</v>
          </cell>
          <cell r="M680" t="str">
            <v>502285</v>
          </cell>
          <cell r="N680" t="str">
            <v>SPLIT FATTY ACID (RBD PALM STEARINE)</v>
          </cell>
          <cell r="O680" t="str">
            <v>INR</v>
          </cell>
          <cell r="P680" t="str">
            <v/>
          </cell>
          <cell r="Q680" t="str">
            <v/>
          </cell>
          <cell r="R680" t="str">
            <v>010000441897</v>
          </cell>
          <cell r="S680" t="str">
            <v>A</v>
          </cell>
          <cell r="T680" t="str">
            <v>9084016152</v>
          </cell>
          <cell r="U680" t="str">
            <v>P011</v>
          </cell>
          <cell r="V680" t="str">
            <v>2010</v>
          </cell>
          <cell r="W680" t="str">
            <v/>
          </cell>
          <cell r="X680" t="str">
            <v>MT</v>
          </cell>
          <cell r="Y680" t="str">
            <v/>
          </cell>
          <cell r="Z680" t="str">
            <v>VVF</v>
          </cell>
          <cell r="AA680" t="str">
            <v>WE</v>
          </cell>
          <cell r="AB680">
            <v>40417</v>
          </cell>
          <cell r="AC680">
            <v>40417</v>
          </cell>
          <cell r="AD680">
            <v>40396</v>
          </cell>
          <cell r="AE680">
            <v>-36855</v>
          </cell>
          <cell r="AF680">
            <v>16.11</v>
          </cell>
        </row>
        <row r="681">
          <cell r="A681" t="str">
            <v>5000526660</v>
          </cell>
          <cell r="B681" t="str">
            <v>5000522433</v>
          </cell>
          <cell r="C681" t="str">
            <v>450005562500010</v>
          </cell>
          <cell r="D681" t="str">
            <v>MIGO_GR</v>
          </cell>
          <cell r="E681" t="str">
            <v>8102930/22.08.10</v>
          </cell>
          <cell r="F681" t="str">
            <v>9200019528</v>
          </cell>
          <cell r="G681" t="str">
            <v>25545</v>
          </cell>
          <cell r="H681" t="str">
            <v>GR / IR Clearing -SemiFinished Goods- Auto</v>
          </cell>
          <cell r="I681" t="str">
            <v>4500055625</v>
          </cell>
          <cell r="J681" t="str">
            <v>14B2</v>
          </cell>
          <cell r="K681" t="str">
            <v>100736</v>
          </cell>
          <cell r="L681" t="str">
            <v>VVF LTD.</v>
          </cell>
          <cell r="M681" t="str">
            <v>502076</v>
          </cell>
          <cell r="N681" t="str">
            <v>SPLIT FATTY ACID (RESIDUE)</v>
          </cell>
          <cell r="O681" t="str">
            <v>INR</v>
          </cell>
          <cell r="P681" t="str">
            <v/>
          </cell>
          <cell r="Q681" t="str">
            <v/>
          </cell>
          <cell r="R681" t="str">
            <v>010000441974</v>
          </cell>
          <cell r="S681" t="str">
            <v>A</v>
          </cell>
          <cell r="T681" t="str">
            <v>9084016152</v>
          </cell>
          <cell r="U681" t="str">
            <v>P014</v>
          </cell>
          <cell r="V681" t="str">
            <v>2010</v>
          </cell>
          <cell r="W681" t="str">
            <v/>
          </cell>
          <cell r="X681" t="str">
            <v>MT</v>
          </cell>
          <cell r="Y681" t="str">
            <v/>
          </cell>
          <cell r="Z681" t="str">
            <v>VVF</v>
          </cell>
          <cell r="AA681" t="str">
            <v>WE</v>
          </cell>
          <cell r="AB681">
            <v>40417</v>
          </cell>
          <cell r="AC681">
            <v>40417</v>
          </cell>
          <cell r="AD681">
            <v>40410</v>
          </cell>
          <cell r="AE681">
            <v>-800806.09</v>
          </cell>
          <cell r="AF681">
            <v>-16.11</v>
          </cell>
        </row>
        <row r="682">
          <cell r="A682" t="str">
            <v>5000526646</v>
          </cell>
          <cell r="B682" t="str">
            <v>5000522433</v>
          </cell>
          <cell r="C682" t="str">
            <v>450003604201105</v>
          </cell>
          <cell r="D682" t="str">
            <v>MIGO_GR</v>
          </cell>
          <cell r="E682" t="str">
            <v>8900255106/27.8</v>
          </cell>
          <cell r="F682" t="str">
            <v>9200019529</v>
          </cell>
          <cell r="G682" t="str">
            <v>25545</v>
          </cell>
          <cell r="H682" t="str">
            <v>GR / IR Clearing -SemiFinished Goods- Auto</v>
          </cell>
          <cell r="I682" t="str">
            <v>4500036042</v>
          </cell>
          <cell r="J682" t="str">
            <v>03B1</v>
          </cell>
          <cell r="K682" t="str">
            <v>101277</v>
          </cell>
          <cell r="L682" t="str">
            <v>VVF Limited-Sion</v>
          </cell>
          <cell r="M682" t="str">
            <v>501713</v>
          </cell>
          <cell r="N682" t="str">
            <v>T-DISTILLED FATTY ACID - C16C18</v>
          </cell>
          <cell r="O682" t="str">
            <v>INR</v>
          </cell>
          <cell r="P682" t="str">
            <v/>
          </cell>
          <cell r="Q682" t="str">
            <v/>
          </cell>
          <cell r="R682" t="str">
            <v>010000441974</v>
          </cell>
          <cell r="S682" t="str">
            <v>A</v>
          </cell>
          <cell r="T682" t="str">
            <v>9084016152</v>
          </cell>
          <cell r="U682" t="str">
            <v>P003</v>
          </cell>
          <cell r="V682" t="str">
            <v>2010</v>
          </cell>
          <cell r="W682" t="str">
            <v/>
          </cell>
          <cell r="X682" t="str">
            <v>MT</v>
          </cell>
          <cell r="Y682" t="str">
            <v/>
          </cell>
          <cell r="Z682" t="str">
            <v>VVF</v>
          </cell>
          <cell r="AA682" t="str">
            <v>WE</v>
          </cell>
          <cell r="AB682">
            <v>40417</v>
          </cell>
          <cell r="AC682">
            <v>40417</v>
          </cell>
          <cell r="AD682">
            <v>39792</v>
          </cell>
          <cell r="AE682">
            <v>-1.56</v>
          </cell>
          <cell r="AF682">
            <v>16.11</v>
          </cell>
        </row>
        <row r="683">
          <cell r="A683" t="str">
            <v>5000526647</v>
          </cell>
          <cell r="B683" t="str">
            <v>5000522433</v>
          </cell>
          <cell r="C683" t="str">
            <v>450003604201105</v>
          </cell>
          <cell r="D683" t="str">
            <v>MIGO_GR</v>
          </cell>
          <cell r="E683" t="str">
            <v>8900255134/27.8</v>
          </cell>
          <cell r="F683" t="str">
            <v>9200019530</v>
          </cell>
          <cell r="G683" t="str">
            <v>25545</v>
          </cell>
          <cell r="H683" t="str">
            <v>GR / IR Clearing -SemiFinished Goods- Auto</v>
          </cell>
          <cell r="I683" t="str">
            <v>4500036042</v>
          </cell>
          <cell r="J683" t="str">
            <v>03B1</v>
          </cell>
          <cell r="K683" t="str">
            <v>101277</v>
          </cell>
          <cell r="L683" t="str">
            <v>VVF Limited-Sion</v>
          </cell>
          <cell r="M683" t="str">
            <v>501713</v>
          </cell>
          <cell r="N683" t="str">
            <v>T-DISTILLED FATTY ACID - C16C18</v>
          </cell>
          <cell r="O683" t="str">
            <v>INR</v>
          </cell>
          <cell r="P683" t="str">
            <v/>
          </cell>
          <cell r="Q683" t="str">
            <v/>
          </cell>
          <cell r="R683" t="str">
            <v>010000441974</v>
          </cell>
          <cell r="S683" t="str">
            <v>A</v>
          </cell>
          <cell r="T683" t="str">
            <v>9084016152</v>
          </cell>
          <cell r="U683" t="str">
            <v>P003</v>
          </cell>
          <cell r="V683" t="str">
            <v>2010</v>
          </cell>
          <cell r="W683" t="str">
            <v/>
          </cell>
          <cell r="X683" t="str">
            <v>MT</v>
          </cell>
          <cell r="Y683" t="str">
            <v/>
          </cell>
          <cell r="Z683" t="str">
            <v>VVF</v>
          </cell>
          <cell r="AA683" t="str">
            <v>WE</v>
          </cell>
          <cell r="AB683">
            <v>40417</v>
          </cell>
          <cell r="AC683">
            <v>40417</v>
          </cell>
          <cell r="AD683">
            <v>39792</v>
          </cell>
          <cell r="AE683">
            <v>-1.55</v>
          </cell>
          <cell r="AF683">
            <v>-16.11</v>
          </cell>
        </row>
        <row r="684">
          <cell r="A684" t="str">
            <v>5000526648</v>
          </cell>
          <cell r="B684" t="str">
            <v>5000522433</v>
          </cell>
          <cell r="C684" t="str">
            <v>450005514200010</v>
          </cell>
          <cell r="D684" t="str">
            <v>MIGO_GR</v>
          </cell>
          <cell r="E684" t="str">
            <v>8103001/25.08.10</v>
          </cell>
          <cell r="F684" t="str">
            <v>9200019531</v>
          </cell>
          <cell r="G684" t="str">
            <v>25545</v>
          </cell>
          <cell r="H684" t="str">
            <v>GR / IR Clearing -SemiFinished Goods- Auto</v>
          </cell>
          <cell r="I684" t="str">
            <v>4500055142</v>
          </cell>
          <cell r="J684" t="str">
            <v>03B1</v>
          </cell>
          <cell r="K684" t="str">
            <v>100736</v>
          </cell>
          <cell r="L684" t="str">
            <v>VVF LTD.</v>
          </cell>
          <cell r="M684" t="str">
            <v>501277</v>
          </cell>
          <cell r="N684" t="str">
            <v>Split Fatty Acid C8-C18</v>
          </cell>
          <cell r="O684" t="str">
            <v>INR</v>
          </cell>
          <cell r="P684" t="str">
            <v/>
          </cell>
          <cell r="Q684" t="str">
            <v/>
          </cell>
          <cell r="R684" t="str">
            <v>010000441974</v>
          </cell>
          <cell r="S684" t="str">
            <v>A</v>
          </cell>
          <cell r="T684" t="str">
            <v>9084010671</v>
          </cell>
          <cell r="U684" t="str">
            <v>P003</v>
          </cell>
          <cell r="V684" t="str">
            <v>2010</v>
          </cell>
          <cell r="W684" t="str">
            <v/>
          </cell>
          <cell r="X684" t="str">
            <v>MT</v>
          </cell>
          <cell r="Y684" t="str">
            <v/>
          </cell>
          <cell r="Z684" t="str">
            <v>VVF</v>
          </cell>
          <cell r="AA684" t="str">
            <v>WE</v>
          </cell>
          <cell r="AB684">
            <v>40417</v>
          </cell>
          <cell r="AC684">
            <v>40417</v>
          </cell>
          <cell r="AD684">
            <v>40395</v>
          </cell>
          <cell r="AE684">
            <v>-999600</v>
          </cell>
          <cell r="AF684">
            <v>16.11</v>
          </cell>
        </row>
        <row r="685">
          <cell r="A685" t="str">
            <v>5000526674</v>
          </cell>
          <cell r="B685" t="str">
            <v>5000524393</v>
          </cell>
          <cell r="C685" t="str">
            <v>450005514200010</v>
          </cell>
          <cell r="D685" t="str">
            <v>MIGO_GR</v>
          </cell>
          <cell r="E685" t="str">
            <v>8102982/25.08.10</v>
          </cell>
          <cell r="F685" t="str">
            <v>9200019532</v>
          </cell>
          <cell r="G685" t="str">
            <v>25545</v>
          </cell>
          <cell r="H685" t="str">
            <v>GR / IR Clearing -SemiFinished Goods- Auto</v>
          </cell>
          <cell r="I685" t="str">
            <v>4500055142</v>
          </cell>
          <cell r="J685" t="str">
            <v>03B1</v>
          </cell>
          <cell r="K685" t="str">
            <v>100736</v>
          </cell>
          <cell r="L685" t="str">
            <v>VVF LTD.</v>
          </cell>
          <cell r="M685" t="str">
            <v>501277</v>
          </cell>
          <cell r="N685" t="str">
            <v>Split Fatty Acid C8-C18</v>
          </cell>
          <cell r="O685" t="str">
            <v>INR</v>
          </cell>
          <cell r="P685" t="str">
            <v/>
          </cell>
          <cell r="Q685" t="str">
            <v/>
          </cell>
          <cell r="R685" t="str">
            <v>010000441974</v>
          </cell>
          <cell r="S685" t="str">
            <v>A</v>
          </cell>
          <cell r="T685" t="str">
            <v>9084013379</v>
          </cell>
          <cell r="U685" t="str">
            <v>P003</v>
          </cell>
          <cell r="V685" t="str">
            <v>2010</v>
          </cell>
          <cell r="W685" t="str">
            <v/>
          </cell>
          <cell r="X685" t="str">
            <v>MT</v>
          </cell>
          <cell r="Y685" t="str">
            <v/>
          </cell>
          <cell r="Z685" t="str">
            <v>VVF</v>
          </cell>
          <cell r="AA685" t="str">
            <v>WE</v>
          </cell>
          <cell r="AB685">
            <v>40417</v>
          </cell>
          <cell r="AC685">
            <v>40418</v>
          </cell>
          <cell r="AD685">
            <v>40395</v>
          </cell>
          <cell r="AE685">
            <v>-1267200</v>
          </cell>
          <cell r="AF685">
            <v>-24.3</v>
          </cell>
        </row>
        <row r="686">
          <cell r="A686" t="str">
            <v>5000526694</v>
          </cell>
          <cell r="B686" t="str">
            <v>5000524393</v>
          </cell>
          <cell r="C686" t="str">
            <v>450005514200020</v>
          </cell>
          <cell r="D686" t="str">
            <v>MIGO_GR</v>
          </cell>
          <cell r="E686" t="str">
            <v>8102963/23.08.10</v>
          </cell>
          <cell r="F686" t="str">
            <v>9200019536</v>
          </cell>
          <cell r="G686" t="str">
            <v>25545</v>
          </cell>
          <cell r="H686" t="str">
            <v>GR / IR Clearing -SemiFinished Goods- Auto</v>
          </cell>
          <cell r="I686" t="str">
            <v>4500055142</v>
          </cell>
          <cell r="J686" t="str">
            <v>03B1</v>
          </cell>
          <cell r="K686" t="str">
            <v>100736</v>
          </cell>
          <cell r="L686" t="str">
            <v>VVF LTD.</v>
          </cell>
          <cell r="M686" t="str">
            <v>501277</v>
          </cell>
          <cell r="N686" t="str">
            <v>Split Fatty Acid C8-C18</v>
          </cell>
          <cell r="O686" t="str">
            <v>INR</v>
          </cell>
          <cell r="P686" t="str">
            <v/>
          </cell>
          <cell r="Q686" t="str">
            <v/>
          </cell>
          <cell r="R686" t="str">
            <v>010000441974</v>
          </cell>
          <cell r="S686" t="str">
            <v>A</v>
          </cell>
          <cell r="T686" t="str">
            <v>9084013375</v>
          </cell>
          <cell r="U686" t="str">
            <v>P003</v>
          </cell>
          <cell r="V686" t="str">
            <v>2010</v>
          </cell>
          <cell r="W686" t="str">
            <v/>
          </cell>
          <cell r="X686" t="str">
            <v>MT</v>
          </cell>
          <cell r="Y686" t="str">
            <v/>
          </cell>
          <cell r="Z686" t="str">
            <v>VVF</v>
          </cell>
          <cell r="AA686" t="str">
            <v>WE</v>
          </cell>
          <cell r="AB686">
            <v>40418</v>
          </cell>
          <cell r="AC686">
            <v>40418</v>
          </cell>
          <cell r="AD686">
            <v>40395</v>
          </cell>
          <cell r="AE686">
            <v>-951600</v>
          </cell>
          <cell r="AF686">
            <v>-24.3</v>
          </cell>
        </row>
        <row r="687">
          <cell r="A687" t="str">
            <v>5000526695</v>
          </cell>
          <cell r="B687" t="str">
            <v>5000524393</v>
          </cell>
          <cell r="C687" t="str">
            <v>450005514200020</v>
          </cell>
          <cell r="D687" t="str">
            <v>MIGO_GR</v>
          </cell>
          <cell r="E687" t="str">
            <v>8102980/25.08.10</v>
          </cell>
          <cell r="F687" t="str">
            <v>9200019537</v>
          </cell>
          <cell r="G687" t="str">
            <v>25545</v>
          </cell>
          <cell r="H687" t="str">
            <v>GR / IR Clearing -SemiFinished Goods- Auto</v>
          </cell>
          <cell r="I687" t="str">
            <v>4500055142</v>
          </cell>
          <cell r="J687" t="str">
            <v>03B1</v>
          </cell>
          <cell r="K687" t="str">
            <v>100736</v>
          </cell>
          <cell r="L687" t="str">
            <v>VVF LTD.</v>
          </cell>
          <cell r="M687" t="str">
            <v>501277</v>
          </cell>
          <cell r="N687" t="str">
            <v>Split Fatty Acid C8-C18</v>
          </cell>
          <cell r="O687" t="str">
            <v>INR</v>
          </cell>
          <cell r="P687" t="str">
            <v/>
          </cell>
          <cell r="Q687" t="str">
            <v/>
          </cell>
          <cell r="R687" t="str">
            <v>010000441974</v>
          </cell>
          <cell r="S687" t="str">
            <v>A</v>
          </cell>
          <cell r="T687" t="str">
            <v>9084015716</v>
          </cell>
          <cell r="U687" t="str">
            <v>P003</v>
          </cell>
          <cell r="V687" t="str">
            <v>2010</v>
          </cell>
          <cell r="W687" t="str">
            <v/>
          </cell>
          <cell r="X687" t="str">
            <v>MT</v>
          </cell>
          <cell r="Y687" t="str">
            <v/>
          </cell>
          <cell r="Z687" t="str">
            <v>VVF</v>
          </cell>
          <cell r="AA687" t="str">
            <v>WE</v>
          </cell>
          <cell r="AB687">
            <v>40418</v>
          </cell>
          <cell r="AC687">
            <v>40418</v>
          </cell>
          <cell r="AD687">
            <v>40395</v>
          </cell>
          <cell r="AE687">
            <v>-947400</v>
          </cell>
          <cell r="AF687">
            <v>-24.3</v>
          </cell>
        </row>
        <row r="688">
          <cell r="A688" t="str">
            <v>5000526698</v>
          </cell>
          <cell r="B688" t="str">
            <v>5000524393</v>
          </cell>
          <cell r="C688" t="str">
            <v>450005514200020</v>
          </cell>
          <cell r="D688" t="str">
            <v>MIGO_GR</v>
          </cell>
          <cell r="E688" t="str">
            <v>8103009/25.08.10</v>
          </cell>
          <cell r="F688" t="str">
            <v>9200019538</v>
          </cell>
          <cell r="G688" t="str">
            <v>25545</v>
          </cell>
          <cell r="H688" t="str">
            <v>GR / IR Clearing -SemiFinished Goods- Auto</v>
          </cell>
          <cell r="I688" t="str">
            <v>4500055142</v>
          </cell>
          <cell r="J688" t="str">
            <v>03B1</v>
          </cell>
          <cell r="K688" t="str">
            <v>100736</v>
          </cell>
          <cell r="L688" t="str">
            <v>VVF LTD.</v>
          </cell>
          <cell r="M688" t="str">
            <v>501277</v>
          </cell>
          <cell r="N688" t="str">
            <v>Split Fatty Acid C8-C18</v>
          </cell>
          <cell r="O688" t="str">
            <v>INR</v>
          </cell>
          <cell r="P688" t="str">
            <v/>
          </cell>
          <cell r="Q688" t="str">
            <v/>
          </cell>
          <cell r="R688" t="str">
            <v>010000441974</v>
          </cell>
          <cell r="S688" t="str">
            <v>A</v>
          </cell>
          <cell r="T688" t="str">
            <v>9084013371</v>
          </cell>
          <cell r="U688" t="str">
            <v>P003</v>
          </cell>
          <cell r="V688" t="str">
            <v>2010</v>
          </cell>
          <cell r="W688" t="str">
            <v/>
          </cell>
          <cell r="X688" t="str">
            <v>MT</v>
          </cell>
          <cell r="Y688" t="str">
            <v/>
          </cell>
          <cell r="Z688" t="str">
            <v>VVF</v>
          </cell>
          <cell r="AA688" t="str">
            <v>WE</v>
          </cell>
          <cell r="AB688">
            <v>40418</v>
          </cell>
          <cell r="AC688">
            <v>40418</v>
          </cell>
          <cell r="AD688">
            <v>40395</v>
          </cell>
          <cell r="AE688">
            <v>-1162800</v>
          </cell>
          <cell r="AF688">
            <v>-24.3</v>
          </cell>
        </row>
        <row r="689">
          <cell r="A689" t="str">
            <v>5000526737</v>
          </cell>
          <cell r="B689" t="str">
            <v>5000524393</v>
          </cell>
          <cell r="C689" t="str">
            <v>450005522800040</v>
          </cell>
          <cell r="D689" t="str">
            <v>MIGO_GR</v>
          </cell>
          <cell r="E689" t="str">
            <v>133/131-27.08.10</v>
          </cell>
          <cell r="F689" t="str">
            <v>9200019553</v>
          </cell>
          <cell r="G689" t="str">
            <v>25545</v>
          </cell>
          <cell r="H689" t="str">
            <v>GR / IR Clearing -SemiFinished Goods- Auto</v>
          </cell>
          <cell r="I689" t="str">
            <v>4500055228</v>
          </cell>
          <cell r="J689" t="str">
            <v>11B2</v>
          </cell>
          <cell r="K689" t="str">
            <v>100736</v>
          </cell>
          <cell r="L689" t="str">
            <v>VVF LTD.</v>
          </cell>
          <cell r="M689" t="str">
            <v>502285</v>
          </cell>
          <cell r="N689" t="str">
            <v>SPLIT FATTY ACID (RBD PALM STEARINE)</v>
          </cell>
          <cell r="O689" t="str">
            <v>INR</v>
          </cell>
          <cell r="P689" t="str">
            <v/>
          </cell>
          <cell r="Q689" t="str">
            <v/>
          </cell>
          <cell r="R689" t="str">
            <v>010000441974</v>
          </cell>
          <cell r="S689" t="str">
            <v>A</v>
          </cell>
          <cell r="T689" t="str">
            <v>9084013371</v>
          </cell>
          <cell r="U689" t="str">
            <v>P011</v>
          </cell>
          <cell r="V689" t="str">
            <v>2010</v>
          </cell>
          <cell r="W689" t="str">
            <v/>
          </cell>
          <cell r="X689" t="str">
            <v>MT</v>
          </cell>
          <cell r="Y689" t="str">
            <v/>
          </cell>
          <cell r="Z689" t="str">
            <v>VVF</v>
          </cell>
          <cell r="AA689" t="str">
            <v>WE</v>
          </cell>
          <cell r="AB689">
            <v>40417</v>
          </cell>
          <cell r="AC689">
            <v>40417</v>
          </cell>
          <cell r="AD689">
            <v>40396</v>
          </cell>
          <cell r="AE689">
            <v>-26985</v>
          </cell>
          <cell r="AF689">
            <v>24.3</v>
          </cell>
        </row>
        <row r="690">
          <cell r="A690" t="str">
            <v>5000526740</v>
          </cell>
          <cell r="B690" t="str">
            <v>5000524393</v>
          </cell>
          <cell r="C690" t="str">
            <v>450005522800040</v>
          </cell>
          <cell r="D690" t="str">
            <v>MIGO_GR</v>
          </cell>
          <cell r="E690" t="str">
            <v>134/136/27.08.10</v>
          </cell>
          <cell r="F690" t="str">
            <v>9200019554</v>
          </cell>
          <cell r="G690" t="str">
            <v>25545</v>
          </cell>
          <cell r="H690" t="str">
            <v>GR / IR Clearing -SemiFinished Goods- Auto</v>
          </cell>
          <cell r="I690" t="str">
            <v>4500055228</v>
          </cell>
          <cell r="J690" t="str">
            <v>11B2</v>
          </cell>
          <cell r="K690" t="str">
            <v>100736</v>
          </cell>
          <cell r="L690" t="str">
            <v>VVF LTD.</v>
          </cell>
          <cell r="M690" t="str">
            <v>502285</v>
          </cell>
          <cell r="N690" t="str">
            <v>SPLIT FATTY ACID (RBD PALM STEARINE)</v>
          </cell>
          <cell r="O690" t="str">
            <v>INR</v>
          </cell>
          <cell r="P690" t="str">
            <v/>
          </cell>
          <cell r="Q690" t="str">
            <v/>
          </cell>
          <cell r="R690" t="str">
            <v>010000441974</v>
          </cell>
          <cell r="S690" t="str">
            <v>A</v>
          </cell>
          <cell r="T690" t="str">
            <v>9084013371</v>
          </cell>
          <cell r="U690" t="str">
            <v>P011</v>
          </cell>
          <cell r="V690" t="str">
            <v>2010</v>
          </cell>
          <cell r="W690" t="str">
            <v/>
          </cell>
          <cell r="X690" t="str">
            <v>MT</v>
          </cell>
          <cell r="Y690" t="str">
            <v/>
          </cell>
          <cell r="Z690" t="str">
            <v>VVF</v>
          </cell>
          <cell r="AA690" t="str">
            <v>WE</v>
          </cell>
          <cell r="AB690">
            <v>40417</v>
          </cell>
          <cell r="AC690">
            <v>40417</v>
          </cell>
          <cell r="AD690">
            <v>40396</v>
          </cell>
          <cell r="AE690">
            <v>-28170</v>
          </cell>
          <cell r="AF690">
            <v>-24.3</v>
          </cell>
        </row>
        <row r="691">
          <cell r="A691" t="str">
            <v>5000526775</v>
          </cell>
          <cell r="B691" t="str">
            <v>5000524393</v>
          </cell>
          <cell r="C691" t="str">
            <v>450005514200010</v>
          </cell>
          <cell r="D691" t="str">
            <v>MIGO_GR</v>
          </cell>
          <cell r="E691" t="str">
            <v>8103021/25.08.10</v>
          </cell>
          <cell r="F691" t="str">
            <v>9200019586</v>
          </cell>
          <cell r="G691" t="str">
            <v>25545</v>
          </cell>
          <cell r="H691" t="str">
            <v>GR / IR Clearing -SemiFinished Goods- Auto</v>
          </cell>
          <cell r="I691" t="str">
            <v>4500055142</v>
          </cell>
          <cell r="J691" t="str">
            <v>03B1</v>
          </cell>
          <cell r="K691" t="str">
            <v>100736</v>
          </cell>
          <cell r="L691" t="str">
            <v>VVF LTD.</v>
          </cell>
          <cell r="M691" t="str">
            <v>501277</v>
          </cell>
          <cell r="N691" t="str">
            <v>Split Fatty Acid C8-C18</v>
          </cell>
          <cell r="O691" t="str">
            <v>INR</v>
          </cell>
          <cell r="P691" t="str">
            <v/>
          </cell>
          <cell r="Q691" t="str">
            <v/>
          </cell>
          <cell r="R691" t="str">
            <v>010000441974</v>
          </cell>
          <cell r="S691" t="str">
            <v>A</v>
          </cell>
          <cell r="T691" t="str">
            <v>9084022425</v>
          </cell>
          <cell r="U691" t="str">
            <v>P003</v>
          </cell>
          <cell r="V691" t="str">
            <v>2010</v>
          </cell>
          <cell r="W691" t="str">
            <v/>
          </cell>
          <cell r="X691" t="str">
            <v>MT</v>
          </cell>
          <cell r="Y691" t="str">
            <v/>
          </cell>
          <cell r="Z691" t="str">
            <v>VVF</v>
          </cell>
          <cell r="AA691" t="str">
            <v>WE</v>
          </cell>
          <cell r="AB691">
            <v>40418</v>
          </cell>
          <cell r="AC691">
            <v>40418</v>
          </cell>
          <cell r="AD691">
            <v>40395</v>
          </cell>
          <cell r="AE691">
            <v>-1435200</v>
          </cell>
          <cell r="AF691">
            <v>-24.3</v>
          </cell>
        </row>
        <row r="692">
          <cell r="A692" t="str">
            <v>5000526779</v>
          </cell>
          <cell r="B692" t="str">
            <v>5000524393</v>
          </cell>
          <cell r="C692" t="str">
            <v>450005559800010</v>
          </cell>
          <cell r="D692" t="str">
            <v>MIGO_GR</v>
          </cell>
          <cell r="E692" t="str">
            <v>311005804</v>
          </cell>
          <cell r="F692" t="str">
            <v>9200019589</v>
          </cell>
          <cell r="G692" t="str">
            <v>25545</v>
          </cell>
          <cell r="H692" t="str">
            <v>GR / IR Clearing -SemiFinished Goods- Auto</v>
          </cell>
          <cell r="I692" t="str">
            <v>4500055598</v>
          </cell>
          <cell r="J692" t="str">
            <v>16B2</v>
          </cell>
          <cell r="K692" t="str">
            <v>VVF-TALOJA</v>
          </cell>
          <cell r="L692" t="str">
            <v>VVF LIMITED - TALOJA</v>
          </cell>
          <cell r="M692" t="str">
            <v>500636</v>
          </cell>
          <cell r="N692" t="str">
            <v>SOAP NOODLES</v>
          </cell>
          <cell r="O692" t="str">
            <v>INR</v>
          </cell>
          <cell r="P692" t="str">
            <v/>
          </cell>
          <cell r="Q692" t="str">
            <v/>
          </cell>
          <cell r="R692" t="str">
            <v>010000441974</v>
          </cell>
          <cell r="S692" t="str">
            <v>A</v>
          </cell>
          <cell r="T692" t="str">
            <v>9084016174</v>
          </cell>
          <cell r="U692" t="str">
            <v>P016</v>
          </cell>
          <cell r="V692" t="str">
            <v>2010</v>
          </cell>
          <cell r="W692" t="str">
            <v/>
          </cell>
          <cell r="X692" t="str">
            <v>MT</v>
          </cell>
          <cell r="Y692" t="str">
            <v/>
          </cell>
          <cell r="Z692" t="str">
            <v>VVF</v>
          </cell>
          <cell r="AA692" t="str">
            <v>WE</v>
          </cell>
          <cell r="AB692">
            <v>40418</v>
          </cell>
          <cell r="AC692">
            <v>40418</v>
          </cell>
          <cell r="AD692">
            <v>40409</v>
          </cell>
          <cell r="AE692">
            <v>-616000</v>
          </cell>
          <cell r="AF692">
            <v>24.3</v>
          </cell>
        </row>
        <row r="693">
          <cell r="A693" t="str">
            <v>5000526818</v>
          </cell>
          <cell r="B693" t="str">
            <v>5000516860</v>
          </cell>
          <cell r="C693" t="str">
            <v>450003604201105</v>
          </cell>
          <cell r="D693" t="str">
            <v>MIGO_GR</v>
          </cell>
          <cell r="E693" t="str">
            <v>8900255061/26.8</v>
          </cell>
          <cell r="F693" t="str">
            <v>9200019592</v>
          </cell>
          <cell r="G693" t="str">
            <v>25545</v>
          </cell>
          <cell r="H693" t="str">
            <v>GR / IR Clearing -SemiFinished Goods- Auto</v>
          </cell>
          <cell r="I693" t="str">
            <v>4500036042</v>
          </cell>
          <cell r="J693" t="str">
            <v>03B1</v>
          </cell>
          <cell r="K693" t="str">
            <v>101277</v>
          </cell>
          <cell r="L693" t="str">
            <v>VVF Limited-Sion</v>
          </cell>
          <cell r="M693" t="str">
            <v>501713</v>
          </cell>
          <cell r="N693" t="str">
            <v>T-DISTILLED FATTY ACID - C16C18</v>
          </cell>
          <cell r="O693" t="str">
            <v>INR</v>
          </cell>
          <cell r="P693" t="str">
            <v/>
          </cell>
          <cell r="Q693" t="str">
            <v/>
          </cell>
          <cell r="R693" t="str">
            <v>010000441974</v>
          </cell>
          <cell r="S693" t="str">
            <v>A</v>
          </cell>
          <cell r="T693" t="str">
            <v>9084016174</v>
          </cell>
          <cell r="U693" t="str">
            <v>P003</v>
          </cell>
          <cell r="V693" t="str">
            <v>2010</v>
          </cell>
          <cell r="W693" t="str">
            <v/>
          </cell>
          <cell r="X693" t="str">
            <v>MT</v>
          </cell>
          <cell r="Y693" t="str">
            <v/>
          </cell>
          <cell r="Z693" t="str">
            <v>VVF</v>
          </cell>
          <cell r="AA693" t="str">
            <v>WE</v>
          </cell>
          <cell r="AB693">
            <v>40417</v>
          </cell>
          <cell r="AC693">
            <v>40418</v>
          </cell>
          <cell r="AD693">
            <v>39792</v>
          </cell>
          <cell r="AE693">
            <v>-1.98</v>
          </cell>
          <cell r="AF693">
            <v>-15.99</v>
          </cell>
        </row>
        <row r="694">
          <cell r="A694" t="str">
            <v>5000526822</v>
          </cell>
          <cell r="B694" t="str">
            <v>5000524393</v>
          </cell>
          <cell r="C694" t="str">
            <v>450005514200020</v>
          </cell>
          <cell r="D694" t="str">
            <v>MIGO_GR</v>
          </cell>
          <cell r="E694" t="str">
            <v>8103025/26.08.10</v>
          </cell>
          <cell r="F694" t="str">
            <v>9200019594</v>
          </cell>
          <cell r="G694" t="str">
            <v>25545</v>
          </cell>
          <cell r="H694" t="str">
            <v>GR / IR Clearing -SemiFinished Goods- Auto</v>
          </cell>
          <cell r="I694" t="str">
            <v>4500055142</v>
          </cell>
          <cell r="J694" t="str">
            <v>03B1</v>
          </cell>
          <cell r="K694" t="str">
            <v>100736</v>
          </cell>
          <cell r="L694" t="str">
            <v>VVF LTD.</v>
          </cell>
          <cell r="M694" t="str">
            <v>501277</v>
          </cell>
          <cell r="N694" t="str">
            <v>Split Fatty Acid C8-C18</v>
          </cell>
          <cell r="O694" t="str">
            <v>INR</v>
          </cell>
          <cell r="P694" t="str">
            <v/>
          </cell>
          <cell r="Q694" t="str">
            <v/>
          </cell>
          <cell r="R694" t="str">
            <v>010000441974</v>
          </cell>
          <cell r="S694" t="str">
            <v>A</v>
          </cell>
          <cell r="T694" t="str">
            <v>9084019489</v>
          </cell>
          <cell r="U694" t="str">
            <v>P003</v>
          </cell>
          <cell r="V694" t="str">
            <v>2010</v>
          </cell>
          <cell r="W694" t="str">
            <v/>
          </cell>
          <cell r="X694" t="str">
            <v>MT</v>
          </cell>
          <cell r="Y694" t="str">
            <v/>
          </cell>
          <cell r="Z694" t="str">
            <v>VVF</v>
          </cell>
          <cell r="AA694" t="str">
            <v>WE</v>
          </cell>
          <cell r="AB694">
            <v>40418</v>
          </cell>
          <cell r="AC694">
            <v>40418</v>
          </cell>
          <cell r="AD694">
            <v>40395</v>
          </cell>
          <cell r="AE694">
            <v>-1456200</v>
          </cell>
          <cell r="AF694">
            <v>-24.3</v>
          </cell>
        </row>
        <row r="695">
          <cell r="A695" t="str">
            <v>5000526908</v>
          </cell>
          <cell r="B695" t="str">
            <v>5000524393</v>
          </cell>
          <cell r="C695" t="str">
            <v>450005514200020</v>
          </cell>
          <cell r="D695" t="str">
            <v>MIGO_GR</v>
          </cell>
          <cell r="E695" t="str">
            <v>8103004/25.08.10</v>
          </cell>
          <cell r="F695" t="str">
            <v>9200019622</v>
          </cell>
          <cell r="G695" t="str">
            <v>25545</v>
          </cell>
          <cell r="H695" t="str">
            <v>GR / IR Clearing -SemiFinished Goods- Auto</v>
          </cell>
          <cell r="I695" t="str">
            <v>4500055142</v>
          </cell>
          <cell r="J695" t="str">
            <v>03B1</v>
          </cell>
          <cell r="K695" t="str">
            <v>100736</v>
          </cell>
          <cell r="L695" t="str">
            <v>VVF LTD.</v>
          </cell>
          <cell r="M695" t="str">
            <v>501277</v>
          </cell>
          <cell r="N695" t="str">
            <v>Split Fatty Acid C8-C18</v>
          </cell>
          <cell r="O695" t="str">
            <v>INR</v>
          </cell>
          <cell r="P695" t="str">
            <v/>
          </cell>
          <cell r="Q695" t="str">
            <v/>
          </cell>
          <cell r="R695" t="str">
            <v>010000441974</v>
          </cell>
          <cell r="S695" t="str">
            <v>A</v>
          </cell>
          <cell r="T695" t="str">
            <v>9084019489</v>
          </cell>
          <cell r="U695" t="str">
            <v>P003</v>
          </cell>
          <cell r="V695" t="str">
            <v>2010</v>
          </cell>
          <cell r="W695" t="str">
            <v/>
          </cell>
          <cell r="X695" t="str">
            <v>MT</v>
          </cell>
          <cell r="Y695" t="str">
            <v/>
          </cell>
          <cell r="Z695" t="str">
            <v>VVF</v>
          </cell>
          <cell r="AA695" t="str">
            <v>WE</v>
          </cell>
          <cell r="AB695">
            <v>40418</v>
          </cell>
          <cell r="AC695">
            <v>40418</v>
          </cell>
          <cell r="AD695">
            <v>40395</v>
          </cell>
          <cell r="AE695">
            <v>-1461000</v>
          </cell>
          <cell r="AF695">
            <v>-24.3</v>
          </cell>
        </row>
        <row r="696">
          <cell r="A696" t="str">
            <v>5000526910</v>
          </cell>
          <cell r="B696" t="str">
            <v>5000516860</v>
          </cell>
          <cell r="C696" t="str">
            <v>450003604201106</v>
          </cell>
          <cell r="D696" t="str">
            <v>MIGO_GR</v>
          </cell>
          <cell r="E696" t="str">
            <v>8900255199</v>
          </cell>
          <cell r="F696" t="str">
            <v>9200019624</v>
          </cell>
          <cell r="G696" t="str">
            <v>25545</v>
          </cell>
          <cell r="H696" t="str">
            <v>GR / IR Clearing -SemiFinished Goods- Auto</v>
          </cell>
          <cell r="I696" t="str">
            <v>4500036042</v>
          </cell>
          <cell r="J696" t="str">
            <v>03B1</v>
          </cell>
          <cell r="K696" t="str">
            <v>101277</v>
          </cell>
          <cell r="L696" t="str">
            <v>VVF Limited-Sion</v>
          </cell>
          <cell r="M696" t="str">
            <v>501713</v>
          </cell>
          <cell r="N696" t="str">
            <v>T-DISTILLED FATTY ACID - C16C18</v>
          </cell>
          <cell r="O696" t="str">
            <v>INR</v>
          </cell>
          <cell r="P696" t="str">
            <v/>
          </cell>
          <cell r="Q696" t="str">
            <v/>
          </cell>
          <cell r="R696" t="str">
            <v>010000441974</v>
          </cell>
          <cell r="S696" t="str">
            <v>A</v>
          </cell>
          <cell r="T696" t="str">
            <v>9084019489</v>
          </cell>
          <cell r="U696" t="str">
            <v>P003</v>
          </cell>
          <cell r="V696" t="str">
            <v>2010</v>
          </cell>
          <cell r="W696" t="str">
            <v/>
          </cell>
          <cell r="X696" t="str">
            <v>MT</v>
          </cell>
          <cell r="Y696" t="str">
            <v/>
          </cell>
          <cell r="Z696" t="str">
            <v>VVF</v>
          </cell>
          <cell r="AA696" t="str">
            <v>WE</v>
          </cell>
          <cell r="AB696">
            <v>40418</v>
          </cell>
          <cell r="AC696">
            <v>40418</v>
          </cell>
          <cell r="AD696">
            <v>39792</v>
          </cell>
          <cell r="AE696">
            <v>-2.21</v>
          </cell>
          <cell r="AF696">
            <v>-15.99</v>
          </cell>
        </row>
        <row r="697">
          <cell r="A697" t="str">
            <v>5000526915</v>
          </cell>
          <cell r="B697" t="str">
            <v>5000524393</v>
          </cell>
          <cell r="C697" t="str">
            <v>450005514200020</v>
          </cell>
          <cell r="D697" t="str">
            <v>MIGO_GR</v>
          </cell>
          <cell r="E697" t="str">
            <v>8103014/25.08.10</v>
          </cell>
          <cell r="F697" t="str">
            <v>9200019627</v>
          </cell>
          <cell r="G697" t="str">
            <v>25545</v>
          </cell>
          <cell r="H697" t="str">
            <v>GR / IR Clearing -SemiFinished Goods- Auto</v>
          </cell>
          <cell r="I697" t="str">
            <v>4500055142</v>
          </cell>
          <cell r="J697" t="str">
            <v>03B1</v>
          </cell>
          <cell r="K697" t="str">
            <v>100736</v>
          </cell>
          <cell r="L697" t="str">
            <v>VVF LTD.</v>
          </cell>
          <cell r="M697" t="str">
            <v>501277</v>
          </cell>
          <cell r="N697" t="str">
            <v>Split Fatty Acid C8-C18</v>
          </cell>
          <cell r="O697" t="str">
            <v>INR</v>
          </cell>
          <cell r="P697" t="str">
            <v/>
          </cell>
          <cell r="Q697" t="str">
            <v/>
          </cell>
          <cell r="R697" t="str">
            <v>010000441974</v>
          </cell>
          <cell r="S697" t="str">
            <v>A</v>
          </cell>
          <cell r="T697" t="str">
            <v>9084019058</v>
          </cell>
          <cell r="U697" t="str">
            <v>P003</v>
          </cell>
          <cell r="V697" t="str">
            <v>2010</v>
          </cell>
          <cell r="W697" t="str">
            <v/>
          </cell>
          <cell r="X697" t="str">
            <v>MT</v>
          </cell>
          <cell r="Y697" t="str">
            <v/>
          </cell>
          <cell r="Z697" t="str">
            <v>VVF</v>
          </cell>
          <cell r="AA697" t="str">
            <v>WE</v>
          </cell>
          <cell r="AB697">
            <v>40418</v>
          </cell>
          <cell r="AC697">
            <v>40418</v>
          </cell>
          <cell r="AD697">
            <v>40395</v>
          </cell>
          <cell r="AE697">
            <v>-1200000</v>
          </cell>
          <cell r="AF697">
            <v>-24.3</v>
          </cell>
        </row>
        <row r="698">
          <cell r="A698" t="str">
            <v>5000526916</v>
          </cell>
          <cell r="B698" t="str">
            <v>5000524393</v>
          </cell>
          <cell r="C698" t="str">
            <v>450005514200010</v>
          </cell>
          <cell r="D698" t="str">
            <v>MIGO_GR</v>
          </cell>
          <cell r="E698" t="str">
            <v>8103000/25.08.10</v>
          </cell>
          <cell r="F698" t="str">
            <v>9200019628</v>
          </cell>
          <cell r="G698" t="str">
            <v>25545</v>
          </cell>
          <cell r="H698" t="str">
            <v>GR / IR Clearing -SemiFinished Goods- Auto</v>
          </cell>
          <cell r="I698" t="str">
            <v>4500055142</v>
          </cell>
          <cell r="J698" t="str">
            <v>03B1</v>
          </cell>
          <cell r="K698" t="str">
            <v>100736</v>
          </cell>
          <cell r="L698" t="str">
            <v>VVF LTD.</v>
          </cell>
          <cell r="M698" t="str">
            <v>501277</v>
          </cell>
          <cell r="N698" t="str">
            <v>Split Fatty Acid C8-C18</v>
          </cell>
          <cell r="O698" t="str">
            <v>INR</v>
          </cell>
          <cell r="P698" t="str">
            <v/>
          </cell>
          <cell r="Q698" t="str">
            <v/>
          </cell>
          <cell r="R698" t="str">
            <v>010000441974</v>
          </cell>
          <cell r="S698" t="str">
            <v>A</v>
          </cell>
          <cell r="T698" t="str">
            <v>9084015754</v>
          </cell>
          <cell r="U698" t="str">
            <v>P003</v>
          </cell>
          <cell r="V698" t="str">
            <v>2010</v>
          </cell>
          <cell r="W698" t="str">
            <v/>
          </cell>
          <cell r="X698" t="str">
            <v>MT</v>
          </cell>
          <cell r="Y698" t="str">
            <v/>
          </cell>
          <cell r="Z698" t="str">
            <v>VVF</v>
          </cell>
          <cell r="AA698" t="str">
            <v>WE</v>
          </cell>
          <cell r="AB698">
            <v>40418</v>
          </cell>
          <cell r="AC698">
            <v>40418</v>
          </cell>
          <cell r="AD698">
            <v>40395</v>
          </cell>
          <cell r="AE698">
            <v>-1459200</v>
          </cell>
          <cell r="AF698">
            <v>-24.3</v>
          </cell>
        </row>
        <row r="699">
          <cell r="A699" t="str">
            <v>5000526917</v>
          </cell>
          <cell r="B699" t="str">
            <v>5000524393</v>
          </cell>
          <cell r="C699" t="str">
            <v>450005514200010</v>
          </cell>
          <cell r="D699" t="str">
            <v>MIGO_GR</v>
          </cell>
          <cell r="E699" t="str">
            <v>8103011/25.08.10</v>
          </cell>
          <cell r="F699" t="str">
            <v>9200019629</v>
          </cell>
          <cell r="G699" t="str">
            <v>25545</v>
          </cell>
          <cell r="H699" t="str">
            <v>GR / IR Clearing -SemiFinished Goods- Auto</v>
          </cell>
          <cell r="I699" t="str">
            <v>4500055142</v>
          </cell>
          <cell r="J699" t="str">
            <v>03B1</v>
          </cell>
          <cell r="K699" t="str">
            <v>100736</v>
          </cell>
          <cell r="L699" t="str">
            <v>VVF LTD.</v>
          </cell>
          <cell r="M699" t="str">
            <v>501277</v>
          </cell>
          <cell r="N699" t="str">
            <v>Split Fatty Acid C8-C18</v>
          </cell>
          <cell r="O699" t="str">
            <v>INR</v>
          </cell>
          <cell r="P699" t="str">
            <v/>
          </cell>
          <cell r="Q699" t="str">
            <v/>
          </cell>
          <cell r="R699" t="str">
            <v>010000441974</v>
          </cell>
          <cell r="S699" t="str">
            <v>A</v>
          </cell>
          <cell r="T699" t="str">
            <v>9084015754</v>
          </cell>
          <cell r="U699" t="str">
            <v>P003</v>
          </cell>
          <cell r="V699" t="str">
            <v>2010</v>
          </cell>
          <cell r="W699" t="str">
            <v/>
          </cell>
          <cell r="X699" t="str">
            <v>MT</v>
          </cell>
          <cell r="Y699" t="str">
            <v/>
          </cell>
          <cell r="Z699" t="str">
            <v>VVF</v>
          </cell>
          <cell r="AA699" t="str">
            <v>WE</v>
          </cell>
          <cell r="AB699">
            <v>40418</v>
          </cell>
          <cell r="AC699">
            <v>40418</v>
          </cell>
          <cell r="AD699">
            <v>40395</v>
          </cell>
          <cell r="AE699">
            <v>-1447200</v>
          </cell>
          <cell r="AF699">
            <v>-24.3</v>
          </cell>
        </row>
        <row r="700">
          <cell r="A700" t="str">
            <v>5000526918</v>
          </cell>
          <cell r="B700" t="str">
            <v>5000524393</v>
          </cell>
          <cell r="C700" t="str">
            <v>450005566900010</v>
          </cell>
          <cell r="D700" t="str">
            <v>MIGO_GR</v>
          </cell>
          <cell r="E700" t="str">
            <v>311005893</v>
          </cell>
          <cell r="F700" t="str">
            <v>9200019630</v>
          </cell>
          <cell r="G700" t="str">
            <v>25545</v>
          </cell>
          <cell r="H700" t="str">
            <v>GR / IR Clearing -SemiFinished Goods- Auto</v>
          </cell>
          <cell r="I700" t="str">
            <v>4500055669</v>
          </cell>
          <cell r="J700" t="str">
            <v>13B2</v>
          </cell>
          <cell r="K700" t="str">
            <v>VVF-TALOJA</v>
          </cell>
          <cell r="L700" t="str">
            <v>VVF LIMITED - TALOJA</v>
          </cell>
          <cell r="M700" t="str">
            <v>500636</v>
          </cell>
          <cell r="N700" t="str">
            <v>SOAP NOODLES</v>
          </cell>
          <cell r="O700" t="str">
            <v>INR</v>
          </cell>
          <cell r="P700" t="str">
            <v/>
          </cell>
          <cell r="Q700" t="str">
            <v/>
          </cell>
          <cell r="R700" t="str">
            <v>010000441974</v>
          </cell>
          <cell r="S700" t="str">
            <v>A</v>
          </cell>
          <cell r="T700" t="str">
            <v>9084015754</v>
          </cell>
          <cell r="U700" t="str">
            <v>P013</v>
          </cell>
          <cell r="V700" t="str">
            <v>2010</v>
          </cell>
          <cell r="W700" t="str">
            <v/>
          </cell>
          <cell r="X700" t="str">
            <v>MT</v>
          </cell>
          <cell r="Y700" t="str">
            <v/>
          </cell>
          <cell r="Z700" t="str">
            <v>VVF</v>
          </cell>
          <cell r="AA700" t="str">
            <v>WE</v>
          </cell>
          <cell r="AB700">
            <v>40417</v>
          </cell>
          <cell r="AC700">
            <v>40417</v>
          </cell>
          <cell r="AD700">
            <v>40411</v>
          </cell>
          <cell r="AE700">
            <v>-631400</v>
          </cell>
          <cell r="AF700">
            <v>24.3</v>
          </cell>
        </row>
        <row r="701">
          <cell r="A701" t="str">
            <v>5000526919</v>
          </cell>
          <cell r="B701" t="str">
            <v>5000524393</v>
          </cell>
          <cell r="C701" t="str">
            <v>450005514200020</v>
          </cell>
          <cell r="D701" t="str">
            <v>MIGO_GR</v>
          </cell>
          <cell r="E701" t="str">
            <v>8103032/26.08.10</v>
          </cell>
          <cell r="F701" t="str">
            <v>9200019631</v>
          </cell>
          <cell r="G701" t="str">
            <v>25545</v>
          </cell>
          <cell r="H701" t="str">
            <v>GR / IR Clearing -SemiFinished Goods- Auto</v>
          </cell>
          <cell r="I701" t="str">
            <v>4500055142</v>
          </cell>
          <cell r="J701" t="str">
            <v>03B1</v>
          </cell>
          <cell r="K701" t="str">
            <v>100736</v>
          </cell>
          <cell r="L701" t="str">
            <v>VVF LTD.</v>
          </cell>
          <cell r="M701" t="str">
            <v>501277</v>
          </cell>
          <cell r="N701" t="str">
            <v>Split Fatty Acid C8-C18</v>
          </cell>
          <cell r="O701" t="str">
            <v>INR</v>
          </cell>
          <cell r="P701" t="str">
            <v/>
          </cell>
          <cell r="Q701" t="str">
            <v/>
          </cell>
          <cell r="R701" t="str">
            <v>010000441974</v>
          </cell>
          <cell r="S701" t="str">
            <v>A</v>
          </cell>
          <cell r="T701" t="str">
            <v>9084015754</v>
          </cell>
          <cell r="U701" t="str">
            <v>P003</v>
          </cell>
          <cell r="V701" t="str">
            <v>2010</v>
          </cell>
          <cell r="W701" t="str">
            <v/>
          </cell>
          <cell r="X701" t="str">
            <v>MT</v>
          </cell>
          <cell r="Y701" t="str">
            <v/>
          </cell>
          <cell r="Z701" t="str">
            <v>VVF</v>
          </cell>
          <cell r="AA701" t="str">
            <v>WE</v>
          </cell>
          <cell r="AB701">
            <v>40418</v>
          </cell>
          <cell r="AC701">
            <v>40418</v>
          </cell>
          <cell r="AD701">
            <v>40395</v>
          </cell>
          <cell r="AE701">
            <v>-1271400</v>
          </cell>
          <cell r="AF701">
            <v>-24.3</v>
          </cell>
        </row>
        <row r="702">
          <cell r="A702" t="str">
            <v>5000526922</v>
          </cell>
          <cell r="B702" t="str">
            <v>5000524393</v>
          </cell>
          <cell r="C702" t="str">
            <v>450005514200010</v>
          </cell>
          <cell r="D702" t="str">
            <v>MIGO_GR</v>
          </cell>
          <cell r="E702" t="str">
            <v>8102998/25.08.10</v>
          </cell>
          <cell r="F702" t="str">
            <v>9200019633</v>
          </cell>
          <cell r="G702" t="str">
            <v>25545</v>
          </cell>
          <cell r="H702" t="str">
            <v>GR / IR Clearing -SemiFinished Goods- Auto</v>
          </cell>
          <cell r="I702" t="str">
            <v>4500055142</v>
          </cell>
          <cell r="J702" t="str">
            <v>03B1</v>
          </cell>
          <cell r="K702" t="str">
            <v>100736</v>
          </cell>
          <cell r="L702" t="str">
            <v>VVF LTD.</v>
          </cell>
          <cell r="M702" t="str">
            <v>501277</v>
          </cell>
          <cell r="N702" t="str">
            <v>Split Fatty Acid C8-C18</v>
          </cell>
          <cell r="O702" t="str">
            <v>INR</v>
          </cell>
          <cell r="P702" t="str">
            <v/>
          </cell>
          <cell r="Q702" t="str">
            <v/>
          </cell>
          <cell r="R702" t="str">
            <v>010000441974</v>
          </cell>
          <cell r="S702" t="str">
            <v>A</v>
          </cell>
          <cell r="T702" t="str">
            <v>9084017677</v>
          </cell>
          <cell r="U702" t="str">
            <v>P003</v>
          </cell>
          <cell r="V702" t="str">
            <v>2010</v>
          </cell>
          <cell r="W702" t="str">
            <v/>
          </cell>
          <cell r="X702" t="str">
            <v>MT</v>
          </cell>
          <cell r="Y702" t="str">
            <v/>
          </cell>
          <cell r="Z702" t="str">
            <v>VVF</v>
          </cell>
          <cell r="AA702" t="str">
            <v>WE</v>
          </cell>
          <cell r="AB702">
            <v>40418</v>
          </cell>
          <cell r="AC702">
            <v>40418</v>
          </cell>
          <cell r="AD702">
            <v>40395</v>
          </cell>
          <cell r="AE702">
            <v>-998400</v>
          </cell>
          <cell r="AF702">
            <v>-24.3</v>
          </cell>
        </row>
        <row r="703">
          <cell r="A703" t="str">
            <v>5000526925</v>
          </cell>
          <cell r="B703" t="str">
            <v>5000524393</v>
          </cell>
          <cell r="C703" t="str">
            <v>450005514200010</v>
          </cell>
          <cell r="D703" t="str">
            <v>MIGO_GR</v>
          </cell>
          <cell r="E703" t="str">
            <v>8102997/25.08.10</v>
          </cell>
          <cell r="F703" t="str">
            <v>9200019634</v>
          </cell>
          <cell r="G703" t="str">
            <v>25545</v>
          </cell>
          <cell r="H703" t="str">
            <v>GR / IR Clearing -SemiFinished Goods- Auto</v>
          </cell>
          <cell r="I703" t="str">
            <v>4500055142</v>
          </cell>
          <cell r="J703" t="str">
            <v>03B1</v>
          </cell>
          <cell r="K703" t="str">
            <v>100736</v>
          </cell>
          <cell r="L703" t="str">
            <v>VVF LTD.</v>
          </cell>
          <cell r="M703" t="str">
            <v>501277</v>
          </cell>
          <cell r="N703" t="str">
            <v>Split Fatty Acid C8-C18</v>
          </cell>
          <cell r="O703" t="str">
            <v>INR</v>
          </cell>
          <cell r="P703" t="str">
            <v/>
          </cell>
          <cell r="Q703" t="str">
            <v/>
          </cell>
          <cell r="R703" t="str">
            <v>010000441974</v>
          </cell>
          <cell r="S703" t="str">
            <v>A</v>
          </cell>
          <cell r="T703" t="str">
            <v>9084017677</v>
          </cell>
          <cell r="U703" t="str">
            <v>P003</v>
          </cell>
          <cell r="V703" t="str">
            <v>2010</v>
          </cell>
          <cell r="W703" t="str">
            <v/>
          </cell>
          <cell r="X703" t="str">
            <v>MT</v>
          </cell>
          <cell r="Y703" t="str">
            <v/>
          </cell>
          <cell r="Z703" t="str">
            <v>VVF</v>
          </cell>
          <cell r="AA703" t="str">
            <v>WE</v>
          </cell>
          <cell r="AB703">
            <v>40418</v>
          </cell>
          <cell r="AC703">
            <v>40418</v>
          </cell>
          <cell r="AD703">
            <v>40395</v>
          </cell>
          <cell r="AE703">
            <v>-1005600</v>
          </cell>
          <cell r="AF703">
            <v>-24.3</v>
          </cell>
        </row>
        <row r="704">
          <cell r="A704" t="str">
            <v>5000526926</v>
          </cell>
          <cell r="B704" t="str">
            <v>5000524393</v>
          </cell>
          <cell r="C704" t="str">
            <v>450005514200010</v>
          </cell>
          <cell r="D704" t="str">
            <v>MIGO_GR</v>
          </cell>
          <cell r="E704" t="str">
            <v>8102994/25.08.10</v>
          </cell>
          <cell r="F704" t="str">
            <v>9200019635</v>
          </cell>
          <cell r="G704" t="str">
            <v>25545</v>
          </cell>
          <cell r="H704" t="str">
            <v>GR / IR Clearing -SemiFinished Goods- Auto</v>
          </cell>
          <cell r="I704" t="str">
            <v>4500055142</v>
          </cell>
          <cell r="J704" t="str">
            <v>03B1</v>
          </cell>
          <cell r="K704" t="str">
            <v>100736</v>
          </cell>
          <cell r="L704" t="str">
            <v>VVF LTD.</v>
          </cell>
          <cell r="M704" t="str">
            <v>501277</v>
          </cell>
          <cell r="N704" t="str">
            <v>Split Fatty Acid C8-C18</v>
          </cell>
          <cell r="O704" t="str">
            <v>INR</v>
          </cell>
          <cell r="P704" t="str">
            <v/>
          </cell>
          <cell r="Q704" t="str">
            <v/>
          </cell>
          <cell r="R704" t="str">
            <v>010000441974</v>
          </cell>
          <cell r="S704" t="str">
            <v>A</v>
          </cell>
          <cell r="T704" t="str">
            <v>9084017677</v>
          </cell>
          <cell r="U704" t="str">
            <v>P003</v>
          </cell>
          <cell r="V704" t="str">
            <v>2010</v>
          </cell>
          <cell r="W704" t="str">
            <v/>
          </cell>
          <cell r="X704" t="str">
            <v>MT</v>
          </cell>
          <cell r="Y704" t="str">
            <v/>
          </cell>
          <cell r="Z704" t="str">
            <v>VVF</v>
          </cell>
          <cell r="AA704" t="str">
            <v>WE</v>
          </cell>
          <cell r="AB704">
            <v>40418</v>
          </cell>
          <cell r="AC704">
            <v>40418</v>
          </cell>
          <cell r="AD704">
            <v>40395</v>
          </cell>
          <cell r="AE704">
            <v>-1452000</v>
          </cell>
          <cell r="AF704">
            <v>-24.3</v>
          </cell>
        </row>
        <row r="705">
          <cell r="A705" t="str">
            <v>5000526958</v>
          </cell>
          <cell r="B705" t="str">
            <v>5000524393</v>
          </cell>
          <cell r="C705" t="str">
            <v>450005514200020</v>
          </cell>
          <cell r="D705" t="str">
            <v>MIGO_GR</v>
          </cell>
          <cell r="E705" t="str">
            <v>8102983/25.08.10</v>
          </cell>
          <cell r="F705" t="str">
            <v>9200019656</v>
          </cell>
          <cell r="G705" t="str">
            <v>25545</v>
          </cell>
          <cell r="H705" t="str">
            <v>GR / IR Clearing -SemiFinished Goods- Auto</v>
          </cell>
          <cell r="I705" t="str">
            <v>4500055142</v>
          </cell>
          <cell r="J705" t="str">
            <v>03B1</v>
          </cell>
          <cell r="K705" t="str">
            <v>100736</v>
          </cell>
          <cell r="L705" t="str">
            <v>VVF LTD.</v>
          </cell>
          <cell r="M705" t="str">
            <v>501277</v>
          </cell>
          <cell r="N705" t="str">
            <v>Split Fatty Acid C8-C18</v>
          </cell>
          <cell r="O705" t="str">
            <v>INR</v>
          </cell>
          <cell r="P705" t="str">
            <v/>
          </cell>
          <cell r="Q705" t="str">
            <v/>
          </cell>
          <cell r="R705" t="str">
            <v>010000441974</v>
          </cell>
          <cell r="S705" t="str">
            <v>A</v>
          </cell>
          <cell r="T705" t="str">
            <v>9084019212</v>
          </cell>
          <cell r="U705" t="str">
            <v>P003</v>
          </cell>
          <cell r="V705" t="str">
            <v>2010</v>
          </cell>
          <cell r="W705" t="str">
            <v/>
          </cell>
          <cell r="X705" t="str">
            <v>MT</v>
          </cell>
          <cell r="Y705" t="str">
            <v/>
          </cell>
          <cell r="Z705" t="str">
            <v>VVF</v>
          </cell>
          <cell r="AA705" t="str">
            <v>WE</v>
          </cell>
          <cell r="AB705">
            <v>40418</v>
          </cell>
          <cell r="AC705">
            <v>40418</v>
          </cell>
          <cell r="AD705">
            <v>40395</v>
          </cell>
          <cell r="AE705">
            <v>-1410000</v>
          </cell>
          <cell r="AF705">
            <v>-24.3</v>
          </cell>
        </row>
        <row r="706">
          <cell r="A706" t="str">
            <v>5000526959</v>
          </cell>
          <cell r="B706" t="str">
            <v>5000524393</v>
          </cell>
          <cell r="C706" t="str">
            <v>450005514200020</v>
          </cell>
          <cell r="D706" t="str">
            <v>MIGO_GR</v>
          </cell>
          <cell r="E706" t="str">
            <v>8102959/23.08.10</v>
          </cell>
          <cell r="F706" t="str">
            <v>9200019657</v>
          </cell>
          <cell r="G706" t="str">
            <v>25545</v>
          </cell>
          <cell r="H706" t="str">
            <v>GR / IR Clearing -SemiFinished Goods- Auto</v>
          </cell>
          <cell r="I706" t="str">
            <v>4500055142</v>
          </cell>
          <cell r="J706" t="str">
            <v>03B1</v>
          </cell>
          <cell r="K706" t="str">
            <v>100736</v>
          </cell>
          <cell r="L706" t="str">
            <v>VVF LTD.</v>
          </cell>
          <cell r="M706" t="str">
            <v>501277</v>
          </cell>
          <cell r="N706" t="str">
            <v>Split Fatty Acid C8-C18</v>
          </cell>
          <cell r="O706" t="str">
            <v>INR</v>
          </cell>
          <cell r="P706" t="str">
            <v/>
          </cell>
          <cell r="Q706" t="str">
            <v/>
          </cell>
          <cell r="R706" t="str">
            <v>010000441974</v>
          </cell>
          <cell r="S706" t="str">
            <v>A</v>
          </cell>
          <cell r="T706" t="str">
            <v>9084016219</v>
          </cell>
          <cell r="U706" t="str">
            <v>P003</v>
          </cell>
          <cell r="V706" t="str">
            <v>2010</v>
          </cell>
          <cell r="W706" t="str">
            <v/>
          </cell>
          <cell r="X706" t="str">
            <v>MT</v>
          </cell>
          <cell r="Y706" t="str">
            <v/>
          </cell>
          <cell r="Z706" t="str">
            <v>VVF</v>
          </cell>
          <cell r="AA706" t="str">
            <v>WE</v>
          </cell>
          <cell r="AB706">
            <v>40418</v>
          </cell>
          <cell r="AC706">
            <v>40418</v>
          </cell>
          <cell r="AD706">
            <v>40395</v>
          </cell>
          <cell r="AE706">
            <v>-994200</v>
          </cell>
          <cell r="AF706">
            <v>-24.3</v>
          </cell>
        </row>
        <row r="707">
          <cell r="A707" t="str">
            <v>5000526973</v>
          </cell>
          <cell r="B707" t="str">
            <v>5000524393</v>
          </cell>
          <cell r="C707" t="str">
            <v>450005514200020</v>
          </cell>
          <cell r="D707" t="str">
            <v>MIGO_GR</v>
          </cell>
          <cell r="E707" t="str">
            <v>8103029/26.08.10</v>
          </cell>
          <cell r="F707" t="str">
            <v>9200019661</v>
          </cell>
          <cell r="G707" t="str">
            <v>25545</v>
          </cell>
          <cell r="H707" t="str">
            <v>GR / IR Clearing -SemiFinished Goods- Auto</v>
          </cell>
          <cell r="I707" t="str">
            <v>4500055142</v>
          </cell>
          <cell r="J707" t="str">
            <v>03B1</v>
          </cell>
          <cell r="K707" t="str">
            <v>100736</v>
          </cell>
          <cell r="L707" t="str">
            <v>VVF LTD.</v>
          </cell>
          <cell r="M707" t="str">
            <v>501277</v>
          </cell>
          <cell r="N707" t="str">
            <v>Split Fatty Acid C8-C18</v>
          </cell>
          <cell r="O707" t="str">
            <v>INR</v>
          </cell>
          <cell r="P707" t="str">
            <v/>
          </cell>
          <cell r="Q707" t="str">
            <v/>
          </cell>
          <cell r="R707" t="str">
            <v>010000441974</v>
          </cell>
          <cell r="S707" t="str">
            <v>A</v>
          </cell>
          <cell r="T707" t="str">
            <v>9084016219</v>
          </cell>
          <cell r="U707" t="str">
            <v>P003</v>
          </cell>
          <cell r="V707" t="str">
            <v>2010</v>
          </cell>
          <cell r="W707" t="str">
            <v/>
          </cell>
          <cell r="X707" t="str">
            <v>MT</v>
          </cell>
          <cell r="Y707" t="str">
            <v/>
          </cell>
          <cell r="Z707" t="str">
            <v>VVF</v>
          </cell>
          <cell r="AA707" t="str">
            <v>WE</v>
          </cell>
          <cell r="AB707">
            <v>40418</v>
          </cell>
          <cell r="AC707">
            <v>40418</v>
          </cell>
          <cell r="AD707">
            <v>40395</v>
          </cell>
          <cell r="AE707">
            <v>-1452600</v>
          </cell>
          <cell r="AF707">
            <v>-24.3</v>
          </cell>
        </row>
        <row r="708">
          <cell r="A708" t="str">
            <v>5000526976</v>
          </cell>
          <cell r="B708" t="str">
            <v>5000524393</v>
          </cell>
          <cell r="C708" t="str">
            <v>450005514200010</v>
          </cell>
          <cell r="D708" t="str">
            <v>MIGO_GR</v>
          </cell>
          <cell r="E708" t="str">
            <v>8103017/25.08.10</v>
          </cell>
          <cell r="F708" t="str">
            <v>9200019663</v>
          </cell>
          <cell r="G708" t="str">
            <v>25545</v>
          </cell>
          <cell r="H708" t="str">
            <v>GR / IR Clearing -SemiFinished Goods- Auto</v>
          </cell>
          <cell r="I708" t="str">
            <v>4500055142</v>
          </cell>
          <cell r="J708" t="str">
            <v>03B1</v>
          </cell>
          <cell r="K708" t="str">
            <v>100736</v>
          </cell>
          <cell r="L708" t="str">
            <v>VVF LTD.</v>
          </cell>
          <cell r="M708" t="str">
            <v>501277</v>
          </cell>
          <cell r="N708" t="str">
            <v>Split Fatty Acid C8-C18</v>
          </cell>
          <cell r="O708" t="str">
            <v>INR</v>
          </cell>
          <cell r="P708" t="str">
            <v/>
          </cell>
          <cell r="Q708" t="str">
            <v/>
          </cell>
          <cell r="R708" t="str">
            <v>010000441974</v>
          </cell>
          <cell r="S708" t="str">
            <v>A</v>
          </cell>
          <cell r="T708" t="str">
            <v>9084019222</v>
          </cell>
          <cell r="U708" t="str">
            <v>P003</v>
          </cell>
          <cell r="V708" t="str">
            <v>2010</v>
          </cell>
          <cell r="W708" t="str">
            <v/>
          </cell>
          <cell r="X708" t="str">
            <v>MT</v>
          </cell>
          <cell r="Y708" t="str">
            <v/>
          </cell>
          <cell r="Z708" t="str">
            <v>VVF</v>
          </cell>
          <cell r="AA708" t="str">
            <v>WE</v>
          </cell>
          <cell r="AB708">
            <v>40418</v>
          </cell>
          <cell r="AC708">
            <v>40418</v>
          </cell>
          <cell r="AD708">
            <v>40395</v>
          </cell>
          <cell r="AE708">
            <v>-1401600</v>
          </cell>
          <cell r="AF708">
            <v>-24.3</v>
          </cell>
        </row>
        <row r="709">
          <cell r="A709" t="str">
            <v>5000526981</v>
          </cell>
          <cell r="B709" t="str">
            <v>5000516860</v>
          </cell>
          <cell r="C709" t="str">
            <v>450003604201106</v>
          </cell>
          <cell r="D709" t="str">
            <v>MIGO_GR</v>
          </cell>
          <cell r="E709" t="str">
            <v>8900255179</v>
          </cell>
          <cell r="F709" t="str">
            <v>9200019665</v>
          </cell>
          <cell r="G709" t="str">
            <v>25545</v>
          </cell>
          <cell r="H709" t="str">
            <v>GR / IR Clearing -SemiFinished Goods- Auto</v>
          </cell>
          <cell r="I709" t="str">
            <v>4500036042</v>
          </cell>
          <cell r="J709" t="str">
            <v>03B1</v>
          </cell>
          <cell r="K709" t="str">
            <v>101277</v>
          </cell>
          <cell r="L709" t="str">
            <v>VVF Limited-Sion</v>
          </cell>
          <cell r="M709" t="str">
            <v>501713</v>
          </cell>
          <cell r="N709" t="str">
            <v>T-DISTILLED FATTY ACID - C16C18</v>
          </cell>
          <cell r="O709" t="str">
            <v>INR</v>
          </cell>
          <cell r="P709" t="str">
            <v/>
          </cell>
          <cell r="Q709" t="str">
            <v/>
          </cell>
          <cell r="R709" t="str">
            <v>010000441974</v>
          </cell>
          <cell r="S709" t="str">
            <v>A</v>
          </cell>
          <cell r="T709" t="str">
            <v>9084019222</v>
          </cell>
          <cell r="U709" t="str">
            <v>P003</v>
          </cell>
          <cell r="V709" t="str">
            <v>2010</v>
          </cell>
          <cell r="W709" t="str">
            <v/>
          </cell>
          <cell r="X709" t="str">
            <v>MT</v>
          </cell>
          <cell r="Y709" t="str">
            <v/>
          </cell>
          <cell r="Z709" t="str">
            <v>VVF</v>
          </cell>
          <cell r="AA709" t="str">
            <v>WE</v>
          </cell>
          <cell r="AB709">
            <v>40418</v>
          </cell>
          <cell r="AC709">
            <v>40418</v>
          </cell>
          <cell r="AD709">
            <v>39792</v>
          </cell>
          <cell r="AE709">
            <v>-2.2400000000000002</v>
          </cell>
          <cell r="AF709">
            <v>-15.99</v>
          </cell>
        </row>
        <row r="710">
          <cell r="A710" t="str">
            <v>5000526966</v>
          </cell>
          <cell r="B710" t="str">
            <v>5000524393</v>
          </cell>
          <cell r="C710" t="str">
            <v>450005514200010</v>
          </cell>
          <cell r="D710" t="str">
            <v>MIGO_GR</v>
          </cell>
          <cell r="E710" t="str">
            <v>8103019/25.08.10</v>
          </cell>
          <cell r="F710" t="str">
            <v>9200019666</v>
          </cell>
          <cell r="G710" t="str">
            <v>25545</v>
          </cell>
          <cell r="H710" t="str">
            <v>GR / IR Clearing -SemiFinished Goods- Auto</v>
          </cell>
          <cell r="I710" t="str">
            <v>4500055142</v>
          </cell>
          <cell r="J710" t="str">
            <v>03B1</v>
          </cell>
          <cell r="K710" t="str">
            <v>100736</v>
          </cell>
          <cell r="L710" t="str">
            <v>VVF LTD.</v>
          </cell>
          <cell r="M710" t="str">
            <v>501277</v>
          </cell>
          <cell r="N710" t="str">
            <v>Split Fatty Acid C8-C18</v>
          </cell>
          <cell r="O710" t="str">
            <v>INR</v>
          </cell>
          <cell r="P710" t="str">
            <v/>
          </cell>
          <cell r="Q710" t="str">
            <v/>
          </cell>
          <cell r="R710" t="str">
            <v>010000441974</v>
          </cell>
          <cell r="S710" t="str">
            <v>A</v>
          </cell>
          <cell r="T710" t="str">
            <v>9084019222</v>
          </cell>
          <cell r="U710" t="str">
            <v>P003</v>
          </cell>
          <cell r="V710" t="str">
            <v>2010</v>
          </cell>
          <cell r="W710" t="str">
            <v/>
          </cell>
          <cell r="X710" t="str">
            <v>MT</v>
          </cell>
          <cell r="Y710" t="str">
            <v/>
          </cell>
          <cell r="Z710" t="str">
            <v>VVF</v>
          </cell>
          <cell r="AA710" t="str">
            <v>WE</v>
          </cell>
          <cell r="AB710">
            <v>40418</v>
          </cell>
          <cell r="AC710">
            <v>40418</v>
          </cell>
          <cell r="AD710">
            <v>40395</v>
          </cell>
          <cell r="AE710">
            <v>-1431000</v>
          </cell>
          <cell r="AF710">
            <v>-24.3</v>
          </cell>
        </row>
        <row r="711">
          <cell r="A711" t="str">
            <v>5000526967</v>
          </cell>
          <cell r="B711" t="str">
            <v>5000524393</v>
          </cell>
          <cell r="C711" t="str">
            <v>450005514200020</v>
          </cell>
          <cell r="D711" t="str">
            <v>MIGO_GR</v>
          </cell>
          <cell r="E711" t="str">
            <v>8103034/26.08.10</v>
          </cell>
          <cell r="F711" t="str">
            <v>9200019667</v>
          </cell>
          <cell r="G711" t="str">
            <v>25545</v>
          </cell>
          <cell r="H711" t="str">
            <v>GR / IR Clearing -SemiFinished Goods- Auto</v>
          </cell>
          <cell r="I711" t="str">
            <v>4500055142</v>
          </cell>
          <cell r="J711" t="str">
            <v>03B1</v>
          </cell>
          <cell r="K711" t="str">
            <v>100736</v>
          </cell>
          <cell r="L711" t="str">
            <v>VVF LTD.</v>
          </cell>
          <cell r="M711" t="str">
            <v>501277</v>
          </cell>
          <cell r="N711" t="str">
            <v>Split Fatty Acid C8-C18</v>
          </cell>
          <cell r="O711" t="str">
            <v>INR</v>
          </cell>
          <cell r="P711" t="str">
            <v/>
          </cell>
          <cell r="Q711" t="str">
            <v/>
          </cell>
          <cell r="R711" t="str">
            <v>010000441974</v>
          </cell>
          <cell r="S711" t="str">
            <v>A</v>
          </cell>
          <cell r="T711" t="str">
            <v>9084016197</v>
          </cell>
          <cell r="U711" t="str">
            <v>P003</v>
          </cell>
          <cell r="V711" t="str">
            <v>2010</v>
          </cell>
          <cell r="W711" t="str">
            <v/>
          </cell>
          <cell r="X711" t="str">
            <v>MT</v>
          </cell>
          <cell r="Y711" t="str">
            <v/>
          </cell>
          <cell r="Z711" t="str">
            <v>VVF</v>
          </cell>
          <cell r="AA711" t="str">
            <v>WE</v>
          </cell>
          <cell r="AB711">
            <v>40418</v>
          </cell>
          <cell r="AC711">
            <v>40418</v>
          </cell>
          <cell r="AD711">
            <v>40395</v>
          </cell>
          <cell r="AE711">
            <v>-1607400</v>
          </cell>
          <cell r="AF711">
            <v>-24.3</v>
          </cell>
        </row>
        <row r="712">
          <cell r="A712" t="str">
            <v>5000526993</v>
          </cell>
          <cell r="B712" t="str">
            <v>5000524393</v>
          </cell>
          <cell r="C712" t="str">
            <v>450005514200020</v>
          </cell>
          <cell r="D712" t="str">
            <v>MIGO_GR</v>
          </cell>
          <cell r="E712" t="str">
            <v>8103036/26.08.10</v>
          </cell>
          <cell r="F712" t="str">
            <v>9200019669</v>
          </cell>
          <cell r="G712" t="str">
            <v>25545</v>
          </cell>
          <cell r="H712" t="str">
            <v>GR / IR Clearing -SemiFinished Goods- Auto</v>
          </cell>
          <cell r="I712" t="str">
            <v>4500055142</v>
          </cell>
          <cell r="J712" t="str">
            <v>03B1</v>
          </cell>
          <cell r="K712" t="str">
            <v>100736</v>
          </cell>
          <cell r="L712" t="str">
            <v>VVF LTD.</v>
          </cell>
          <cell r="M712" t="str">
            <v>501277</v>
          </cell>
          <cell r="N712" t="str">
            <v>Split Fatty Acid C8-C18</v>
          </cell>
          <cell r="O712" t="str">
            <v>INR</v>
          </cell>
          <cell r="P712" t="str">
            <v/>
          </cell>
          <cell r="Q712" t="str">
            <v/>
          </cell>
          <cell r="R712" t="str">
            <v>010000441974</v>
          </cell>
          <cell r="S712" t="str">
            <v>A</v>
          </cell>
          <cell r="T712" t="str">
            <v>9084016199</v>
          </cell>
          <cell r="U712" t="str">
            <v>P003</v>
          </cell>
          <cell r="V712" t="str">
            <v>2010</v>
          </cell>
          <cell r="W712" t="str">
            <v/>
          </cell>
          <cell r="X712" t="str">
            <v>MT</v>
          </cell>
          <cell r="Y712" t="str">
            <v/>
          </cell>
          <cell r="Z712" t="str">
            <v>VVF</v>
          </cell>
          <cell r="AA712" t="str">
            <v>WE</v>
          </cell>
          <cell r="AB712">
            <v>40418</v>
          </cell>
          <cell r="AC712">
            <v>40418</v>
          </cell>
          <cell r="AD712">
            <v>40395</v>
          </cell>
          <cell r="AE712">
            <v>-989400</v>
          </cell>
          <cell r="AF712">
            <v>-24.3</v>
          </cell>
        </row>
        <row r="713">
          <cell r="A713" t="str">
            <v>5000526995</v>
          </cell>
          <cell r="B713" t="str">
            <v>5000516860</v>
          </cell>
          <cell r="C713" t="str">
            <v>450003604201106</v>
          </cell>
          <cell r="D713" t="str">
            <v>MIGO_GR</v>
          </cell>
          <cell r="E713" t="str">
            <v>8900255234 28.8</v>
          </cell>
          <cell r="F713" t="str">
            <v>9200019671</v>
          </cell>
          <cell r="G713" t="str">
            <v>25545</v>
          </cell>
          <cell r="H713" t="str">
            <v>GR / IR Clearing -SemiFinished Goods- Auto</v>
          </cell>
          <cell r="I713" t="str">
            <v>4500036042</v>
          </cell>
          <cell r="J713" t="str">
            <v>03B1</v>
          </cell>
          <cell r="K713" t="str">
            <v>101277</v>
          </cell>
          <cell r="L713" t="str">
            <v>VVF Limited-Sion</v>
          </cell>
          <cell r="M713" t="str">
            <v>501713</v>
          </cell>
          <cell r="N713" t="str">
            <v>T-DISTILLED FATTY ACID - C16C18</v>
          </cell>
          <cell r="O713" t="str">
            <v>INR</v>
          </cell>
          <cell r="P713" t="str">
            <v/>
          </cell>
          <cell r="Q713" t="str">
            <v/>
          </cell>
          <cell r="R713" t="str">
            <v>010000441974</v>
          </cell>
          <cell r="S713" t="str">
            <v>A</v>
          </cell>
          <cell r="T713" t="str">
            <v>9084016199</v>
          </cell>
          <cell r="U713" t="str">
            <v>P003</v>
          </cell>
          <cell r="V713" t="str">
            <v>2010</v>
          </cell>
          <cell r="W713" t="str">
            <v/>
          </cell>
          <cell r="X713" t="str">
            <v>MT</v>
          </cell>
          <cell r="Y713" t="str">
            <v/>
          </cell>
          <cell r="Z713" t="str">
            <v>VVF</v>
          </cell>
          <cell r="AA713" t="str">
            <v>WE</v>
          </cell>
          <cell r="AB713">
            <v>40418</v>
          </cell>
          <cell r="AC713">
            <v>40418</v>
          </cell>
          <cell r="AD713">
            <v>39792</v>
          </cell>
          <cell r="AE713">
            <v>-2.16</v>
          </cell>
          <cell r="AF713">
            <v>-15.99</v>
          </cell>
        </row>
        <row r="714">
          <cell r="A714" t="str">
            <v>5000526996</v>
          </cell>
          <cell r="B714" t="str">
            <v>5000524393</v>
          </cell>
          <cell r="C714" t="str">
            <v>450005514200020</v>
          </cell>
          <cell r="D714" t="str">
            <v>MIGO_GR</v>
          </cell>
          <cell r="E714" t="str">
            <v>8102984/25.08.10</v>
          </cell>
          <cell r="F714" t="str">
            <v>9200019672</v>
          </cell>
          <cell r="G714" t="str">
            <v>25545</v>
          </cell>
          <cell r="H714" t="str">
            <v>GR / IR Clearing -SemiFinished Goods- Auto</v>
          </cell>
          <cell r="I714" t="str">
            <v>4500055142</v>
          </cell>
          <cell r="J714" t="str">
            <v>03B1</v>
          </cell>
          <cell r="K714" t="str">
            <v>100736</v>
          </cell>
          <cell r="L714" t="str">
            <v>VVF LTD.</v>
          </cell>
          <cell r="M714" t="str">
            <v>501277</v>
          </cell>
          <cell r="N714" t="str">
            <v>Split Fatty Acid C8-C18</v>
          </cell>
          <cell r="O714" t="str">
            <v>INR</v>
          </cell>
          <cell r="P714" t="str">
            <v/>
          </cell>
          <cell r="Q714" t="str">
            <v/>
          </cell>
          <cell r="R714" t="str">
            <v>010000441974</v>
          </cell>
          <cell r="S714" t="str">
            <v>A</v>
          </cell>
          <cell r="T714" t="str">
            <v>9084016213</v>
          </cell>
          <cell r="U714" t="str">
            <v>P003</v>
          </cell>
          <cell r="V714" t="str">
            <v>2010</v>
          </cell>
          <cell r="W714" t="str">
            <v/>
          </cell>
          <cell r="X714" t="str">
            <v>MT</v>
          </cell>
          <cell r="Y714" t="str">
            <v/>
          </cell>
          <cell r="Z714" t="str">
            <v>VVF</v>
          </cell>
          <cell r="AA714" t="str">
            <v>WE</v>
          </cell>
          <cell r="AB714">
            <v>40418</v>
          </cell>
          <cell r="AC714">
            <v>40418</v>
          </cell>
          <cell r="AD714">
            <v>40395</v>
          </cell>
          <cell r="AE714">
            <v>-1301400</v>
          </cell>
          <cell r="AF714">
            <v>-24.3</v>
          </cell>
        </row>
        <row r="715">
          <cell r="A715" t="str">
            <v>5000527000</v>
          </cell>
          <cell r="B715" t="str">
            <v>5000524393</v>
          </cell>
          <cell r="C715" t="str">
            <v>450005514200010</v>
          </cell>
          <cell r="D715" t="str">
            <v>MIGO_GR</v>
          </cell>
          <cell r="E715" t="str">
            <v>8103047 27.08.10</v>
          </cell>
          <cell r="F715" t="str">
            <v>9200019676</v>
          </cell>
          <cell r="G715" t="str">
            <v>25545</v>
          </cell>
          <cell r="H715" t="str">
            <v>GR / IR Clearing -SemiFinished Goods- Auto</v>
          </cell>
          <cell r="I715" t="str">
            <v>4500055142</v>
          </cell>
          <cell r="J715" t="str">
            <v>03B1</v>
          </cell>
          <cell r="K715" t="str">
            <v>100736</v>
          </cell>
          <cell r="L715" t="str">
            <v>VVF LTD.</v>
          </cell>
          <cell r="M715" t="str">
            <v>501277</v>
          </cell>
          <cell r="N715" t="str">
            <v>Split Fatty Acid C8-C18</v>
          </cell>
          <cell r="O715" t="str">
            <v>INR</v>
          </cell>
          <cell r="P715" t="str">
            <v/>
          </cell>
          <cell r="Q715" t="str">
            <v/>
          </cell>
          <cell r="R715" t="str">
            <v>010000441974</v>
          </cell>
          <cell r="S715" t="str">
            <v>A</v>
          </cell>
          <cell r="T715" t="str">
            <v>9084016216</v>
          </cell>
          <cell r="U715" t="str">
            <v>P003</v>
          </cell>
          <cell r="V715" t="str">
            <v>2010</v>
          </cell>
          <cell r="W715" t="str">
            <v/>
          </cell>
          <cell r="X715" t="str">
            <v>MT</v>
          </cell>
          <cell r="Y715" t="str">
            <v/>
          </cell>
          <cell r="Z715" t="str">
            <v>VVF</v>
          </cell>
          <cell r="AA715" t="str">
            <v>WE</v>
          </cell>
          <cell r="AB715">
            <v>40419</v>
          </cell>
          <cell r="AC715">
            <v>40419</v>
          </cell>
          <cell r="AD715">
            <v>40395</v>
          </cell>
          <cell r="AE715">
            <v>-1259400</v>
          </cell>
          <cell r="AF715">
            <v>24.3</v>
          </cell>
        </row>
        <row r="716">
          <cell r="A716" t="str">
            <v>5000527001</v>
          </cell>
          <cell r="B716" t="str">
            <v>5000524393</v>
          </cell>
          <cell r="C716" t="str">
            <v>450005514200010</v>
          </cell>
          <cell r="D716" t="str">
            <v>MIGO_GR</v>
          </cell>
          <cell r="E716" t="str">
            <v>8103024 26.08.10</v>
          </cell>
          <cell r="F716" t="str">
            <v>9200019677</v>
          </cell>
          <cell r="G716" t="str">
            <v>25545</v>
          </cell>
          <cell r="H716" t="str">
            <v>GR / IR Clearing -SemiFinished Goods- Auto</v>
          </cell>
          <cell r="I716" t="str">
            <v>4500055142</v>
          </cell>
          <cell r="J716" t="str">
            <v>03B1</v>
          </cell>
          <cell r="K716" t="str">
            <v>100736</v>
          </cell>
          <cell r="L716" t="str">
            <v>VVF LTD.</v>
          </cell>
          <cell r="M716" t="str">
            <v>501277</v>
          </cell>
          <cell r="N716" t="str">
            <v>Split Fatty Acid C8-C18</v>
          </cell>
          <cell r="O716" t="str">
            <v>INR</v>
          </cell>
          <cell r="P716" t="str">
            <v/>
          </cell>
          <cell r="Q716" t="str">
            <v/>
          </cell>
          <cell r="R716" t="str">
            <v>010000441974</v>
          </cell>
          <cell r="S716" t="str">
            <v>A</v>
          </cell>
          <cell r="T716" t="str">
            <v>9084016202</v>
          </cell>
          <cell r="U716" t="str">
            <v>P003</v>
          </cell>
          <cell r="V716" t="str">
            <v>2010</v>
          </cell>
          <cell r="W716" t="str">
            <v/>
          </cell>
          <cell r="X716" t="str">
            <v>MT</v>
          </cell>
          <cell r="Y716" t="str">
            <v/>
          </cell>
          <cell r="Z716" t="str">
            <v>VVF</v>
          </cell>
          <cell r="AA716" t="str">
            <v>WE</v>
          </cell>
          <cell r="AB716">
            <v>40418</v>
          </cell>
          <cell r="AC716">
            <v>40419</v>
          </cell>
          <cell r="AD716">
            <v>40395</v>
          </cell>
          <cell r="AE716">
            <v>-934200</v>
          </cell>
          <cell r="AF716">
            <v>-24.3</v>
          </cell>
        </row>
        <row r="717">
          <cell r="A717" t="str">
            <v>5000527057</v>
          </cell>
          <cell r="B717" t="str">
            <v>5000524393</v>
          </cell>
          <cell r="C717" t="str">
            <v>450005514200010</v>
          </cell>
          <cell r="D717" t="str">
            <v>MIGO_GR</v>
          </cell>
          <cell r="E717" t="str">
            <v>8102979 25 08.10</v>
          </cell>
          <cell r="F717" t="str">
            <v>9200019691</v>
          </cell>
          <cell r="G717" t="str">
            <v>25545</v>
          </cell>
          <cell r="H717" t="str">
            <v>GR / IR Clearing -SemiFinished Goods- Auto</v>
          </cell>
          <cell r="I717" t="str">
            <v>4500055142</v>
          </cell>
          <cell r="J717" t="str">
            <v>03B1</v>
          </cell>
          <cell r="K717" t="str">
            <v>100736</v>
          </cell>
          <cell r="L717" t="str">
            <v>VVF LTD.</v>
          </cell>
          <cell r="M717" t="str">
            <v>501277</v>
          </cell>
          <cell r="N717" t="str">
            <v>Split Fatty Acid C8-C18</v>
          </cell>
          <cell r="O717" t="str">
            <v>INR</v>
          </cell>
          <cell r="P717" t="str">
            <v/>
          </cell>
          <cell r="Q717" t="str">
            <v/>
          </cell>
          <cell r="R717" t="str">
            <v>010000441974</v>
          </cell>
          <cell r="S717" t="str">
            <v>A</v>
          </cell>
          <cell r="T717" t="str">
            <v>9084016227</v>
          </cell>
          <cell r="U717" t="str">
            <v>P003</v>
          </cell>
          <cell r="V717" t="str">
            <v>2010</v>
          </cell>
          <cell r="W717" t="str">
            <v/>
          </cell>
          <cell r="X717" t="str">
            <v>MT</v>
          </cell>
          <cell r="Y717" t="str">
            <v/>
          </cell>
          <cell r="Z717" t="str">
            <v>VVF</v>
          </cell>
          <cell r="AA717" t="str">
            <v>WE</v>
          </cell>
          <cell r="AB717">
            <v>40419</v>
          </cell>
          <cell r="AC717">
            <v>40419</v>
          </cell>
          <cell r="AD717">
            <v>40395</v>
          </cell>
          <cell r="AE717">
            <v>-967800</v>
          </cell>
          <cell r="AF717">
            <v>24.3</v>
          </cell>
        </row>
        <row r="718">
          <cell r="A718" t="str">
            <v>5000527058</v>
          </cell>
          <cell r="B718" t="str">
            <v>5000524393</v>
          </cell>
          <cell r="C718" t="str">
            <v>450005514200010</v>
          </cell>
          <cell r="D718" t="str">
            <v>MIGO_GR</v>
          </cell>
          <cell r="E718" t="str">
            <v>8103038 26.08.10</v>
          </cell>
          <cell r="F718" t="str">
            <v>9200019692</v>
          </cell>
          <cell r="G718" t="str">
            <v>25545</v>
          </cell>
          <cell r="H718" t="str">
            <v>GR / IR Clearing -SemiFinished Goods- Auto</v>
          </cell>
          <cell r="I718" t="str">
            <v>4500055142</v>
          </cell>
          <cell r="J718" t="str">
            <v>03B1</v>
          </cell>
          <cell r="K718" t="str">
            <v>100736</v>
          </cell>
          <cell r="L718" t="str">
            <v>VVF LTD.</v>
          </cell>
          <cell r="M718" t="str">
            <v>501277</v>
          </cell>
          <cell r="N718" t="str">
            <v>Split Fatty Acid C8-C18</v>
          </cell>
          <cell r="O718" t="str">
            <v>INR</v>
          </cell>
          <cell r="P718" t="str">
            <v/>
          </cell>
          <cell r="Q718" t="str">
            <v/>
          </cell>
          <cell r="R718" t="str">
            <v>010000441974</v>
          </cell>
          <cell r="S718" t="str">
            <v>A</v>
          </cell>
          <cell r="T718" t="str">
            <v>9084015914</v>
          </cell>
          <cell r="U718" t="str">
            <v>P003</v>
          </cell>
          <cell r="V718" t="str">
            <v>2010</v>
          </cell>
          <cell r="W718" t="str">
            <v/>
          </cell>
          <cell r="X718" t="str">
            <v>MT</v>
          </cell>
          <cell r="Y718" t="str">
            <v/>
          </cell>
          <cell r="Z718" t="str">
            <v>VVF</v>
          </cell>
          <cell r="AA718" t="str">
            <v>WE</v>
          </cell>
          <cell r="AB718">
            <v>40419</v>
          </cell>
          <cell r="AC718">
            <v>40419</v>
          </cell>
          <cell r="AD718">
            <v>40395</v>
          </cell>
          <cell r="AE718">
            <v>-1430400</v>
          </cell>
          <cell r="AF718">
            <v>-24.3</v>
          </cell>
        </row>
        <row r="719">
          <cell r="A719" t="str">
            <v>5000527063</v>
          </cell>
          <cell r="B719" t="str">
            <v>5000524393</v>
          </cell>
          <cell r="C719" t="str">
            <v>450005514200010</v>
          </cell>
          <cell r="D719" t="str">
            <v>MIGO_GR</v>
          </cell>
          <cell r="E719" t="str">
            <v>8103028/26.08.10</v>
          </cell>
          <cell r="F719" t="str">
            <v>9200019697</v>
          </cell>
          <cell r="G719" t="str">
            <v>25545</v>
          </cell>
          <cell r="H719" t="str">
            <v>GR / IR Clearing -SemiFinished Goods- Auto</v>
          </cell>
          <cell r="I719" t="str">
            <v>4500055142</v>
          </cell>
          <cell r="J719" t="str">
            <v>03B1</v>
          </cell>
          <cell r="K719" t="str">
            <v>100736</v>
          </cell>
          <cell r="L719" t="str">
            <v>VVF LTD.</v>
          </cell>
          <cell r="M719" t="str">
            <v>501277</v>
          </cell>
          <cell r="N719" t="str">
            <v>Split Fatty Acid C8-C18</v>
          </cell>
          <cell r="O719" t="str">
            <v>INR</v>
          </cell>
          <cell r="P719" t="str">
            <v/>
          </cell>
          <cell r="Q719" t="str">
            <v/>
          </cell>
          <cell r="R719" t="str">
            <v>010000441974</v>
          </cell>
          <cell r="S719" t="str">
            <v>A</v>
          </cell>
          <cell r="T719" t="str">
            <v>9084017654</v>
          </cell>
          <cell r="U719" t="str">
            <v>P003</v>
          </cell>
          <cell r="V719" t="str">
            <v>2010</v>
          </cell>
          <cell r="W719" t="str">
            <v/>
          </cell>
          <cell r="X719" t="str">
            <v>MT</v>
          </cell>
          <cell r="Y719" t="str">
            <v/>
          </cell>
          <cell r="Z719" t="str">
            <v>VVF</v>
          </cell>
          <cell r="AA719" t="str">
            <v>WE</v>
          </cell>
          <cell r="AB719">
            <v>40419</v>
          </cell>
          <cell r="AC719">
            <v>40419</v>
          </cell>
          <cell r="AD719">
            <v>40395</v>
          </cell>
          <cell r="AE719">
            <v>-931800</v>
          </cell>
          <cell r="AF719">
            <v>24.3</v>
          </cell>
        </row>
        <row r="720">
          <cell r="A720" t="str">
            <v>5000527064</v>
          </cell>
          <cell r="B720" t="str">
            <v>5000524393</v>
          </cell>
          <cell r="C720" t="str">
            <v>450005514200010</v>
          </cell>
          <cell r="D720" t="str">
            <v>MIGO_GR</v>
          </cell>
          <cell r="E720" t="str">
            <v>8103049/27.08.10</v>
          </cell>
          <cell r="F720" t="str">
            <v>9200019700</v>
          </cell>
          <cell r="G720" t="str">
            <v>25545</v>
          </cell>
          <cell r="H720" t="str">
            <v>GR / IR Clearing -SemiFinished Goods- Auto</v>
          </cell>
          <cell r="I720" t="str">
            <v>4500055142</v>
          </cell>
          <cell r="J720" t="str">
            <v>03B1</v>
          </cell>
          <cell r="K720" t="str">
            <v>100736</v>
          </cell>
          <cell r="L720" t="str">
            <v>VVF LTD.</v>
          </cell>
          <cell r="M720" t="str">
            <v>501277</v>
          </cell>
          <cell r="N720" t="str">
            <v>Split Fatty Acid C8-C18</v>
          </cell>
          <cell r="O720" t="str">
            <v>INR</v>
          </cell>
          <cell r="P720" t="str">
            <v/>
          </cell>
          <cell r="Q720" t="str">
            <v/>
          </cell>
          <cell r="R720" t="str">
            <v>010000441974</v>
          </cell>
          <cell r="S720" t="str">
            <v>A</v>
          </cell>
          <cell r="T720" t="str">
            <v>9084015801</v>
          </cell>
          <cell r="U720" t="str">
            <v>P003</v>
          </cell>
          <cell r="V720" t="str">
            <v>2010</v>
          </cell>
          <cell r="W720" t="str">
            <v/>
          </cell>
          <cell r="X720" t="str">
            <v>MT</v>
          </cell>
          <cell r="Y720" t="str">
            <v/>
          </cell>
          <cell r="Z720" t="str">
            <v>VVF</v>
          </cell>
          <cell r="AA720" t="str">
            <v>WE</v>
          </cell>
          <cell r="AB720">
            <v>40419</v>
          </cell>
          <cell r="AC720">
            <v>40419</v>
          </cell>
          <cell r="AD720">
            <v>40395</v>
          </cell>
          <cell r="AE720">
            <v>-1307400</v>
          </cell>
          <cell r="AF720">
            <v>-24.3</v>
          </cell>
        </row>
        <row r="721">
          <cell r="A721" t="str">
            <v>5000527088</v>
          </cell>
          <cell r="B721" t="str">
            <v>5000524393</v>
          </cell>
          <cell r="C721" t="str">
            <v>450005497400010</v>
          </cell>
          <cell r="D721" t="str">
            <v>MIGO_GR</v>
          </cell>
          <cell r="E721" t="str">
            <v>5101567/26.08.10</v>
          </cell>
          <cell r="F721" t="str">
            <v>9200019704</v>
          </cell>
          <cell r="G721" t="str">
            <v>25545</v>
          </cell>
          <cell r="H721" t="str">
            <v>GR / IR Clearing -SemiFinished Goods- Auto</v>
          </cell>
          <cell r="I721" t="str">
            <v>4500054974</v>
          </cell>
          <cell r="J721" t="str">
            <v>14B2</v>
          </cell>
          <cell r="K721" t="str">
            <v>101276</v>
          </cell>
          <cell r="L721" t="str">
            <v>VVF Limited-Kutch</v>
          </cell>
          <cell r="M721" t="str">
            <v>501065</v>
          </cell>
          <cell r="N721" t="str">
            <v>NOODLES ALOEVERA SOAP</v>
          </cell>
          <cell r="O721" t="str">
            <v>INR</v>
          </cell>
          <cell r="P721" t="str">
            <v>P056</v>
          </cell>
          <cell r="Q721" t="str">
            <v/>
          </cell>
          <cell r="R721" t="str">
            <v>010000441974</v>
          </cell>
          <cell r="S721" t="str">
            <v>A</v>
          </cell>
          <cell r="T721" t="str">
            <v>9084015801</v>
          </cell>
          <cell r="U721" t="str">
            <v>P014</v>
          </cell>
          <cell r="V721" t="str">
            <v>2010</v>
          </cell>
          <cell r="W721" t="str">
            <v/>
          </cell>
          <cell r="X721" t="str">
            <v>MT</v>
          </cell>
          <cell r="Y721" t="str">
            <v/>
          </cell>
          <cell r="Z721" t="str">
            <v>VVF</v>
          </cell>
          <cell r="AA721" t="str">
            <v>WE</v>
          </cell>
          <cell r="AB721">
            <v>40419</v>
          </cell>
          <cell r="AC721">
            <v>40419</v>
          </cell>
          <cell r="AD721">
            <v>40390</v>
          </cell>
          <cell r="AE721">
            <v>-319370</v>
          </cell>
          <cell r="AF721">
            <v>24.3</v>
          </cell>
        </row>
        <row r="722">
          <cell r="A722" t="str">
            <v>5000527067</v>
          </cell>
          <cell r="B722" t="str">
            <v>5000524393</v>
          </cell>
          <cell r="C722" t="str">
            <v>450005514200010</v>
          </cell>
          <cell r="D722" t="str">
            <v>MIGO_GR</v>
          </cell>
          <cell r="E722" t="str">
            <v>8103040/26.08.10</v>
          </cell>
          <cell r="F722" t="str">
            <v>9200019705</v>
          </cell>
          <cell r="G722" t="str">
            <v>25545</v>
          </cell>
          <cell r="H722" t="str">
            <v>GR / IR Clearing -SemiFinished Goods- Auto</v>
          </cell>
          <cell r="I722" t="str">
            <v>4500055142</v>
          </cell>
          <cell r="J722" t="str">
            <v>03B1</v>
          </cell>
          <cell r="K722" t="str">
            <v>100736</v>
          </cell>
          <cell r="L722" t="str">
            <v>VVF LTD.</v>
          </cell>
          <cell r="M722" t="str">
            <v>501277</v>
          </cell>
          <cell r="N722" t="str">
            <v>Split Fatty Acid C8-C18</v>
          </cell>
          <cell r="O722" t="str">
            <v>INR</v>
          </cell>
          <cell r="P722" t="str">
            <v/>
          </cell>
          <cell r="Q722" t="str">
            <v/>
          </cell>
          <cell r="R722" t="str">
            <v>010000441974</v>
          </cell>
          <cell r="S722" t="str">
            <v>A</v>
          </cell>
          <cell r="T722" t="str">
            <v>9084014115</v>
          </cell>
          <cell r="U722" t="str">
            <v>P003</v>
          </cell>
          <cell r="V722" t="str">
            <v>2010</v>
          </cell>
          <cell r="W722" t="str">
            <v/>
          </cell>
          <cell r="X722" t="str">
            <v>MT</v>
          </cell>
          <cell r="Y722" t="str">
            <v/>
          </cell>
          <cell r="Z722" t="str">
            <v>VVF</v>
          </cell>
          <cell r="AA722" t="str">
            <v>WE</v>
          </cell>
          <cell r="AB722">
            <v>40419</v>
          </cell>
          <cell r="AC722">
            <v>40419</v>
          </cell>
          <cell r="AD722">
            <v>40395</v>
          </cell>
          <cell r="AE722">
            <v>-1433400</v>
          </cell>
          <cell r="AF722">
            <v>-24.3</v>
          </cell>
        </row>
        <row r="723">
          <cell r="A723" t="str">
            <v>5000527069</v>
          </cell>
          <cell r="B723" t="str">
            <v>5000524393</v>
          </cell>
          <cell r="C723" t="str">
            <v>450005514200010</v>
          </cell>
          <cell r="D723" t="str">
            <v>MIGO_GR</v>
          </cell>
          <cell r="E723" t="str">
            <v>8103088 28.08.10</v>
          </cell>
          <cell r="F723" t="str">
            <v>9200019707</v>
          </cell>
          <cell r="G723" t="str">
            <v>25545</v>
          </cell>
          <cell r="H723" t="str">
            <v>GR / IR Clearing -SemiFinished Goods- Auto</v>
          </cell>
          <cell r="I723" t="str">
            <v>4500055142</v>
          </cell>
          <cell r="J723" t="str">
            <v>03B1</v>
          </cell>
          <cell r="K723" t="str">
            <v>100736</v>
          </cell>
          <cell r="L723" t="str">
            <v>VVF LTD.</v>
          </cell>
          <cell r="M723" t="str">
            <v>501277</v>
          </cell>
          <cell r="N723" t="str">
            <v>Split Fatty Acid C8-C18</v>
          </cell>
          <cell r="O723" t="str">
            <v>INR</v>
          </cell>
          <cell r="P723" t="str">
            <v/>
          </cell>
          <cell r="Q723" t="str">
            <v/>
          </cell>
          <cell r="R723" t="str">
            <v>010000441974</v>
          </cell>
          <cell r="S723" t="str">
            <v>A</v>
          </cell>
          <cell r="T723" t="str">
            <v>9084019451</v>
          </cell>
          <cell r="U723" t="str">
            <v>P003</v>
          </cell>
          <cell r="V723" t="str">
            <v>2010</v>
          </cell>
          <cell r="W723" t="str">
            <v/>
          </cell>
          <cell r="X723" t="str">
            <v>MT</v>
          </cell>
          <cell r="Y723" t="str">
            <v/>
          </cell>
          <cell r="Z723" t="str">
            <v>VVF</v>
          </cell>
          <cell r="AA723" t="str">
            <v>WE</v>
          </cell>
          <cell r="AB723">
            <v>40420</v>
          </cell>
          <cell r="AC723">
            <v>40420</v>
          </cell>
          <cell r="AD723">
            <v>40395</v>
          </cell>
          <cell r="AE723">
            <v>-1277400</v>
          </cell>
          <cell r="AF723">
            <v>24.3</v>
          </cell>
        </row>
        <row r="724">
          <cell r="A724" t="str">
            <v>5000527101</v>
          </cell>
          <cell r="B724" t="str">
            <v>5000524393</v>
          </cell>
          <cell r="C724" t="str">
            <v>450005514200010</v>
          </cell>
          <cell r="D724" t="str">
            <v>MIGO_GR</v>
          </cell>
          <cell r="E724" t="str">
            <v>8103080 28.08.10</v>
          </cell>
          <cell r="F724" t="str">
            <v>9200019708</v>
          </cell>
          <cell r="G724" t="str">
            <v>25545</v>
          </cell>
          <cell r="H724" t="str">
            <v>GR / IR Clearing -SemiFinished Goods- Auto</v>
          </cell>
          <cell r="I724" t="str">
            <v>4500055142</v>
          </cell>
          <cell r="J724" t="str">
            <v>03B1</v>
          </cell>
          <cell r="K724" t="str">
            <v>100736</v>
          </cell>
          <cell r="L724" t="str">
            <v>VVF LTD.</v>
          </cell>
          <cell r="M724" t="str">
            <v>501277</v>
          </cell>
          <cell r="N724" t="str">
            <v>Split Fatty Acid C8-C18</v>
          </cell>
          <cell r="O724" t="str">
            <v>INR</v>
          </cell>
          <cell r="P724" t="str">
            <v/>
          </cell>
          <cell r="Q724" t="str">
            <v/>
          </cell>
          <cell r="R724" t="str">
            <v>010000441974</v>
          </cell>
          <cell r="S724" t="str">
            <v>A</v>
          </cell>
          <cell r="T724" t="str">
            <v>9084015711</v>
          </cell>
          <cell r="U724" t="str">
            <v>P003</v>
          </cell>
          <cell r="V724" t="str">
            <v>2010</v>
          </cell>
          <cell r="W724" t="str">
            <v/>
          </cell>
          <cell r="X724" t="str">
            <v>MT</v>
          </cell>
          <cell r="Y724" t="str">
            <v/>
          </cell>
          <cell r="Z724" t="str">
            <v>VVF</v>
          </cell>
          <cell r="AA724" t="str">
            <v>WE</v>
          </cell>
          <cell r="AB724">
            <v>40420</v>
          </cell>
          <cell r="AC724">
            <v>40420</v>
          </cell>
          <cell r="AD724">
            <v>40395</v>
          </cell>
          <cell r="AE724">
            <v>-1259400</v>
          </cell>
          <cell r="AF724">
            <v>-24.3</v>
          </cell>
        </row>
        <row r="725">
          <cell r="A725" t="str">
            <v>5000527102</v>
          </cell>
          <cell r="B725" t="str">
            <v>5000524393</v>
          </cell>
          <cell r="C725" t="str">
            <v>450005514200010</v>
          </cell>
          <cell r="D725" t="str">
            <v>MIGO_GR</v>
          </cell>
          <cell r="E725" t="str">
            <v>8103094 28.08.10</v>
          </cell>
          <cell r="F725" t="str">
            <v>9200019709</v>
          </cell>
          <cell r="G725" t="str">
            <v>25545</v>
          </cell>
          <cell r="H725" t="str">
            <v>GR / IR Clearing -SemiFinished Goods- Auto</v>
          </cell>
          <cell r="I725" t="str">
            <v>4500055142</v>
          </cell>
          <cell r="J725" t="str">
            <v>03B1</v>
          </cell>
          <cell r="K725" t="str">
            <v>100736</v>
          </cell>
          <cell r="L725" t="str">
            <v>VVF LTD.</v>
          </cell>
          <cell r="M725" t="str">
            <v>501277</v>
          </cell>
          <cell r="N725" t="str">
            <v>Split Fatty Acid C8-C18</v>
          </cell>
          <cell r="O725" t="str">
            <v>INR</v>
          </cell>
          <cell r="P725" t="str">
            <v/>
          </cell>
          <cell r="Q725" t="str">
            <v/>
          </cell>
          <cell r="R725" t="str">
            <v>010000441974</v>
          </cell>
          <cell r="S725" t="str">
            <v>A</v>
          </cell>
          <cell r="T725" t="str">
            <v>9084015711</v>
          </cell>
          <cell r="U725" t="str">
            <v>P003</v>
          </cell>
          <cell r="V725" t="str">
            <v>2010</v>
          </cell>
          <cell r="W725" t="str">
            <v/>
          </cell>
          <cell r="X725" t="str">
            <v>MT</v>
          </cell>
          <cell r="Y725" t="str">
            <v/>
          </cell>
          <cell r="Z725" t="str">
            <v>VVF</v>
          </cell>
          <cell r="AA725" t="str">
            <v>WE</v>
          </cell>
          <cell r="AB725">
            <v>40420</v>
          </cell>
          <cell r="AC725">
            <v>40420</v>
          </cell>
          <cell r="AD725">
            <v>40395</v>
          </cell>
          <cell r="AE725">
            <v>-1273800</v>
          </cell>
          <cell r="AF725">
            <v>24.3</v>
          </cell>
        </row>
        <row r="726">
          <cell r="A726" t="str">
            <v>5000527104</v>
          </cell>
          <cell r="B726" t="str">
            <v>5000524393</v>
          </cell>
          <cell r="C726" t="str">
            <v>450005514200010</v>
          </cell>
          <cell r="D726" t="str">
            <v>MIGO_GR</v>
          </cell>
          <cell r="E726" t="str">
            <v>8103052 27.08.10</v>
          </cell>
          <cell r="F726" t="str">
            <v>9200019710</v>
          </cell>
          <cell r="G726" t="str">
            <v>25545</v>
          </cell>
          <cell r="H726" t="str">
            <v>GR / IR Clearing -SemiFinished Goods- Auto</v>
          </cell>
          <cell r="I726" t="str">
            <v>4500055142</v>
          </cell>
          <cell r="J726" t="str">
            <v>03B1</v>
          </cell>
          <cell r="K726" t="str">
            <v>100736</v>
          </cell>
          <cell r="L726" t="str">
            <v>VVF LTD.</v>
          </cell>
          <cell r="M726" t="str">
            <v>501277</v>
          </cell>
          <cell r="N726" t="str">
            <v>Split Fatty Acid C8-C18</v>
          </cell>
          <cell r="O726" t="str">
            <v>INR</v>
          </cell>
          <cell r="P726" t="str">
            <v/>
          </cell>
          <cell r="Q726" t="str">
            <v/>
          </cell>
          <cell r="R726" t="str">
            <v>010000441974</v>
          </cell>
          <cell r="S726" t="str">
            <v>A</v>
          </cell>
          <cell r="T726" t="str">
            <v>9084016169</v>
          </cell>
          <cell r="U726" t="str">
            <v>P003</v>
          </cell>
          <cell r="V726" t="str">
            <v>2010</v>
          </cell>
          <cell r="W726" t="str">
            <v/>
          </cell>
          <cell r="X726" t="str">
            <v>MT</v>
          </cell>
          <cell r="Y726" t="str">
            <v/>
          </cell>
          <cell r="Z726" t="str">
            <v>VVF</v>
          </cell>
          <cell r="AA726" t="str">
            <v>WE</v>
          </cell>
          <cell r="AB726">
            <v>40420</v>
          </cell>
          <cell r="AC726">
            <v>40420</v>
          </cell>
          <cell r="AD726">
            <v>40395</v>
          </cell>
          <cell r="AE726">
            <v>-1214400</v>
          </cell>
          <cell r="AF726">
            <v>-24.3</v>
          </cell>
        </row>
        <row r="727">
          <cell r="A727" t="str">
            <v>5000527167</v>
          </cell>
          <cell r="B727" t="str">
            <v>5000524393</v>
          </cell>
          <cell r="C727" t="str">
            <v>450005514200010</v>
          </cell>
          <cell r="D727" t="str">
            <v>MIGO_GR</v>
          </cell>
          <cell r="E727" t="str">
            <v>8103083 28.08.10</v>
          </cell>
          <cell r="F727" t="str">
            <v>9200019736</v>
          </cell>
          <cell r="G727" t="str">
            <v>25545</v>
          </cell>
          <cell r="H727" t="str">
            <v>GR / IR Clearing -SemiFinished Goods- Auto</v>
          </cell>
          <cell r="I727" t="str">
            <v>4500055142</v>
          </cell>
          <cell r="J727" t="str">
            <v>03B1</v>
          </cell>
          <cell r="K727" t="str">
            <v>100736</v>
          </cell>
          <cell r="L727" t="str">
            <v>VVF LTD.</v>
          </cell>
          <cell r="M727" t="str">
            <v>501277</v>
          </cell>
          <cell r="N727" t="str">
            <v>Split Fatty Acid C8-C18</v>
          </cell>
          <cell r="O727" t="str">
            <v>INR</v>
          </cell>
          <cell r="P727" t="str">
            <v/>
          </cell>
          <cell r="Q727" t="str">
            <v/>
          </cell>
          <cell r="R727" t="str">
            <v>010000441974</v>
          </cell>
          <cell r="S727" t="str">
            <v>A</v>
          </cell>
          <cell r="T727" t="str">
            <v>9084015846</v>
          </cell>
          <cell r="U727" t="str">
            <v>P003</v>
          </cell>
          <cell r="V727" t="str">
            <v>2010</v>
          </cell>
          <cell r="W727" t="str">
            <v/>
          </cell>
          <cell r="X727" t="str">
            <v>MT</v>
          </cell>
          <cell r="Y727" t="str">
            <v/>
          </cell>
          <cell r="Z727" t="str">
            <v>VVF</v>
          </cell>
          <cell r="AA727" t="str">
            <v>WE</v>
          </cell>
          <cell r="AB727">
            <v>40420</v>
          </cell>
          <cell r="AC727">
            <v>40420</v>
          </cell>
          <cell r="AD727">
            <v>40395</v>
          </cell>
          <cell r="AE727">
            <v>-1276800</v>
          </cell>
          <cell r="AF727">
            <v>24.3</v>
          </cell>
        </row>
        <row r="728">
          <cell r="A728" t="str">
            <v>5000527173</v>
          </cell>
          <cell r="B728" t="str">
            <v>5000524393</v>
          </cell>
          <cell r="C728" t="str">
            <v>450005514200010</v>
          </cell>
          <cell r="D728" t="str">
            <v>MIGO_GR</v>
          </cell>
          <cell r="E728" t="str">
            <v>8103093 28.08.10</v>
          </cell>
          <cell r="F728" t="str">
            <v>9200019745</v>
          </cell>
          <cell r="G728" t="str">
            <v>25545</v>
          </cell>
          <cell r="H728" t="str">
            <v>GR / IR Clearing -SemiFinished Goods- Auto</v>
          </cell>
          <cell r="I728" t="str">
            <v>4500055142</v>
          </cell>
          <cell r="J728" t="str">
            <v>03B1</v>
          </cell>
          <cell r="K728" t="str">
            <v>100736</v>
          </cell>
          <cell r="L728" t="str">
            <v>VVF LTD.</v>
          </cell>
          <cell r="M728" t="str">
            <v>501277</v>
          </cell>
          <cell r="N728" t="str">
            <v>Split Fatty Acid C8-C18</v>
          </cell>
          <cell r="O728" t="str">
            <v>INR</v>
          </cell>
          <cell r="P728" t="str">
            <v/>
          </cell>
          <cell r="Q728" t="str">
            <v/>
          </cell>
          <cell r="R728" t="str">
            <v>010000441974</v>
          </cell>
          <cell r="S728" t="str">
            <v>A</v>
          </cell>
          <cell r="T728" t="str">
            <v>9084015846</v>
          </cell>
          <cell r="U728" t="str">
            <v>P003</v>
          </cell>
          <cell r="V728" t="str">
            <v>2010</v>
          </cell>
          <cell r="W728" t="str">
            <v/>
          </cell>
          <cell r="X728" t="str">
            <v>MT</v>
          </cell>
          <cell r="Y728" t="str">
            <v/>
          </cell>
          <cell r="Z728" t="str">
            <v>VVF</v>
          </cell>
          <cell r="AA728" t="str">
            <v>WE</v>
          </cell>
          <cell r="AB728">
            <v>40420</v>
          </cell>
          <cell r="AC728">
            <v>40420</v>
          </cell>
          <cell r="AD728">
            <v>40395</v>
          </cell>
          <cell r="AE728">
            <v>-1273800</v>
          </cell>
          <cell r="AF728">
            <v>-24.3</v>
          </cell>
        </row>
        <row r="729">
          <cell r="A729" t="str">
            <v>5000527203</v>
          </cell>
          <cell r="B729" t="str">
            <v>5000524393</v>
          </cell>
          <cell r="C729" t="str">
            <v>450005514200010</v>
          </cell>
          <cell r="D729" t="str">
            <v>MIGO_GR</v>
          </cell>
          <cell r="E729" t="str">
            <v>8103095 28.08.10</v>
          </cell>
          <cell r="F729" t="str">
            <v>9200019753</v>
          </cell>
          <cell r="G729" t="str">
            <v>25545</v>
          </cell>
          <cell r="H729" t="str">
            <v>GR / IR Clearing -SemiFinished Goods- Auto</v>
          </cell>
          <cell r="I729" t="str">
            <v>4500055142</v>
          </cell>
          <cell r="J729" t="str">
            <v>03B1</v>
          </cell>
          <cell r="K729" t="str">
            <v>100736</v>
          </cell>
          <cell r="L729" t="str">
            <v>VVF LTD.</v>
          </cell>
          <cell r="M729" t="str">
            <v>501277</v>
          </cell>
          <cell r="N729" t="str">
            <v>Split Fatty Acid C8-C18</v>
          </cell>
          <cell r="O729" t="str">
            <v>INR</v>
          </cell>
          <cell r="P729" t="str">
            <v/>
          </cell>
          <cell r="Q729" t="str">
            <v/>
          </cell>
          <cell r="R729" t="str">
            <v>010000441974</v>
          </cell>
          <cell r="S729" t="str">
            <v>A</v>
          </cell>
          <cell r="T729" t="str">
            <v>9084050771</v>
          </cell>
          <cell r="U729" t="str">
            <v>P003</v>
          </cell>
          <cell r="V729" t="str">
            <v>2010</v>
          </cell>
          <cell r="W729" t="str">
            <v/>
          </cell>
          <cell r="X729" t="str">
            <v>MT</v>
          </cell>
          <cell r="Y729" t="str">
            <v/>
          </cell>
          <cell r="Z729" t="str">
            <v>VVF</v>
          </cell>
          <cell r="AA729" t="str">
            <v>WE</v>
          </cell>
          <cell r="AB729">
            <v>40420</v>
          </cell>
          <cell r="AC729">
            <v>40420</v>
          </cell>
          <cell r="AD729">
            <v>40395</v>
          </cell>
          <cell r="AE729">
            <v>-1243200</v>
          </cell>
          <cell r="AF729">
            <v>24.3</v>
          </cell>
        </row>
        <row r="730">
          <cell r="A730" t="str">
            <v>5000306732</v>
          </cell>
          <cell r="B730" t="str">
            <v>5000524393</v>
          </cell>
          <cell r="C730" t="str">
            <v>450003322500010</v>
          </cell>
          <cell r="D730" t="str">
            <v>MIGO_GR</v>
          </cell>
          <cell r="E730" t="str">
            <v>1103850/31.08.08</v>
          </cell>
          <cell r="F730" t="str">
            <v>9200021845</v>
          </cell>
          <cell r="G730" t="str">
            <v>25545</v>
          </cell>
          <cell r="H730" t="str">
            <v>GR / IR Clearing -SemiFinished Goods- Auto</v>
          </cell>
          <cell r="I730" t="str">
            <v>4500033225</v>
          </cell>
          <cell r="J730" t="str">
            <v>03B1</v>
          </cell>
          <cell r="K730" t="str">
            <v>100376</v>
          </cell>
          <cell r="L730" t="str">
            <v>VVF Limited-Sion</v>
          </cell>
          <cell r="M730" t="str">
            <v>501223</v>
          </cell>
          <cell r="N730" t="str">
            <v>DISTILLED FATTY ACID (C16C18)</v>
          </cell>
          <cell r="O730" t="str">
            <v>INR</v>
          </cell>
          <cell r="P730" t="str">
            <v/>
          </cell>
          <cell r="Q730" t="str">
            <v/>
          </cell>
          <cell r="R730" t="str">
            <v>010000441974</v>
          </cell>
          <cell r="S730" t="str">
            <v>A</v>
          </cell>
          <cell r="T730" t="str">
            <v>9084050771</v>
          </cell>
          <cell r="U730" t="str">
            <v>P003</v>
          </cell>
          <cell r="V730" t="str">
            <v>2008</v>
          </cell>
          <cell r="W730" t="str">
            <v/>
          </cell>
          <cell r="X730" t="str">
            <v>MT</v>
          </cell>
          <cell r="Y730" t="str">
            <v/>
          </cell>
          <cell r="Z730" t="str">
            <v>VVF</v>
          </cell>
          <cell r="AA730" t="str">
            <v>WE</v>
          </cell>
          <cell r="AB730">
            <v>39691</v>
          </cell>
          <cell r="AC730">
            <v>39691</v>
          </cell>
          <cell r="AD730">
            <v>39669</v>
          </cell>
          <cell r="AE730">
            <v>-537240</v>
          </cell>
          <cell r="AF730">
            <v>-24.3</v>
          </cell>
        </row>
        <row r="731">
          <cell r="A731" t="str">
            <v>5000417261</v>
          </cell>
          <cell r="B731" t="str">
            <v>5000524393</v>
          </cell>
          <cell r="C731" t="str">
            <v>450004149900050</v>
          </cell>
          <cell r="D731" t="str">
            <v>MIGO_GR</v>
          </cell>
          <cell r="E731" t="str">
            <v>3104123-20.09.09</v>
          </cell>
          <cell r="F731" t="str">
            <v>9200023525</v>
          </cell>
          <cell r="G731" t="str">
            <v>25545</v>
          </cell>
          <cell r="H731" t="str">
            <v>GR / IR Clearing -SemiFinished Goods- Auto</v>
          </cell>
          <cell r="I731" t="str">
            <v>4500041499</v>
          </cell>
          <cell r="J731" t="str">
            <v>14B2</v>
          </cell>
          <cell r="K731" t="str">
            <v>VVF-TALOJA</v>
          </cell>
          <cell r="L731" t="str">
            <v>VVF LIMITED - TALOJA</v>
          </cell>
          <cell r="M731" t="str">
            <v>501717</v>
          </cell>
          <cell r="N731" t="str">
            <v>SOAP NOODLES</v>
          </cell>
          <cell r="O731" t="str">
            <v>INR</v>
          </cell>
          <cell r="P731" t="str">
            <v/>
          </cell>
          <cell r="Q731" t="str">
            <v/>
          </cell>
          <cell r="R731" t="str">
            <v>010000335709</v>
          </cell>
          <cell r="S731" t="str">
            <v>A</v>
          </cell>
          <cell r="T731" t="str">
            <v>9084050771</v>
          </cell>
          <cell r="U731" t="str">
            <v>P014</v>
          </cell>
          <cell r="V731" t="str">
            <v>2009</v>
          </cell>
          <cell r="W731" t="str">
            <v/>
          </cell>
          <cell r="X731" t="str">
            <v>MT</v>
          </cell>
          <cell r="Y731" t="str">
            <v/>
          </cell>
          <cell r="Z731" t="str">
            <v>VVF</v>
          </cell>
          <cell r="AA731" t="str">
            <v>WE</v>
          </cell>
          <cell r="AB731">
            <v>40082</v>
          </cell>
          <cell r="AC731">
            <v>40082</v>
          </cell>
          <cell r="AD731">
            <v>39993</v>
          </cell>
          <cell r="AE731">
            <v>-464218.4</v>
          </cell>
          <cell r="AF731">
            <v>24.3</v>
          </cell>
        </row>
        <row r="732">
          <cell r="A732" t="str">
            <v>5000310507</v>
          </cell>
          <cell r="B732" t="str">
            <v>5000524393</v>
          </cell>
          <cell r="C732" t="str">
            <v>450003219100010</v>
          </cell>
          <cell r="D732" t="str">
            <v>MIGO_GR</v>
          </cell>
          <cell r="E732" t="str">
            <v>00031033454</v>
          </cell>
          <cell r="F732" t="str">
            <v>9200023531</v>
          </cell>
          <cell r="G732" t="str">
            <v>25545</v>
          </cell>
          <cell r="H732" t="str">
            <v>GR / IR Clearing -SemiFinished Goods- Auto</v>
          </cell>
          <cell r="I732" t="str">
            <v>4500032191</v>
          </cell>
          <cell r="J732" t="str">
            <v>01B1</v>
          </cell>
          <cell r="K732" t="str">
            <v>100576</v>
          </cell>
          <cell r="L732" t="str">
            <v>VVF LIMITED -TALOJA</v>
          </cell>
          <cell r="M732" t="str">
            <v>501427</v>
          </cell>
          <cell r="N732" t="str">
            <v>FATTY ACID RESIDUE</v>
          </cell>
          <cell r="O732" t="str">
            <v>INR</v>
          </cell>
          <cell r="P732" t="str">
            <v>P046</v>
          </cell>
          <cell r="Q732" t="str">
            <v/>
          </cell>
          <cell r="R732" t="str">
            <v>010000335709</v>
          </cell>
          <cell r="S732" t="str">
            <v>A</v>
          </cell>
          <cell r="T732" t="str">
            <v>9084027130</v>
          </cell>
          <cell r="U732" t="str">
            <v>P001</v>
          </cell>
          <cell r="V732" t="str">
            <v>2008</v>
          </cell>
          <cell r="W732" t="str">
            <v/>
          </cell>
          <cell r="X732" t="str">
            <v>MT</v>
          </cell>
          <cell r="Y732" t="str">
            <v/>
          </cell>
          <cell r="Z732" t="str">
            <v>VVF</v>
          </cell>
          <cell r="AA732" t="str">
            <v>WE</v>
          </cell>
          <cell r="AB732">
            <v>39702</v>
          </cell>
          <cell r="AC732">
            <v>39702</v>
          </cell>
          <cell r="AD732">
            <v>39637</v>
          </cell>
          <cell r="AE732">
            <v>-284689.74</v>
          </cell>
          <cell r="AF732">
            <v>-24.3</v>
          </cell>
        </row>
        <row r="733">
          <cell r="A733" t="str">
            <v>5000424278</v>
          </cell>
          <cell r="B733" t="str">
            <v>5000524393</v>
          </cell>
          <cell r="C733" t="str">
            <v>450004443500060</v>
          </cell>
          <cell r="D733" t="str">
            <v>MIGO_GR</v>
          </cell>
          <cell r="E733" t="str">
            <v>3104712-15.10.09</v>
          </cell>
          <cell r="F733" t="str">
            <v>9200026785</v>
          </cell>
          <cell r="G733" t="str">
            <v>25545</v>
          </cell>
          <cell r="H733" t="str">
            <v>GR / IR Clearing -SemiFinished Goods- Auto</v>
          </cell>
          <cell r="I733" t="str">
            <v>4500044435</v>
          </cell>
          <cell r="J733" t="str">
            <v>14B2</v>
          </cell>
          <cell r="K733" t="str">
            <v>VVF-TALOJA</v>
          </cell>
          <cell r="L733" t="str">
            <v>VVF LIMITED - TALOJA</v>
          </cell>
          <cell r="M733" t="str">
            <v>501572</v>
          </cell>
          <cell r="N733" t="str">
            <v>SOAP NOODLES</v>
          </cell>
          <cell r="O733" t="str">
            <v>INR</v>
          </cell>
          <cell r="P733" t="str">
            <v/>
          </cell>
          <cell r="Q733" t="str">
            <v/>
          </cell>
          <cell r="R733" t="str">
            <v>010000341420</v>
          </cell>
          <cell r="S733" t="str">
            <v>A</v>
          </cell>
          <cell r="T733" t="str">
            <v>9084027130</v>
          </cell>
          <cell r="U733" t="str">
            <v>P014</v>
          </cell>
          <cell r="V733" t="str">
            <v>2009</v>
          </cell>
          <cell r="W733" t="str">
            <v/>
          </cell>
          <cell r="X733" t="str">
            <v>MT</v>
          </cell>
          <cell r="Y733" t="str">
            <v/>
          </cell>
          <cell r="Z733" t="str">
            <v>VVF</v>
          </cell>
          <cell r="AA733" t="str">
            <v>WE</v>
          </cell>
          <cell r="AB733">
            <v>40106</v>
          </cell>
          <cell r="AC733">
            <v>40106</v>
          </cell>
          <cell r="AD733">
            <v>40085</v>
          </cell>
          <cell r="AE733">
            <v>-272764.79999999999</v>
          </cell>
          <cell r="AF733">
            <v>24.3</v>
          </cell>
        </row>
        <row r="734">
          <cell r="A734" t="str">
            <v>5000424278</v>
          </cell>
          <cell r="B734" t="str">
            <v>5000524393</v>
          </cell>
          <cell r="C734" t="str">
            <v>450003782800040</v>
          </cell>
          <cell r="D734" t="str">
            <v>MIGO_GR</v>
          </cell>
          <cell r="E734" t="str">
            <v>3104712-15.10.09</v>
          </cell>
          <cell r="F734" t="str">
            <v>9200026785</v>
          </cell>
          <cell r="G734" t="str">
            <v>25545</v>
          </cell>
          <cell r="H734" t="str">
            <v>GR / IR Clearing -SemiFinished Goods- Auto</v>
          </cell>
          <cell r="I734" t="str">
            <v>4500037828</v>
          </cell>
          <cell r="J734" t="str">
            <v>14B2</v>
          </cell>
          <cell r="K734" t="str">
            <v>VVF-TALOJA</v>
          </cell>
          <cell r="L734" t="str">
            <v>VVF LIMITED - TALOJA</v>
          </cell>
          <cell r="M734" t="str">
            <v>500637</v>
          </cell>
          <cell r="N734" t="str">
            <v>SOAP NOODLES</v>
          </cell>
          <cell r="O734" t="str">
            <v>INR</v>
          </cell>
          <cell r="P734" t="str">
            <v/>
          </cell>
          <cell r="Q734" t="str">
            <v/>
          </cell>
          <cell r="R734" t="str">
            <v>010000341420</v>
          </cell>
          <cell r="S734" t="str">
            <v>A</v>
          </cell>
          <cell r="T734" t="str">
            <v>9084027130</v>
          </cell>
          <cell r="U734" t="str">
            <v>P014</v>
          </cell>
          <cell r="V734" t="str">
            <v>2009</v>
          </cell>
          <cell r="W734" t="str">
            <v/>
          </cell>
          <cell r="X734" t="str">
            <v>MT</v>
          </cell>
          <cell r="Y734" t="str">
            <v/>
          </cell>
          <cell r="Z734" t="str">
            <v>VVF</v>
          </cell>
          <cell r="AA734" t="str">
            <v>WE</v>
          </cell>
          <cell r="AB734">
            <v>40106</v>
          </cell>
          <cell r="AC734">
            <v>40106</v>
          </cell>
          <cell r="AD734">
            <v>39869</v>
          </cell>
          <cell r="AE734">
            <v>-283270.8</v>
          </cell>
          <cell r="AF734">
            <v>-24.3</v>
          </cell>
        </row>
        <row r="735">
          <cell r="A735" t="str">
            <v>5000331596</v>
          </cell>
          <cell r="B735" t="str">
            <v>5000524393</v>
          </cell>
          <cell r="C735" t="str">
            <v>450003282300050</v>
          </cell>
          <cell r="D735" t="str">
            <v>MIGO_GR</v>
          </cell>
          <cell r="E735" t="str">
            <v>3104628/18.11.08</v>
          </cell>
          <cell r="F735" t="str">
            <v>9200032798</v>
          </cell>
          <cell r="G735" t="str">
            <v>25545</v>
          </cell>
          <cell r="H735" t="str">
            <v>GR / IR Clearing -SemiFinished Goods- Auto</v>
          </cell>
          <cell r="I735" t="str">
            <v>4500032823</v>
          </cell>
          <cell r="J735" t="str">
            <v>14B2</v>
          </cell>
          <cell r="K735" t="str">
            <v>100576</v>
          </cell>
          <cell r="L735" t="str">
            <v>VVF LIMITED -TALOJA</v>
          </cell>
          <cell r="M735" t="str">
            <v>501572</v>
          </cell>
          <cell r="N735" t="str">
            <v>SOAP NOODLES</v>
          </cell>
          <cell r="O735" t="str">
            <v>INR</v>
          </cell>
          <cell r="P735" t="str">
            <v>P056</v>
          </cell>
          <cell r="Q735" t="str">
            <v/>
          </cell>
          <cell r="R735" t="str">
            <v>010000270400</v>
          </cell>
          <cell r="S735" t="str">
            <v>A</v>
          </cell>
          <cell r="T735" t="str">
            <v>9084027130</v>
          </cell>
          <cell r="U735" t="str">
            <v>P014</v>
          </cell>
          <cell r="V735" t="str">
            <v>2008</v>
          </cell>
          <cell r="W735" t="str">
            <v/>
          </cell>
          <cell r="X735" t="str">
            <v>MT</v>
          </cell>
          <cell r="Y735" t="str">
            <v/>
          </cell>
          <cell r="Z735" t="str">
            <v>VVF</v>
          </cell>
          <cell r="AA735" t="str">
            <v>WE</v>
          </cell>
          <cell r="AB735">
            <v>39776</v>
          </cell>
          <cell r="AC735">
            <v>39776</v>
          </cell>
          <cell r="AD735">
            <v>39657</v>
          </cell>
          <cell r="AE735">
            <v>-654934.59</v>
          </cell>
          <cell r="AF735">
            <v>24.3</v>
          </cell>
        </row>
        <row r="736">
          <cell r="A736" t="str">
            <v>5000333880</v>
          </cell>
          <cell r="B736" t="str">
            <v>5000524393</v>
          </cell>
          <cell r="C736" t="str">
            <v>450003282300020</v>
          </cell>
          <cell r="D736" t="str">
            <v>MIGO_GR</v>
          </cell>
          <cell r="E736" t="str">
            <v>3104823/26.11.08</v>
          </cell>
          <cell r="F736" t="str">
            <v>9200033784</v>
          </cell>
          <cell r="G736" t="str">
            <v>25545</v>
          </cell>
          <cell r="H736" t="str">
            <v>GR / IR Clearing -SemiFinished Goods- Auto</v>
          </cell>
          <cell r="I736" t="str">
            <v>4500032823</v>
          </cell>
          <cell r="J736" t="str">
            <v>14B2</v>
          </cell>
          <cell r="K736" t="str">
            <v>100576</v>
          </cell>
          <cell r="L736" t="str">
            <v>VVF LIMITED -TALOJA</v>
          </cell>
          <cell r="M736" t="str">
            <v>500639</v>
          </cell>
          <cell r="N736" t="str">
            <v>SOAP NOODLES</v>
          </cell>
          <cell r="O736" t="str">
            <v>INR</v>
          </cell>
          <cell r="P736" t="str">
            <v>P056</v>
          </cell>
          <cell r="Q736" t="str">
            <v/>
          </cell>
          <cell r="R736" t="str">
            <v>010000271731</v>
          </cell>
          <cell r="S736" t="str">
            <v>A</v>
          </cell>
          <cell r="T736" t="str">
            <v>9084027130</v>
          </cell>
          <cell r="U736" t="str">
            <v>P014</v>
          </cell>
          <cell r="V736" t="str">
            <v>2008</v>
          </cell>
          <cell r="W736" t="str">
            <v/>
          </cell>
          <cell r="X736" t="str">
            <v>MT</v>
          </cell>
          <cell r="Y736" t="str">
            <v/>
          </cell>
          <cell r="Z736" t="str">
            <v>VVF</v>
          </cell>
          <cell r="AA736" t="str">
            <v>WE</v>
          </cell>
          <cell r="AB736">
            <v>39783</v>
          </cell>
          <cell r="AC736">
            <v>39783</v>
          </cell>
          <cell r="AD736">
            <v>39657</v>
          </cell>
          <cell r="AE736">
            <v>-763352.74</v>
          </cell>
          <cell r="AF736">
            <v>-24.3</v>
          </cell>
        </row>
        <row r="737">
          <cell r="A737" t="str">
            <v>5000451510</v>
          </cell>
          <cell r="B737" t="str">
            <v>5000451510</v>
          </cell>
          <cell r="C737" t="str">
            <v>450004454300020</v>
          </cell>
          <cell r="D737" t="str">
            <v>MIGO_GR</v>
          </cell>
          <cell r="E737" t="str">
            <v>3107189</v>
          </cell>
          <cell r="F737" t="str">
            <v>9200038807</v>
          </cell>
          <cell r="G737" t="str">
            <v>25545</v>
          </cell>
          <cell r="H737" t="str">
            <v>GR / IR Clearing -SemiFinished Goods- Auto</v>
          </cell>
          <cell r="I737" t="str">
            <v>4500044543</v>
          </cell>
          <cell r="J737" t="str">
            <v>13B2</v>
          </cell>
          <cell r="K737" t="str">
            <v>VVF-TALOJA</v>
          </cell>
          <cell r="L737" t="str">
            <v>VVF LIMITED - TALOJA</v>
          </cell>
          <cell r="M737" t="str">
            <v>501266</v>
          </cell>
          <cell r="N737" t="str">
            <v>Vitavon TF</v>
          </cell>
          <cell r="O737" t="str">
            <v>INR</v>
          </cell>
          <cell r="P737" t="str">
            <v/>
          </cell>
          <cell r="Q737" t="str">
            <v/>
          </cell>
          <cell r="R737" t="str">
            <v>010000362482</v>
          </cell>
          <cell r="S737" t="str">
            <v>A</v>
          </cell>
          <cell r="T737" t="str">
            <v>9084039316</v>
          </cell>
          <cell r="U737" t="str">
            <v>P013</v>
          </cell>
          <cell r="V737" t="str">
            <v>2010</v>
          </cell>
          <cell r="W737" t="str">
            <v>105</v>
          </cell>
          <cell r="X737" t="str">
            <v>MT</v>
          </cell>
          <cell r="Y737" t="str">
            <v>0000091814</v>
          </cell>
          <cell r="Z737" t="str">
            <v>VVF</v>
          </cell>
          <cell r="AA737" t="str">
            <v>WE</v>
          </cell>
          <cell r="AB737">
            <v>40180</v>
          </cell>
          <cell r="AC737">
            <v>40180</v>
          </cell>
          <cell r="AD737">
            <v>40088</v>
          </cell>
          <cell r="AE737">
            <v>-417520</v>
          </cell>
          <cell r="AF737">
            <v>-16</v>
          </cell>
        </row>
        <row r="738">
          <cell r="A738" t="str">
            <v>5000453494</v>
          </cell>
          <cell r="B738" t="str">
            <v>5000453494</v>
          </cell>
          <cell r="C738" t="str">
            <v>450004361700020</v>
          </cell>
          <cell r="D738" t="str">
            <v>MIGO_GR</v>
          </cell>
          <cell r="E738" t="str">
            <v>3107267-04.01.10</v>
          </cell>
          <cell r="F738" t="str">
            <v>9200039696</v>
          </cell>
          <cell r="G738" t="str">
            <v>25545</v>
          </cell>
          <cell r="H738" t="str">
            <v>GR / IR Clearing -SemiFinished Goods- Auto</v>
          </cell>
          <cell r="I738" t="str">
            <v>4500043617</v>
          </cell>
          <cell r="J738" t="str">
            <v>11B2</v>
          </cell>
          <cell r="K738" t="str">
            <v>VVF-TALOJA</v>
          </cell>
          <cell r="L738" t="str">
            <v>VVF LIMITED - TALOJA</v>
          </cell>
          <cell r="M738" t="str">
            <v>500043</v>
          </cell>
          <cell r="N738" t="str">
            <v>C12&gt;99%</v>
          </cell>
          <cell r="O738" t="str">
            <v>INR</v>
          </cell>
          <cell r="P738" t="str">
            <v/>
          </cell>
          <cell r="Q738" t="str">
            <v/>
          </cell>
          <cell r="R738" t="str">
            <v>010000364297</v>
          </cell>
          <cell r="S738" t="str">
            <v>A</v>
          </cell>
          <cell r="T738" t="str">
            <v>9084040963</v>
          </cell>
          <cell r="U738" t="str">
            <v>P011</v>
          </cell>
          <cell r="V738" t="str">
            <v>2010</v>
          </cell>
          <cell r="W738" t="str">
            <v>105</v>
          </cell>
          <cell r="X738" t="str">
            <v>MT</v>
          </cell>
          <cell r="Y738" t="str">
            <v>9207</v>
          </cell>
          <cell r="Z738" t="str">
            <v>VVF</v>
          </cell>
          <cell r="AA738" t="str">
            <v>WE</v>
          </cell>
          <cell r="AB738">
            <v>40185</v>
          </cell>
          <cell r="AC738">
            <v>40186</v>
          </cell>
          <cell r="AD738">
            <v>40061</v>
          </cell>
          <cell r="AE738">
            <v>-914631.89</v>
          </cell>
          <cell r="AF738">
            <v>-18.989999999999998</v>
          </cell>
        </row>
        <row r="739">
          <cell r="A739" t="str">
            <v>5000349043</v>
          </cell>
          <cell r="B739" t="str">
            <v>5000349043</v>
          </cell>
          <cell r="C739" t="str">
            <v>450003608600010</v>
          </cell>
          <cell r="D739" t="str">
            <v>MIGO_GR</v>
          </cell>
          <cell r="E739" t="str">
            <v>0003106217</v>
          </cell>
          <cell r="F739" t="str">
            <v>9200040608</v>
          </cell>
          <cell r="G739" t="str">
            <v>25545</v>
          </cell>
          <cell r="H739" t="str">
            <v>GR / IR Clearing -SemiFinished Goods- Auto</v>
          </cell>
          <cell r="I739" t="str">
            <v>4500036086</v>
          </cell>
          <cell r="J739" t="str">
            <v>01B1</v>
          </cell>
          <cell r="K739" t="str">
            <v>100576</v>
          </cell>
          <cell r="L739" t="str">
            <v>VVF LIMITED -TALOJA</v>
          </cell>
          <cell r="M739" t="str">
            <v>501427</v>
          </cell>
          <cell r="N739" t="str">
            <v>FATTY ACID RESIDUE</v>
          </cell>
          <cell r="O739" t="str">
            <v>INR</v>
          </cell>
          <cell r="P739" t="str">
            <v>P056</v>
          </cell>
          <cell r="Q739" t="str">
            <v/>
          </cell>
          <cell r="R739" t="str">
            <v>010000364297</v>
          </cell>
          <cell r="S739" t="str">
            <v>A</v>
          </cell>
          <cell r="T739" t="str">
            <v>9084036297</v>
          </cell>
          <cell r="U739" t="str">
            <v>P001</v>
          </cell>
          <cell r="V739" t="str">
            <v>2009</v>
          </cell>
          <cell r="W739" t="str">
            <v>105</v>
          </cell>
          <cell r="X739" t="str">
            <v>MT</v>
          </cell>
          <cell r="Y739" t="str">
            <v>T120822101</v>
          </cell>
          <cell r="Z739" t="str">
            <v>VVF</v>
          </cell>
          <cell r="AA739" t="str">
            <v>WE</v>
          </cell>
          <cell r="AB739">
            <v>39844</v>
          </cell>
          <cell r="AC739">
            <v>39846</v>
          </cell>
          <cell r="AD739">
            <v>39794</v>
          </cell>
          <cell r="AE739">
            <v>-147313.72</v>
          </cell>
          <cell r="AF739">
            <v>-8.0299999999999994</v>
          </cell>
        </row>
        <row r="740">
          <cell r="A740" t="str">
            <v>5000466146</v>
          </cell>
          <cell r="B740" t="str">
            <v>5000466145</v>
          </cell>
          <cell r="C740" t="str">
            <v>450004574300010</v>
          </cell>
          <cell r="D740" t="str">
            <v>MIGO_GR</v>
          </cell>
          <cell r="E740" t="str">
            <v>3108375/4.2.10</v>
          </cell>
          <cell r="F740" t="str">
            <v>9200045006</v>
          </cell>
          <cell r="G740" t="str">
            <v>25545</v>
          </cell>
          <cell r="H740" t="str">
            <v>GR / IR Clearing -SemiFinished Goods- Auto</v>
          </cell>
          <cell r="I740" t="str">
            <v>4500045743</v>
          </cell>
          <cell r="J740" t="str">
            <v>14B2</v>
          </cell>
          <cell r="K740" t="str">
            <v>VVF-TALOJA</v>
          </cell>
          <cell r="L740" t="str">
            <v>VVF LIMITED - TALOJA</v>
          </cell>
          <cell r="M740" t="str">
            <v>501266</v>
          </cell>
          <cell r="N740" t="str">
            <v>SOAP NOODLES</v>
          </cell>
          <cell r="O740" t="str">
            <v>INR</v>
          </cell>
          <cell r="P740" t="str">
            <v/>
          </cell>
          <cell r="Q740" t="str">
            <v/>
          </cell>
          <cell r="R740" t="str">
            <v>010000380541</v>
          </cell>
          <cell r="S740" t="str">
            <v>A</v>
          </cell>
          <cell r="T740" t="str">
            <v>9084036297</v>
          </cell>
          <cell r="U740" t="str">
            <v>P014</v>
          </cell>
          <cell r="V740" t="str">
            <v>2010</v>
          </cell>
          <cell r="W740" t="str">
            <v>105</v>
          </cell>
          <cell r="X740" t="str">
            <v>MT</v>
          </cell>
          <cell r="Y740" t="str">
            <v>T02100019</v>
          </cell>
          <cell r="Z740" t="str">
            <v>VVF</v>
          </cell>
          <cell r="AA740" t="str">
            <v>WE</v>
          </cell>
          <cell r="AB740">
            <v>40220</v>
          </cell>
          <cell r="AC740">
            <v>40220</v>
          </cell>
          <cell r="AD740">
            <v>40123</v>
          </cell>
          <cell r="AE740">
            <v>-451748.96</v>
          </cell>
          <cell r="AF740">
            <v>-16.8</v>
          </cell>
        </row>
        <row r="741">
          <cell r="A741" t="str">
            <v>5000365054</v>
          </cell>
          <cell r="B741" t="str">
            <v>5000365060</v>
          </cell>
          <cell r="C741" t="str">
            <v>450003782800060</v>
          </cell>
          <cell r="D741" t="str">
            <v>MIGO_GR</v>
          </cell>
          <cell r="E741" t="str">
            <v>3107219/25.3.09</v>
          </cell>
          <cell r="F741" t="str">
            <v>9200047447</v>
          </cell>
          <cell r="G741" t="str">
            <v>25545</v>
          </cell>
          <cell r="H741" t="str">
            <v>GR / IR Clearing -SemiFinished Goods- Auto</v>
          </cell>
          <cell r="I741" t="str">
            <v>4500037828</v>
          </cell>
          <cell r="J741" t="str">
            <v>14B2</v>
          </cell>
          <cell r="K741" t="str">
            <v>VVF-TALOJA</v>
          </cell>
          <cell r="L741" t="str">
            <v>VVF LIMITED - TALOJA</v>
          </cell>
          <cell r="M741" t="str">
            <v>501572</v>
          </cell>
          <cell r="N741" t="str">
            <v>SOAP NOODLES</v>
          </cell>
          <cell r="O741" t="str">
            <v>INR</v>
          </cell>
          <cell r="P741" t="str">
            <v/>
          </cell>
          <cell r="Q741" t="str">
            <v/>
          </cell>
          <cell r="R741" t="str">
            <v>010000294020</v>
          </cell>
          <cell r="S741" t="str">
            <v>A</v>
          </cell>
          <cell r="T741" t="str">
            <v>9084036297</v>
          </cell>
          <cell r="U741" t="str">
            <v>P014</v>
          </cell>
          <cell r="V741" t="str">
            <v>2009</v>
          </cell>
          <cell r="W741" t="str">
            <v>105</v>
          </cell>
          <cell r="X741" t="str">
            <v>MT</v>
          </cell>
          <cell r="Y741" t="str">
            <v>T03090052</v>
          </cell>
          <cell r="Z741" t="str">
            <v>VVF</v>
          </cell>
          <cell r="AA741" t="str">
            <v>WE</v>
          </cell>
          <cell r="AB741">
            <v>39902</v>
          </cell>
          <cell r="AC741">
            <v>39902</v>
          </cell>
          <cell r="AD741">
            <v>39869</v>
          </cell>
          <cell r="AE741">
            <v>-592090.26</v>
          </cell>
          <cell r="AF741">
            <v>-16.399999999999999</v>
          </cell>
        </row>
        <row r="742">
          <cell r="A742" t="str">
            <v>5000474458</v>
          </cell>
          <cell r="B742" t="str">
            <v>5000474458</v>
          </cell>
          <cell r="C742" t="str">
            <v>450004913300010</v>
          </cell>
          <cell r="D742" t="str">
            <v>MIGO_GR</v>
          </cell>
          <cell r="E742" t="str">
            <v>310012886</v>
          </cell>
          <cell r="F742" t="str">
            <v>9200048605</v>
          </cell>
          <cell r="G742" t="str">
            <v>25545</v>
          </cell>
          <cell r="H742" t="str">
            <v>GR / IR Clearing -SemiFinished Goods- Auto</v>
          </cell>
          <cell r="I742" t="str">
            <v>4500049133</v>
          </cell>
          <cell r="J742" t="str">
            <v>13B2</v>
          </cell>
          <cell r="K742" t="str">
            <v>VVF-TALOJA</v>
          </cell>
          <cell r="L742" t="str">
            <v>VVF LIMITED - TALOJA</v>
          </cell>
          <cell r="M742" t="str">
            <v>501065</v>
          </cell>
          <cell r="N742" t="str">
            <v>NOODLES ALOEVERA SOAP</v>
          </cell>
          <cell r="O742" t="str">
            <v>INR</v>
          </cell>
          <cell r="P742" t="str">
            <v/>
          </cell>
          <cell r="Q742" t="str">
            <v/>
          </cell>
          <cell r="R742" t="str">
            <v>010000390776</v>
          </cell>
          <cell r="S742" t="str">
            <v>A</v>
          </cell>
          <cell r="T742" t="str">
            <v>9084049741</v>
          </cell>
          <cell r="U742" t="str">
            <v>P013</v>
          </cell>
          <cell r="V742" t="str">
            <v>2010</v>
          </cell>
          <cell r="W742" t="str">
            <v>105</v>
          </cell>
          <cell r="X742" t="str">
            <v>MT</v>
          </cell>
          <cell r="Y742" t="str">
            <v>0000096579</v>
          </cell>
          <cell r="Z742" t="str">
            <v>VVF</v>
          </cell>
          <cell r="AA742" t="str">
            <v>WE</v>
          </cell>
          <cell r="AB742">
            <v>40242</v>
          </cell>
          <cell r="AC742">
            <v>40242</v>
          </cell>
          <cell r="AD742">
            <v>40217</v>
          </cell>
          <cell r="AE742">
            <v>-298540</v>
          </cell>
          <cell r="AF742">
            <v>-10</v>
          </cell>
        </row>
        <row r="743">
          <cell r="A743" t="str">
            <v>5000480456</v>
          </cell>
          <cell r="B743" t="str">
            <v>5000480456</v>
          </cell>
          <cell r="C743" t="str">
            <v>450004913300020</v>
          </cell>
          <cell r="D743" t="str">
            <v>MIGO_GR</v>
          </cell>
          <cell r="E743" t="str">
            <v>310013815</v>
          </cell>
          <cell r="F743" t="str">
            <v>9200051440</v>
          </cell>
          <cell r="G743" t="str">
            <v>25545</v>
          </cell>
          <cell r="H743" t="str">
            <v>GR / IR Clearing -SemiFinished Goods- Auto</v>
          </cell>
          <cell r="I743" t="str">
            <v>4500049133</v>
          </cell>
          <cell r="J743" t="str">
            <v>13B2</v>
          </cell>
          <cell r="K743" t="str">
            <v>VVF-TALOJA</v>
          </cell>
          <cell r="L743" t="str">
            <v>VVF LIMITED - TALOJA</v>
          </cell>
          <cell r="M743" t="str">
            <v>501065</v>
          </cell>
          <cell r="N743" t="str">
            <v>NOODLES ALOEVERA SOAP</v>
          </cell>
          <cell r="O743" t="str">
            <v>INR</v>
          </cell>
          <cell r="P743" t="str">
            <v/>
          </cell>
          <cell r="Q743" t="str">
            <v/>
          </cell>
          <cell r="R743" t="str">
            <v>010000395933</v>
          </cell>
          <cell r="S743" t="str">
            <v>A</v>
          </cell>
          <cell r="T743" t="str">
            <v>9084052460</v>
          </cell>
          <cell r="U743" t="str">
            <v>P013</v>
          </cell>
          <cell r="V743" t="str">
            <v>2010</v>
          </cell>
          <cell r="W743" t="str">
            <v>105</v>
          </cell>
          <cell r="X743" t="str">
            <v>MT</v>
          </cell>
          <cell r="Y743" t="str">
            <v>0000097715</v>
          </cell>
          <cell r="Z743" t="str">
            <v>VVF</v>
          </cell>
          <cell r="AA743" t="str">
            <v>WE</v>
          </cell>
          <cell r="AB743">
            <v>40260</v>
          </cell>
          <cell r="AC743">
            <v>40260</v>
          </cell>
          <cell r="AD743">
            <v>40217</v>
          </cell>
          <cell r="AE743">
            <v>-477964.32</v>
          </cell>
          <cell r="AF743">
            <v>-16</v>
          </cell>
        </row>
        <row r="744">
          <cell r="A744" t="str">
            <v>5000481720</v>
          </cell>
          <cell r="B744" t="str">
            <v>5000481720</v>
          </cell>
          <cell r="C744" t="str">
            <v>450003604201045</v>
          </cell>
          <cell r="D744" t="str">
            <v>MIGO_GR</v>
          </cell>
          <cell r="E744" t="str">
            <v>8900235964 25.03</v>
          </cell>
          <cell r="F744" t="str">
            <v>9200052021</v>
          </cell>
          <cell r="G744" t="str">
            <v>25545</v>
          </cell>
          <cell r="H744" t="str">
            <v>GR / IR Clearing -SemiFinished Goods- Auto</v>
          </cell>
          <cell r="I744" t="str">
            <v>4500036042</v>
          </cell>
          <cell r="J744" t="str">
            <v>03B1</v>
          </cell>
          <cell r="K744" t="str">
            <v>101277</v>
          </cell>
          <cell r="L744" t="str">
            <v>VVF Limited-Sion</v>
          </cell>
          <cell r="M744" t="str">
            <v>501713</v>
          </cell>
          <cell r="N744" t="str">
            <v>T-DISTILLED FATTY ACID - C16C18</v>
          </cell>
          <cell r="O744" t="str">
            <v>INR</v>
          </cell>
          <cell r="P744" t="str">
            <v/>
          </cell>
          <cell r="Q744" t="str">
            <v/>
          </cell>
          <cell r="R744" t="str">
            <v>010000395933</v>
          </cell>
          <cell r="S744" t="str">
            <v>A</v>
          </cell>
          <cell r="T744" t="str">
            <v>9084052460</v>
          </cell>
          <cell r="U744" t="str">
            <v>P003</v>
          </cell>
          <cell r="V744" t="str">
            <v>2010</v>
          </cell>
          <cell r="W744" t="str">
            <v>105</v>
          </cell>
          <cell r="X744" t="str">
            <v>MT</v>
          </cell>
          <cell r="Y744" t="str">
            <v>J031068501</v>
          </cell>
          <cell r="Z744" t="str">
            <v>VVF</v>
          </cell>
          <cell r="AA744" t="str">
            <v>WE</v>
          </cell>
          <cell r="AB744">
            <v>40262</v>
          </cell>
          <cell r="AC744">
            <v>40264</v>
          </cell>
          <cell r="AD744">
            <v>39792</v>
          </cell>
          <cell r="AE744">
            <v>-1.57</v>
          </cell>
          <cell r="AF744">
            <v>-15.69</v>
          </cell>
        </row>
        <row r="745">
          <cell r="A745" t="str">
            <v>5000482069</v>
          </cell>
          <cell r="B745" t="str">
            <v>5000482069</v>
          </cell>
          <cell r="C745" t="str">
            <v>450003604201045</v>
          </cell>
          <cell r="D745" t="str">
            <v>MIGO_GR</v>
          </cell>
          <cell r="E745" t="str">
            <v>8900236129 26.03</v>
          </cell>
          <cell r="F745" t="str">
            <v>9200052214</v>
          </cell>
          <cell r="G745" t="str">
            <v>25545</v>
          </cell>
          <cell r="H745" t="str">
            <v>GR / IR Clearing -SemiFinished Goods- Auto</v>
          </cell>
          <cell r="I745" t="str">
            <v>4500036042</v>
          </cell>
          <cell r="J745" t="str">
            <v>03B1</v>
          </cell>
          <cell r="K745" t="str">
            <v>101277</v>
          </cell>
          <cell r="L745" t="str">
            <v>VVF Limited-Sion</v>
          </cell>
          <cell r="M745" t="str">
            <v>501713</v>
          </cell>
          <cell r="N745" t="str">
            <v>T-DISTILLED FATTY ACID - C16C18</v>
          </cell>
          <cell r="O745" t="str">
            <v>INR</v>
          </cell>
          <cell r="P745" t="str">
            <v/>
          </cell>
          <cell r="Q745" t="str">
            <v/>
          </cell>
          <cell r="R745" t="str">
            <v>010000395933</v>
          </cell>
          <cell r="S745" t="str">
            <v>A</v>
          </cell>
          <cell r="T745" t="str">
            <v>9084052460</v>
          </cell>
          <cell r="U745" t="str">
            <v>P003</v>
          </cell>
          <cell r="V745" t="str">
            <v>2010</v>
          </cell>
          <cell r="W745" t="str">
            <v>105</v>
          </cell>
          <cell r="X745" t="str">
            <v>MT</v>
          </cell>
          <cell r="Y745" t="str">
            <v>J031068501</v>
          </cell>
          <cell r="Z745" t="str">
            <v>VVF</v>
          </cell>
          <cell r="AA745" t="str">
            <v>WE</v>
          </cell>
          <cell r="AB745">
            <v>40263</v>
          </cell>
          <cell r="AC745">
            <v>40265</v>
          </cell>
          <cell r="AD745">
            <v>39792</v>
          </cell>
          <cell r="AE745">
            <v>-1.37</v>
          </cell>
          <cell r="AF745">
            <v>-13.66</v>
          </cell>
        </row>
        <row r="746">
          <cell r="A746" t="str">
            <v>5000482142</v>
          </cell>
          <cell r="B746" t="str">
            <v>5000482045</v>
          </cell>
          <cell r="C746" t="str">
            <v>450005070400030</v>
          </cell>
          <cell r="D746" t="str">
            <v>MIGO_GR</v>
          </cell>
          <cell r="E746" t="str">
            <v>8900235660</v>
          </cell>
          <cell r="F746" t="str">
            <v>9200052237</v>
          </cell>
          <cell r="G746" t="str">
            <v>25545</v>
          </cell>
          <cell r="H746" t="str">
            <v>GR / IR Clearing -SemiFinished Goods- Auto</v>
          </cell>
          <cell r="I746" t="str">
            <v>4500050704</v>
          </cell>
          <cell r="J746" t="str">
            <v>14B2</v>
          </cell>
          <cell r="K746" t="str">
            <v>VVF-TALOJA</v>
          </cell>
          <cell r="L746" t="str">
            <v>VVF LIMITED - TALOJA</v>
          </cell>
          <cell r="M746" t="str">
            <v>500515</v>
          </cell>
          <cell r="N746" t="str">
            <v>Fatty Alcohol C1618 TA</v>
          </cell>
          <cell r="O746" t="str">
            <v>INR</v>
          </cell>
          <cell r="P746" t="str">
            <v/>
          </cell>
          <cell r="Q746" t="str">
            <v/>
          </cell>
          <cell r="R746" t="str">
            <v>010000397510</v>
          </cell>
          <cell r="S746" t="str">
            <v>A</v>
          </cell>
          <cell r="T746" t="str">
            <v>9084052460</v>
          </cell>
          <cell r="U746" t="str">
            <v>P014</v>
          </cell>
          <cell r="V746" t="str">
            <v>2010</v>
          </cell>
          <cell r="W746" t="str">
            <v>105</v>
          </cell>
          <cell r="X746" t="str">
            <v/>
          </cell>
          <cell r="Y746" t="str">
            <v>10127</v>
          </cell>
          <cell r="Z746" t="str">
            <v>VVF</v>
          </cell>
          <cell r="AA746" t="str">
            <v>WE</v>
          </cell>
          <cell r="AB746">
            <v>40264</v>
          </cell>
          <cell r="AC746">
            <v>40264</v>
          </cell>
          <cell r="AD746">
            <v>40260</v>
          </cell>
          <cell r="AE746">
            <v>-9900</v>
          </cell>
          <cell r="AF746">
            <v>-150</v>
          </cell>
        </row>
        <row r="747">
          <cell r="A747" t="str">
            <v>5000482207</v>
          </cell>
          <cell r="B747" t="str">
            <v>5000482045</v>
          </cell>
          <cell r="C747" t="str">
            <v>450005070400030</v>
          </cell>
          <cell r="D747" t="str">
            <v>MIGO_GR</v>
          </cell>
          <cell r="E747" t="str">
            <v>3110208-24.03.10</v>
          </cell>
          <cell r="F747" t="str">
            <v>9200052260</v>
          </cell>
          <cell r="G747" t="str">
            <v>25545</v>
          </cell>
          <cell r="H747" t="str">
            <v>GR / IR Clearing -SemiFinished Goods- Auto</v>
          </cell>
          <cell r="I747" t="str">
            <v>4500050704</v>
          </cell>
          <cell r="J747" t="str">
            <v>14B2</v>
          </cell>
          <cell r="K747" t="str">
            <v>VVF-TALOJA</v>
          </cell>
          <cell r="L747" t="str">
            <v>VVF LIMITED - TALOJA</v>
          </cell>
          <cell r="M747" t="str">
            <v>500515</v>
          </cell>
          <cell r="N747" t="str">
            <v>Fatty Alcohol C1618 TA</v>
          </cell>
          <cell r="O747" t="str">
            <v>INR</v>
          </cell>
          <cell r="P747" t="str">
            <v/>
          </cell>
          <cell r="Q747" t="str">
            <v/>
          </cell>
          <cell r="R747" t="str">
            <v>010000397628</v>
          </cell>
          <cell r="S747" t="str">
            <v>A</v>
          </cell>
          <cell r="T747" t="str">
            <v>9084052460</v>
          </cell>
          <cell r="U747" t="str">
            <v>P014</v>
          </cell>
          <cell r="V747" t="str">
            <v>2010</v>
          </cell>
          <cell r="W747" t="str">
            <v>105</v>
          </cell>
          <cell r="X747" t="str">
            <v/>
          </cell>
          <cell r="Y747" t="str">
            <v>10127</v>
          </cell>
          <cell r="Z747" t="str">
            <v>VVF</v>
          </cell>
          <cell r="AA747" t="str">
            <v>WE</v>
          </cell>
          <cell r="AB747">
            <v>40264</v>
          </cell>
          <cell r="AC747">
            <v>40264</v>
          </cell>
          <cell r="AD747">
            <v>40260</v>
          </cell>
          <cell r="AE747">
            <v>-19800</v>
          </cell>
          <cell r="AF747">
            <v>-150</v>
          </cell>
        </row>
        <row r="748">
          <cell r="A748" t="str">
            <v>5000483106</v>
          </cell>
          <cell r="B748" t="str">
            <v>5000483106</v>
          </cell>
          <cell r="C748" t="str">
            <v>450003604201060</v>
          </cell>
          <cell r="D748" t="str">
            <v>MIGO_GR</v>
          </cell>
          <cell r="E748" t="str">
            <v>8900236669 30.03</v>
          </cell>
          <cell r="F748" t="str">
            <v>9200052738</v>
          </cell>
          <cell r="G748" t="str">
            <v>25545</v>
          </cell>
          <cell r="H748" t="str">
            <v>GR / IR Clearing -SemiFinished Goods- Auto</v>
          </cell>
          <cell r="I748" t="str">
            <v>4500036042</v>
          </cell>
          <cell r="J748" t="str">
            <v>03B1</v>
          </cell>
          <cell r="K748" t="str">
            <v>101277</v>
          </cell>
          <cell r="L748" t="str">
            <v>VVF Limited-Sion</v>
          </cell>
          <cell r="M748" t="str">
            <v>501715</v>
          </cell>
          <cell r="N748" t="str">
            <v>T-DIST.RESIDUE FATTY ACID</v>
          </cell>
          <cell r="O748" t="str">
            <v>INR</v>
          </cell>
          <cell r="P748" t="str">
            <v/>
          </cell>
          <cell r="Q748" t="str">
            <v/>
          </cell>
          <cell r="R748" t="str">
            <v>010000397628</v>
          </cell>
          <cell r="S748" t="str">
            <v>A</v>
          </cell>
          <cell r="T748" t="str">
            <v>9084052460</v>
          </cell>
          <cell r="U748" t="str">
            <v>P003</v>
          </cell>
          <cell r="V748" t="str">
            <v>2010</v>
          </cell>
          <cell r="W748" t="str">
            <v>105</v>
          </cell>
          <cell r="X748" t="str">
            <v>KG</v>
          </cell>
          <cell r="Y748" t="str">
            <v>J031063401</v>
          </cell>
          <cell r="Z748" t="str">
            <v>VVF</v>
          </cell>
          <cell r="AA748" t="str">
            <v>WE</v>
          </cell>
          <cell r="AB748">
            <v>40267</v>
          </cell>
          <cell r="AC748">
            <v>40267</v>
          </cell>
          <cell r="AD748">
            <v>39792</v>
          </cell>
          <cell r="AE748">
            <v>-1517</v>
          </cell>
          <cell r="AF748">
            <v>-15170</v>
          </cell>
        </row>
        <row r="749">
          <cell r="A749" t="str">
            <v>5000483122</v>
          </cell>
          <cell r="B749" t="str">
            <v>5000483216</v>
          </cell>
          <cell r="C749" t="str">
            <v>450003604201060</v>
          </cell>
          <cell r="D749" t="str">
            <v>MIGO_GR</v>
          </cell>
          <cell r="E749" t="str">
            <v>8900236675 30.03</v>
          </cell>
          <cell r="F749" t="str">
            <v>9200052741</v>
          </cell>
          <cell r="G749" t="str">
            <v>25545</v>
          </cell>
          <cell r="H749" t="str">
            <v>GR / IR Clearing -SemiFinished Goods- Auto</v>
          </cell>
          <cell r="I749" t="str">
            <v>4500036042</v>
          </cell>
          <cell r="J749" t="str">
            <v>03B1</v>
          </cell>
          <cell r="K749" t="str">
            <v>101277</v>
          </cell>
          <cell r="L749" t="str">
            <v>VVF Limited-Sion</v>
          </cell>
          <cell r="M749" t="str">
            <v>501715</v>
          </cell>
          <cell r="N749" t="str">
            <v>T-DIST.RESIDUE FATTY ACID</v>
          </cell>
          <cell r="O749" t="str">
            <v>INR</v>
          </cell>
          <cell r="P749" t="str">
            <v/>
          </cell>
          <cell r="Q749" t="str">
            <v/>
          </cell>
          <cell r="R749" t="str">
            <v>010000397628</v>
          </cell>
          <cell r="S749" t="str">
            <v>A</v>
          </cell>
          <cell r="T749" t="str">
            <v>9084052460</v>
          </cell>
          <cell r="U749" t="str">
            <v>P003</v>
          </cell>
          <cell r="V749" t="str">
            <v>2010</v>
          </cell>
          <cell r="W749" t="str">
            <v>105</v>
          </cell>
          <cell r="X749" t="str">
            <v>MT</v>
          </cell>
          <cell r="Y749" t="str">
            <v>J031063201</v>
          </cell>
          <cell r="Z749" t="str">
            <v>VVF</v>
          </cell>
          <cell r="AA749" t="str">
            <v>WE</v>
          </cell>
          <cell r="AB749">
            <v>40267</v>
          </cell>
          <cell r="AC749">
            <v>40268</v>
          </cell>
          <cell r="AD749">
            <v>39792</v>
          </cell>
          <cell r="AE749">
            <v>-1525</v>
          </cell>
          <cell r="AF749">
            <v>-24.38</v>
          </cell>
        </row>
        <row r="750">
          <cell r="A750" t="str">
            <v>5000483125</v>
          </cell>
          <cell r="B750" t="str">
            <v>5000483216</v>
          </cell>
          <cell r="C750" t="str">
            <v>450003604201060</v>
          </cell>
          <cell r="D750" t="str">
            <v>MIGO_GR</v>
          </cell>
          <cell r="E750" t="str">
            <v>8900236692 30.03</v>
          </cell>
          <cell r="F750" t="str">
            <v>9200052743</v>
          </cell>
          <cell r="G750" t="str">
            <v>25545</v>
          </cell>
          <cell r="H750" t="str">
            <v>GR / IR Clearing -SemiFinished Goods- Auto</v>
          </cell>
          <cell r="I750" t="str">
            <v>4500036042</v>
          </cell>
          <cell r="J750" t="str">
            <v>03B1</v>
          </cell>
          <cell r="K750" t="str">
            <v>101277</v>
          </cell>
          <cell r="L750" t="str">
            <v>VVF Limited-Sion</v>
          </cell>
          <cell r="M750" t="str">
            <v>501715</v>
          </cell>
          <cell r="N750" t="str">
            <v>T-DIST.RESIDUE FATTY ACID</v>
          </cell>
          <cell r="O750" t="str">
            <v>INR</v>
          </cell>
          <cell r="P750" t="str">
            <v/>
          </cell>
          <cell r="Q750" t="str">
            <v/>
          </cell>
          <cell r="R750" t="str">
            <v>010000397628</v>
          </cell>
          <cell r="S750" t="str">
            <v>A</v>
          </cell>
          <cell r="T750" t="str">
            <v>9084052460</v>
          </cell>
          <cell r="U750" t="str">
            <v>P003</v>
          </cell>
          <cell r="V750" t="str">
            <v>2010</v>
          </cell>
          <cell r="W750" t="str">
            <v>105</v>
          </cell>
          <cell r="X750" t="str">
            <v>MT</v>
          </cell>
          <cell r="Y750" t="str">
            <v>J031063201</v>
          </cell>
          <cell r="Z750" t="str">
            <v>VVF</v>
          </cell>
          <cell r="AA750" t="str">
            <v>WE</v>
          </cell>
          <cell r="AB750">
            <v>40267</v>
          </cell>
          <cell r="AC750">
            <v>40268</v>
          </cell>
          <cell r="AD750">
            <v>39792</v>
          </cell>
          <cell r="AE750">
            <v>-1558</v>
          </cell>
          <cell r="AF750">
            <v>-24.38</v>
          </cell>
        </row>
        <row r="751">
          <cell r="A751" t="str">
            <v>5000483118</v>
          </cell>
          <cell r="B751" t="str">
            <v>5000483216</v>
          </cell>
          <cell r="C751" t="str">
            <v>450003604201060</v>
          </cell>
          <cell r="D751" t="str">
            <v>MIGO_GR</v>
          </cell>
          <cell r="E751" t="str">
            <v>8900236686 30.03</v>
          </cell>
          <cell r="F751" t="str">
            <v>9200052744</v>
          </cell>
          <cell r="G751" t="str">
            <v>25545</v>
          </cell>
          <cell r="H751" t="str">
            <v>GR / IR Clearing -SemiFinished Goods- Auto</v>
          </cell>
          <cell r="I751" t="str">
            <v>4500036042</v>
          </cell>
          <cell r="J751" t="str">
            <v>03B1</v>
          </cell>
          <cell r="K751" t="str">
            <v>101277</v>
          </cell>
          <cell r="L751" t="str">
            <v>VVF Limited-Sion</v>
          </cell>
          <cell r="M751" t="str">
            <v>501715</v>
          </cell>
          <cell r="N751" t="str">
            <v>T-DIST.RESIDUE FATTY ACID</v>
          </cell>
          <cell r="O751" t="str">
            <v>INR</v>
          </cell>
          <cell r="P751" t="str">
            <v/>
          </cell>
          <cell r="Q751" t="str">
            <v/>
          </cell>
          <cell r="R751" t="str">
            <v>010000397628</v>
          </cell>
          <cell r="S751" t="str">
            <v>A</v>
          </cell>
          <cell r="T751" t="str">
            <v>9084052460</v>
          </cell>
          <cell r="U751" t="str">
            <v>P003</v>
          </cell>
          <cell r="V751" t="str">
            <v>2010</v>
          </cell>
          <cell r="W751" t="str">
            <v>105</v>
          </cell>
          <cell r="X751" t="str">
            <v>MT</v>
          </cell>
          <cell r="Y751" t="str">
            <v>J031063201</v>
          </cell>
          <cell r="Z751" t="str">
            <v>VVF</v>
          </cell>
          <cell r="AA751" t="str">
            <v>WE</v>
          </cell>
          <cell r="AB751">
            <v>40267</v>
          </cell>
          <cell r="AC751">
            <v>40268</v>
          </cell>
          <cell r="AD751">
            <v>39792</v>
          </cell>
          <cell r="AE751">
            <v>-1595</v>
          </cell>
          <cell r="AF751">
            <v>-24.38</v>
          </cell>
        </row>
        <row r="752">
          <cell r="A752" t="str">
            <v>5000483130</v>
          </cell>
          <cell r="B752" t="str">
            <v>5000483216</v>
          </cell>
          <cell r="C752" t="str">
            <v>450003604201060</v>
          </cell>
          <cell r="D752" t="str">
            <v>MIGO_GR</v>
          </cell>
          <cell r="E752" t="str">
            <v>8900236703/30.03</v>
          </cell>
          <cell r="F752" t="str">
            <v>9200052745</v>
          </cell>
          <cell r="G752" t="str">
            <v>25545</v>
          </cell>
          <cell r="H752" t="str">
            <v>GR / IR Clearing -SemiFinished Goods- Auto</v>
          </cell>
          <cell r="I752" t="str">
            <v>4500036042</v>
          </cell>
          <cell r="J752" t="str">
            <v>03B1</v>
          </cell>
          <cell r="K752" t="str">
            <v>101277</v>
          </cell>
          <cell r="L752" t="str">
            <v>VVF Limited-Sion</v>
          </cell>
          <cell r="M752" t="str">
            <v>501715</v>
          </cell>
          <cell r="N752" t="str">
            <v>T-DIST.RESIDUE FATTY ACID</v>
          </cell>
          <cell r="O752" t="str">
            <v>INR</v>
          </cell>
          <cell r="P752" t="str">
            <v/>
          </cell>
          <cell r="Q752" t="str">
            <v/>
          </cell>
          <cell r="R752" t="str">
            <v>010000397628</v>
          </cell>
          <cell r="S752" t="str">
            <v>A</v>
          </cell>
          <cell r="T752" t="str">
            <v>9084052460</v>
          </cell>
          <cell r="U752" t="str">
            <v>P003</v>
          </cell>
          <cell r="V752" t="str">
            <v>2010</v>
          </cell>
          <cell r="W752" t="str">
            <v>105</v>
          </cell>
          <cell r="X752" t="str">
            <v>MT</v>
          </cell>
          <cell r="Y752" t="str">
            <v>J031063201</v>
          </cell>
          <cell r="Z752" t="str">
            <v>VVF</v>
          </cell>
          <cell r="AA752" t="str">
            <v>WE</v>
          </cell>
          <cell r="AB752">
            <v>40267</v>
          </cell>
          <cell r="AC752">
            <v>40268</v>
          </cell>
          <cell r="AD752">
            <v>39792</v>
          </cell>
          <cell r="AE752">
            <v>-1561</v>
          </cell>
          <cell r="AF752">
            <v>-24.38</v>
          </cell>
        </row>
        <row r="753">
          <cell r="A753" t="str">
            <v>5000483147</v>
          </cell>
          <cell r="B753" t="str">
            <v>5000483216</v>
          </cell>
          <cell r="C753" t="str">
            <v>450003604201060</v>
          </cell>
          <cell r="D753" t="str">
            <v>MIGO_GR</v>
          </cell>
          <cell r="E753" t="str">
            <v>8900236665 30.03</v>
          </cell>
          <cell r="F753" t="str">
            <v>9200052750</v>
          </cell>
          <cell r="G753" t="str">
            <v>25545</v>
          </cell>
          <cell r="H753" t="str">
            <v>GR / IR Clearing -SemiFinished Goods- Auto</v>
          </cell>
          <cell r="I753" t="str">
            <v>4500036042</v>
          </cell>
          <cell r="J753" t="str">
            <v>03B1</v>
          </cell>
          <cell r="K753" t="str">
            <v>101277</v>
          </cell>
          <cell r="L753" t="str">
            <v>VVF Limited-Sion</v>
          </cell>
          <cell r="M753" t="str">
            <v>501715</v>
          </cell>
          <cell r="N753" t="str">
            <v>T-DIST.RESIDUE FATTY ACID</v>
          </cell>
          <cell r="O753" t="str">
            <v>INR</v>
          </cell>
          <cell r="P753" t="str">
            <v/>
          </cell>
          <cell r="Q753" t="str">
            <v/>
          </cell>
          <cell r="R753" t="str">
            <v>010000397628</v>
          </cell>
          <cell r="S753" t="str">
            <v>A</v>
          </cell>
          <cell r="T753" t="str">
            <v>9084052460</v>
          </cell>
          <cell r="U753" t="str">
            <v>P003</v>
          </cell>
          <cell r="V753" t="str">
            <v>2010</v>
          </cell>
          <cell r="W753" t="str">
            <v>105</v>
          </cell>
          <cell r="X753" t="str">
            <v>MT</v>
          </cell>
          <cell r="Y753" t="str">
            <v>J031063201</v>
          </cell>
          <cell r="Z753" t="str">
            <v>VVF</v>
          </cell>
          <cell r="AA753" t="str">
            <v>WE</v>
          </cell>
          <cell r="AB753">
            <v>40267</v>
          </cell>
          <cell r="AC753">
            <v>40268</v>
          </cell>
          <cell r="AD753">
            <v>39792</v>
          </cell>
          <cell r="AE753">
            <v>-1607</v>
          </cell>
          <cell r="AF753">
            <v>-24.38</v>
          </cell>
        </row>
        <row r="754">
          <cell r="A754" t="str">
            <v>5000483207</v>
          </cell>
          <cell r="B754" t="str">
            <v>5000483216</v>
          </cell>
          <cell r="C754" t="str">
            <v>450003604201060</v>
          </cell>
          <cell r="D754" t="str">
            <v>MIGO_GR</v>
          </cell>
          <cell r="E754" t="str">
            <v>8900236729 30.03</v>
          </cell>
          <cell r="F754" t="str">
            <v>9200052780</v>
          </cell>
          <cell r="G754" t="str">
            <v>25545</v>
          </cell>
          <cell r="H754" t="str">
            <v>GR / IR Clearing -SemiFinished Goods- Auto</v>
          </cell>
          <cell r="I754" t="str">
            <v>4500036042</v>
          </cell>
          <cell r="J754" t="str">
            <v>03B1</v>
          </cell>
          <cell r="K754" t="str">
            <v>101277</v>
          </cell>
          <cell r="L754" t="str">
            <v>VVF Limited-Sion</v>
          </cell>
          <cell r="M754" t="str">
            <v>501715</v>
          </cell>
          <cell r="N754" t="str">
            <v>T-DIST.RESIDUE FATTY ACID</v>
          </cell>
          <cell r="O754" t="str">
            <v>INR</v>
          </cell>
          <cell r="P754" t="str">
            <v/>
          </cell>
          <cell r="Q754" t="str">
            <v/>
          </cell>
          <cell r="R754" t="str">
            <v>010000397628</v>
          </cell>
          <cell r="S754" t="str">
            <v>A</v>
          </cell>
          <cell r="T754" t="str">
            <v>9084052460</v>
          </cell>
          <cell r="U754" t="str">
            <v>P003</v>
          </cell>
          <cell r="V754" t="str">
            <v>2010</v>
          </cell>
          <cell r="W754" t="str">
            <v>105</v>
          </cell>
          <cell r="X754" t="str">
            <v>MT</v>
          </cell>
          <cell r="Y754" t="str">
            <v>J031063201</v>
          </cell>
          <cell r="Z754" t="str">
            <v>VVF</v>
          </cell>
          <cell r="AA754" t="str">
            <v>WE</v>
          </cell>
          <cell r="AB754">
            <v>40267</v>
          </cell>
          <cell r="AC754">
            <v>40268</v>
          </cell>
          <cell r="AD754">
            <v>39792</v>
          </cell>
          <cell r="AE754">
            <v>-2430</v>
          </cell>
          <cell r="AF754">
            <v>-24.38</v>
          </cell>
        </row>
        <row r="755">
          <cell r="A755" t="str">
            <v>5000483216</v>
          </cell>
          <cell r="B755" t="str">
            <v>5000483216</v>
          </cell>
          <cell r="C755" t="str">
            <v>450003604201042</v>
          </cell>
          <cell r="D755" t="str">
            <v>MIGO_GR</v>
          </cell>
          <cell r="E755" t="str">
            <v>8900235378/22.03</v>
          </cell>
          <cell r="F755" t="str">
            <v>9200052787</v>
          </cell>
          <cell r="G755" t="str">
            <v>25545</v>
          </cell>
          <cell r="H755" t="str">
            <v>GR / IR Clearing -SemiFinished Goods- Auto</v>
          </cell>
          <cell r="I755" t="str">
            <v>4500036042</v>
          </cell>
          <cell r="J755" t="str">
            <v>03B1</v>
          </cell>
          <cell r="K755" t="str">
            <v>101277</v>
          </cell>
          <cell r="L755" t="str">
            <v>VVF Limited-Sion</v>
          </cell>
          <cell r="M755" t="str">
            <v>501713</v>
          </cell>
          <cell r="N755" t="str">
            <v>T-DISTILLED FATTY ACID - C16C18</v>
          </cell>
          <cell r="O755" t="str">
            <v>INR</v>
          </cell>
          <cell r="P755" t="str">
            <v/>
          </cell>
          <cell r="Q755" t="str">
            <v/>
          </cell>
          <cell r="R755" t="str">
            <v>010000397628</v>
          </cell>
          <cell r="S755" t="str">
            <v>A</v>
          </cell>
          <cell r="T755" t="str">
            <v>9084052460</v>
          </cell>
          <cell r="U755" t="str">
            <v>P003</v>
          </cell>
          <cell r="V755" t="str">
            <v>2010</v>
          </cell>
          <cell r="W755" t="str">
            <v>105</v>
          </cell>
          <cell r="X755" t="str">
            <v>MT</v>
          </cell>
          <cell r="Y755" t="str">
            <v>J031063201</v>
          </cell>
          <cell r="Z755" t="str">
            <v>VVF</v>
          </cell>
          <cell r="AA755" t="str">
            <v>WE</v>
          </cell>
          <cell r="AB755">
            <v>40260</v>
          </cell>
          <cell r="AC755">
            <v>40268</v>
          </cell>
          <cell r="AD755">
            <v>39792</v>
          </cell>
          <cell r="AE755">
            <v>-2.44</v>
          </cell>
          <cell r="AF755">
            <v>-24.38</v>
          </cell>
        </row>
        <row r="756">
          <cell r="A756" t="str">
            <v>5000483360</v>
          </cell>
          <cell r="B756" t="str">
            <v>5000483216</v>
          </cell>
          <cell r="C756" t="str">
            <v>450003604201060</v>
          </cell>
          <cell r="D756" t="str">
            <v>MIGO_GR</v>
          </cell>
          <cell r="E756" t="str">
            <v>8900236746/30.03</v>
          </cell>
          <cell r="F756" t="str">
            <v>9200052855</v>
          </cell>
          <cell r="G756" t="str">
            <v>25545</v>
          </cell>
          <cell r="H756" t="str">
            <v>GR / IR Clearing -SemiFinished Goods- Auto</v>
          </cell>
          <cell r="I756" t="str">
            <v>4500036042</v>
          </cell>
          <cell r="J756" t="str">
            <v>03B1</v>
          </cell>
          <cell r="K756" t="str">
            <v>101277</v>
          </cell>
          <cell r="L756" t="str">
            <v>VVF Limited-Sion</v>
          </cell>
          <cell r="M756" t="str">
            <v>501715</v>
          </cell>
          <cell r="N756" t="str">
            <v>T-DIST.RESIDUE FATTY ACID</v>
          </cell>
          <cell r="O756" t="str">
            <v>INR</v>
          </cell>
          <cell r="P756" t="str">
            <v/>
          </cell>
          <cell r="Q756" t="str">
            <v/>
          </cell>
          <cell r="R756" t="str">
            <v>010000397628</v>
          </cell>
          <cell r="S756" t="str">
            <v>A</v>
          </cell>
          <cell r="T756" t="str">
            <v>9084052460</v>
          </cell>
          <cell r="U756" t="str">
            <v>P003</v>
          </cell>
          <cell r="V756" t="str">
            <v>2010</v>
          </cell>
          <cell r="W756" t="str">
            <v>105</v>
          </cell>
          <cell r="X756" t="str">
            <v>MT</v>
          </cell>
          <cell r="Y756" t="str">
            <v>J031063201</v>
          </cell>
          <cell r="Z756" t="str">
            <v>VVF</v>
          </cell>
          <cell r="AA756" t="str">
            <v>WE</v>
          </cell>
          <cell r="AB756">
            <v>40267</v>
          </cell>
          <cell r="AC756">
            <v>40268</v>
          </cell>
          <cell r="AD756">
            <v>39792</v>
          </cell>
          <cell r="AE756">
            <v>-1479</v>
          </cell>
          <cell r="AF756">
            <v>-24.38</v>
          </cell>
        </row>
        <row r="757">
          <cell r="A757" t="str">
            <v>5000483471</v>
          </cell>
          <cell r="B757" t="str">
            <v>5000483216</v>
          </cell>
          <cell r="C757" t="str">
            <v>450003604201060</v>
          </cell>
          <cell r="D757" t="str">
            <v>MIGO_GR</v>
          </cell>
          <cell r="E757" t="str">
            <v>8900236759/30.03</v>
          </cell>
          <cell r="F757" t="str">
            <v>9200052907</v>
          </cell>
          <cell r="G757" t="str">
            <v>25545</v>
          </cell>
          <cell r="H757" t="str">
            <v>GR / IR Clearing -SemiFinished Goods- Auto</v>
          </cell>
          <cell r="I757" t="str">
            <v>4500036042</v>
          </cell>
          <cell r="J757" t="str">
            <v>03B1</v>
          </cell>
          <cell r="K757" t="str">
            <v>101277</v>
          </cell>
          <cell r="L757" t="str">
            <v>VVF Limited-Sion</v>
          </cell>
          <cell r="M757" t="str">
            <v>501715</v>
          </cell>
          <cell r="N757" t="str">
            <v>T-DIST.RESIDUE FATTY ACID</v>
          </cell>
          <cell r="O757" t="str">
            <v>INR</v>
          </cell>
          <cell r="P757" t="str">
            <v/>
          </cell>
          <cell r="Q757" t="str">
            <v/>
          </cell>
          <cell r="R757" t="str">
            <v>010000397628</v>
          </cell>
          <cell r="S757" t="str">
            <v>A</v>
          </cell>
          <cell r="T757" t="str">
            <v>9084052460</v>
          </cell>
          <cell r="U757" t="str">
            <v>P003</v>
          </cell>
          <cell r="V757" t="str">
            <v>2010</v>
          </cell>
          <cell r="W757" t="str">
            <v>105</v>
          </cell>
          <cell r="X757" t="str">
            <v>MT</v>
          </cell>
          <cell r="Y757" t="str">
            <v>J031063201</v>
          </cell>
          <cell r="Z757" t="str">
            <v>VVF</v>
          </cell>
          <cell r="AA757" t="str">
            <v>WE</v>
          </cell>
          <cell r="AB757">
            <v>40267</v>
          </cell>
          <cell r="AC757">
            <v>40268</v>
          </cell>
          <cell r="AD757">
            <v>39792</v>
          </cell>
          <cell r="AE757">
            <v>-1582</v>
          </cell>
          <cell r="AF757">
            <v>-24.38</v>
          </cell>
        </row>
        <row r="758">
          <cell r="A758" t="str">
            <v>5000483513</v>
          </cell>
          <cell r="B758" t="str">
            <v>5000483216</v>
          </cell>
          <cell r="C758" t="str">
            <v>450003604201060</v>
          </cell>
          <cell r="D758" t="str">
            <v>MIGO_GR</v>
          </cell>
          <cell r="E758" t="str">
            <v>8900236735/30.03</v>
          </cell>
          <cell r="F758" t="str">
            <v>9200052939</v>
          </cell>
          <cell r="G758" t="str">
            <v>25545</v>
          </cell>
          <cell r="H758" t="str">
            <v>GR / IR Clearing -SemiFinished Goods- Auto</v>
          </cell>
          <cell r="I758" t="str">
            <v>4500036042</v>
          </cell>
          <cell r="J758" t="str">
            <v>03B1</v>
          </cell>
          <cell r="K758" t="str">
            <v>101277</v>
          </cell>
          <cell r="L758" t="str">
            <v>VVF Limited-Sion</v>
          </cell>
          <cell r="M758" t="str">
            <v>501715</v>
          </cell>
          <cell r="N758" t="str">
            <v>T-DIST.RESIDUE FATTY ACID</v>
          </cell>
          <cell r="O758" t="str">
            <v>INR</v>
          </cell>
          <cell r="P758" t="str">
            <v/>
          </cell>
          <cell r="Q758" t="str">
            <v/>
          </cell>
          <cell r="R758" t="str">
            <v>010000397628</v>
          </cell>
          <cell r="S758" t="str">
            <v>A</v>
          </cell>
          <cell r="T758" t="str">
            <v>9084052460</v>
          </cell>
          <cell r="U758" t="str">
            <v>P003</v>
          </cell>
          <cell r="V758" t="str">
            <v>2010</v>
          </cell>
          <cell r="W758" t="str">
            <v>105</v>
          </cell>
          <cell r="X758" t="str">
            <v>MT</v>
          </cell>
          <cell r="Y758" t="str">
            <v>J031063201</v>
          </cell>
          <cell r="Z758" t="str">
            <v>VVF</v>
          </cell>
          <cell r="AA758" t="str">
            <v>WE</v>
          </cell>
          <cell r="AB758">
            <v>40268</v>
          </cell>
          <cell r="AC758">
            <v>40268</v>
          </cell>
          <cell r="AD758">
            <v>39792</v>
          </cell>
          <cell r="AE758">
            <v>-1542</v>
          </cell>
          <cell r="AF758">
            <v>-24.38</v>
          </cell>
        </row>
        <row r="759">
          <cell r="A759" t="str">
            <v>5000483516</v>
          </cell>
          <cell r="B759" t="str">
            <v>5000483216</v>
          </cell>
          <cell r="C759" t="str">
            <v>450003604201060</v>
          </cell>
          <cell r="D759" t="str">
            <v>MIGO_GR</v>
          </cell>
          <cell r="E759" t="str">
            <v>8900236751/30.03</v>
          </cell>
          <cell r="F759" t="str">
            <v>9200052943</v>
          </cell>
          <cell r="G759" t="str">
            <v>25545</v>
          </cell>
          <cell r="H759" t="str">
            <v>GR / IR Clearing -SemiFinished Goods- Auto</v>
          </cell>
          <cell r="I759" t="str">
            <v>4500036042</v>
          </cell>
          <cell r="J759" t="str">
            <v>03B1</v>
          </cell>
          <cell r="K759" t="str">
            <v>101277</v>
          </cell>
          <cell r="L759" t="str">
            <v>VVF Limited-Sion</v>
          </cell>
          <cell r="M759" t="str">
            <v>501715</v>
          </cell>
          <cell r="N759" t="str">
            <v>T-DIST.RESIDUE FATTY ACID</v>
          </cell>
          <cell r="O759" t="str">
            <v>INR</v>
          </cell>
          <cell r="P759" t="str">
            <v/>
          </cell>
          <cell r="Q759" t="str">
            <v/>
          </cell>
          <cell r="R759" t="str">
            <v>010000397628</v>
          </cell>
          <cell r="S759" t="str">
            <v>A</v>
          </cell>
          <cell r="T759" t="str">
            <v>9084052460</v>
          </cell>
          <cell r="U759" t="str">
            <v>P003</v>
          </cell>
          <cell r="V759" t="str">
            <v>2010</v>
          </cell>
          <cell r="W759" t="str">
            <v>105</v>
          </cell>
          <cell r="X759" t="str">
            <v>MT</v>
          </cell>
          <cell r="Y759" t="str">
            <v>J031063201</v>
          </cell>
          <cell r="Z759" t="str">
            <v>VVF</v>
          </cell>
          <cell r="AA759" t="str">
            <v>WE</v>
          </cell>
          <cell r="AB759">
            <v>40267</v>
          </cell>
          <cell r="AC759">
            <v>40268</v>
          </cell>
          <cell r="AD759">
            <v>39792</v>
          </cell>
          <cell r="AE759">
            <v>-1629</v>
          </cell>
          <cell r="AF759">
            <v>-24.38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leo Pivot"/>
      <sheetName val="PCP Pivot"/>
      <sheetName val="Dump"/>
      <sheetName val="Sheet1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Summary"/>
      <sheetName val="Sheet1"/>
      <sheetName val="New Reclassifications"/>
      <sheetName val="MC.9"/>
      <sheetName val="Manual List"/>
      <sheetName val="Exclusions"/>
      <sheetName val="Sheet3"/>
      <sheetName val="Ledge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 - operating exp"/>
      <sheetName val="Exchange Loss"/>
      <sheetName val="R &amp; D material expenses"/>
      <sheetName val="Consultancy"/>
      <sheetName val="Insurance"/>
      <sheetName val="Legal &amp; Professional"/>
      <sheetName val="Loan licence charges"/>
      <sheetName val="Donation"/>
      <sheetName val="Prov for debts-adv"/>
      <sheetName val="Rates &amp; taxes"/>
      <sheetName val="Rent Paid"/>
      <sheetName val="Repairs &amp; Main -Others"/>
      <sheetName val="Repairs &amp; Main-P&amp;M"/>
      <sheetName val="Repairs &amp; Main-Building"/>
      <sheetName val="Travelling expenses"/>
      <sheetName val="Sample Design"/>
      <sheetName val="Security service charges"/>
      <sheetName val="Leave encashment"/>
      <sheetName val="LTA"/>
      <sheetName val="Tickmar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28">
          <cell r="F28">
            <v>1240740</v>
          </cell>
        </row>
      </sheetData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RPP"/>
      <sheetName val="tables"/>
    </sheetNames>
    <sheetDataSet>
      <sheetData sheetId="0" refreshError="1"/>
      <sheetData sheetId="1" refreshError="1"/>
      <sheetData sheetId="2" refreshError="1">
        <row r="4">
          <cell r="A4">
            <v>2003</v>
          </cell>
          <cell r="G4">
            <v>37987</v>
          </cell>
          <cell r="J4">
            <v>38016</v>
          </cell>
        </row>
        <row r="5">
          <cell r="A5">
            <v>2004</v>
          </cell>
          <cell r="G5">
            <v>38018</v>
          </cell>
          <cell r="J5">
            <v>38017</v>
          </cell>
        </row>
        <row r="6">
          <cell r="A6">
            <v>2005</v>
          </cell>
          <cell r="G6">
            <v>38047</v>
          </cell>
          <cell r="J6">
            <v>38018</v>
          </cell>
        </row>
        <row r="7">
          <cell r="A7">
            <v>2006</v>
          </cell>
          <cell r="G7">
            <v>38078</v>
          </cell>
          <cell r="J7">
            <v>38019</v>
          </cell>
        </row>
        <row r="8">
          <cell r="G8">
            <v>38108</v>
          </cell>
          <cell r="J8">
            <v>38020</v>
          </cell>
        </row>
        <row r="9">
          <cell r="G9">
            <v>38139</v>
          </cell>
          <cell r="J9">
            <v>38021</v>
          </cell>
        </row>
        <row r="10">
          <cell r="G10">
            <v>38169</v>
          </cell>
          <cell r="J10">
            <v>38022</v>
          </cell>
        </row>
        <row r="11">
          <cell r="G11">
            <v>38200</v>
          </cell>
          <cell r="J11">
            <v>38023</v>
          </cell>
        </row>
        <row r="12">
          <cell r="G12">
            <v>38231</v>
          </cell>
          <cell r="J12">
            <v>38024</v>
          </cell>
        </row>
        <row r="13">
          <cell r="G13">
            <v>38261</v>
          </cell>
          <cell r="J13">
            <v>38025</v>
          </cell>
        </row>
        <row r="14">
          <cell r="G14">
            <v>38292</v>
          </cell>
          <cell r="J14">
            <v>38026</v>
          </cell>
        </row>
        <row r="15">
          <cell r="G15">
            <v>38322</v>
          </cell>
          <cell r="J15">
            <v>38027</v>
          </cell>
        </row>
        <row r="16">
          <cell r="J16">
            <v>38028</v>
          </cell>
        </row>
        <row r="17">
          <cell r="J17">
            <v>38029</v>
          </cell>
        </row>
        <row r="18">
          <cell r="J18">
            <v>38030</v>
          </cell>
        </row>
        <row r="19">
          <cell r="J19">
            <v>38031</v>
          </cell>
        </row>
        <row r="20">
          <cell r="J20">
            <v>38032</v>
          </cell>
        </row>
        <row r="21">
          <cell r="J21">
            <v>38033</v>
          </cell>
        </row>
        <row r="22">
          <cell r="J22">
            <v>38034</v>
          </cell>
        </row>
        <row r="23">
          <cell r="J23">
            <v>38035</v>
          </cell>
        </row>
        <row r="24">
          <cell r="J24">
            <v>38036</v>
          </cell>
        </row>
        <row r="25">
          <cell r="J25">
            <v>38037</v>
          </cell>
        </row>
        <row r="26">
          <cell r="J26">
            <v>38038</v>
          </cell>
        </row>
        <row r="27">
          <cell r="J27">
            <v>38039</v>
          </cell>
        </row>
        <row r="28">
          <cell r="J28">
            <v>38040</v>
          </cell>
        </row>
        <row r="29">
          <cell r="J29">
            <v>38041</v>
          </cell>
        </row>
        <row r="30">
          <cell r="J30">
            <v>38042</v>
          </cell>
        </row>
        <row r="31">
          <cell r="J31">
            <v>38043</v>
          </cell>
        </row>
        <row r="32">
          <cell r="J32">
            <v>38044</v>
          </cell>
        </row>
        <row r="33">
          <cell r="J33">
            <v>38045</v>
          </cell>
        </row>
        <row r="34">
          <cell r="J34">
            <v>38046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Geog wise sales volume"/>
      <sheetName val="Geog wise sales value"/>
      <sheetName val="Productwise sales"/>
      <sheetName val="Domestic"/>
      <sheetName val="Export"/>
      <sheetName val="Europe"/>
      <sheetName val="Asia-Pacific"/>
      <sheetName val="Rest of world"/>
      <sheetName val="North America"/>
      <sheetName val="Latin America"/>
      <sheetName val="ABP Bifurcation"/>
      <sheetName val="Revised GC"/>
    </sheetNames>
    <sheetDataSet>
      <sheetData sheetId="0"/>
      <sheetData sheetId="1"/>
      <sheetData sheetId="2"/>
      <sheetData sheetId="3">
        <row r="6">
          <cell r="A6" t="str">
            <v>V12-14</v>
          </cell>
          <cell r="I6">
            <v>22370</v>
          </cell>
          <cell r="J6">
            <v>1414.9870362092086</v>
          </cell>
        </row>
        <row r="7">
          <cell r="A7" t="str">
            <v>V12-14 [HUL]</v>
          </cell>
          <cell r="I7">
            <v>12240</v>
          </cell>
          <cell r="J7">
            <v>1247.0000000000002</v>
          </cell>
        </row>
        <row r="8">
          <cell r="A8" t="str">
            <v>V12-16</v>
          </cell>
          <cell r="I8">
            <v>980</v>
          </cell>
          <cell r="J8">
            <v>1414.9999999999998</v>
          </cell>
        </row>
        <row r="9">
          <cell r="A9" t="str">
            <v>V12:18</v>
          </cell>
          <cell r="I9">
            <v>2130</v>
          </cell>
          <cell r="J9">
            <v>1415.1924882629107</v>
          </cell>
        </row>
        <row r="10">
          <cell r="A10" t="str">
            <v>V16:18 TA</v>
          </cell>
          <cell r="I10">
            <v>21588</v>
          </cell>
          <cell r="J10">
            <v>1329.9777654252364</v>
          </cell>
        </row>
        <row r="11">
          <cell r="A11" t="str">
            <v>V16:18 TA [GODREJ]</v>
          </cell>
          <cell r="I11">
            <v>7000</v>
          </cell>
          <cell r="J11">
            <v>296</v>
          </cell>
        </row>
        <row r="12">
          <cell r="A12" t="str">
            <v>V16:18 TA [HUL]</v>
          </cell>
          <cell r="I12">
            <v>4356</v>
          </cell>
          <cell r="J12">
            <v>1200</v>
          </cell>
        </row>
        <row r="13">
          <cell r="A13" t="str">
            <v>V16:18 50:50</v>
          </cell>
          <cell r="I13">
            <v>2850</v>
          </cell>
          <cell r="J13">
            <v>1319.9999999999998</v>
          </cell>
        </row>
        <row r="14">
          <cell r="A14" t="str">
            <v>V16:18 PS</v>
          </cell>
          <cell r="I14">
            <v>1200</v>
          </cell>
          <cell r="J14">
            <v>1550.0000000000002</v>
          </cell>
        </row>
        <row r="15">
          <cell r="A15" t="str">
            <v>V16:98</v>
          </cell>
          <cell r="I15">
            <v>4373</v>
          </cell>
          <cell r="J15">
            <v>1391.2931625886119</v>
          </cell>
        </row>
        <row r="16">
          <cell r="A16" t="str">
            <v>V18</v>
          </cell>
          <cell r="I16">
            <v>5607</v>
          </cell>
          <cell r="J16">
            <v>1329</v>
          </cell>
        </row>
        <row r="17">
          <cell r="A17" t="str">
            <v>V2270</v>
          </cell>
          <cell r="I17">
            <v>1310</v>
          </cell>
          <cell r="J17">
            <v>3125</v>
          </cell>
        </row>
        <row r="18">
          <cell r="A18" t="str">
            <v>V2280</v>
          </cell>
          <cell r="I18">
            <v>1066</v>
          </cell>
          <cell r="J18">
            <v>3350.0000000000014</v>
          </cell>
        </row>
        <row r="19">
          <cell r="A19" t="str">
            <v>V1822</v>
          </cell>
          <cell r="I19">
            <v>1014</v>
          </cell>
          <cell r="J19">
            <v>2841.5094339622642</v>
          </cell>
        </row>
        <row r="20">
          <cell r="A20" t="str">
            <v>V2290</v>
          </cell>
          <cell r="I20">
            <v>300</v>
          </cell>
          <cell r="J20">
            <v>3450</v>
          </cell>
        </row>
        <row r="21">
          <cell r="A21" t="str">
            <v>Vegarol 1895 DO</v>
          </cell>
          <cell r="I21">
            <v>420</v>
          </cell>
          <cell r="J21">
            <v>1658.0000000000009</v>
          </cell>
        </row>
        <row r="26">
          <cell r="A26" t="str">
            <v>Caprylic acid</v>
          </cell>
          <cell r="I26">
            <v>692</v>
          </cell>
          <cell r="J26">
            <v>4726.0115606936415</v>
          </cell>
        </row>
        <row r="27">
          <cell r="A27" t="str">
            <v>Caprylic-Capric acid</v>
          </cell>
          <cell r="I27">
            <v>1900</v>
          </cell>
          <cell r="J27">
            <v>3825</v>
          </cell>
        </row>
        <row r="28">
          <cell r="A28" t="str">
            <v>Crude C8-C10</v>
          </cell>
          <cell r="I28">
            <v>0</v>
          </cell>
          <cell r="J28">
            <v>0</v>
          </cell>
        </row>
        <row r="29">
          <cell r="A29" t="str">
            <v>Caproic acid</v>
          </cell>
          <cell r="I29">
            <v>221</v>
          </cell>
          <cell r="J29">
            <v>700</v>
          </cell>
        </row>
        <row r="30">
          <cell r="A30" t="str">
            <v>Capric acid</v>
          </cell>
          <cell r="I30">
            <v>613</v>
          </cell>
          <cell r="J30">
            <v>2900.0000000000005</v>
          </cell>
        </row>
        <row r="31">
          <cell r="A31" t="str">
            <v>DFA</v>
          </cell>
          <cell r="I31">
            <v>2000</v>
          </cell>
          <cell r="J31">
            <v>1245</v>
          </cell>
        </row>
        <row r="32">
          <cell r="A32" t="str">
            <v>UTSR- Stearic</v>
          </cell>
          <cell r="I32">
            <v>8151</v>
          </cell>
          <cell r="J32">
            <v>696.27986725663709</v>
          </cell>
        </row>
        <row r="33">
          <cell r="A33" t="str">
            <v>DTP-7</v>
          </cell>
          <cell r="I33">
            <v>1320</v>
          </cell>
          <cell r="J33">
            <v>852.72727272727263</v>
          </cell>
        </row>
        <row r="34">
          <cell r="A34" t="str">
            <v>DTP-CT</v>
          </cell>
          <cell r="I34">
            <v>0</v>
          </cell>
          <cell r="J34">
            <v>0</v>
          </cell>
        </row>
        <row r="35">
          <cell r="A35" t="str">
            <v>P-12</v>
          </cell>
          <cell r="I35">
            <v>1160</v>
          </cell>
          <cell r="J35">
            <v>729.99999999999989</v>
          </cell>
        </row>
        <row r="36">
          <cell r="A36" t="str">
            <v>Oleic-K</v>
          </cell>
          <cell r="I36">
            <v>3600</v>
          </cell>
          <cell r="J36">
            <v>785.71428571428578</v>
          </cell>
        </row>
        <row r="37">
          <cell r="A37" t="str">
            <v>Vegacid 1890</v>
          </cell>
          <cell r="I37">
            <v>1914</v>
          </cell>
          <cell r="J37">
            <v>1060</v>
          </cell>
        </row>
        <row r="38">
          <cell r="A38" t="str">
            <v>Vegacid 1880</v>
          </cell>
          <cell r="I38">
            <v>7153</v>
          </cell>
          <cell r="J38">
            <v>1043.2861873034813</v>
          </cell>
        </row>
        <row r="39">
          <cell r="A39" t="str">
            <v>Vegacid Superflex</v>
          </cell>
          <cell r="I39">
            <v>4800</v>
          </cell>
          <cell r="J39">
            <v>1465</v>
          </cell>
        </row>
        <row r="40">
          <cell r="A40" t="str">
            <v>Erucic 90%</v>
          </cell>
          <cell r="I40">
            <v>6000</v>
          </cell>
          <cell r="J40">
            <v>2570.0900000000006</v>
          </cell>
        </row>
        <row r="41">
          <cell r="A41" t="str">
            <v>Behenic acid</v>
          </cell>
          <cell r="I41">
            <v>504</v>
          </cell>
          <cell r="J41">
            <v>3145</v>
          </cell>
        </row>
        <row r="42">
          <cell r="A42" t="str">
            <v>Myristic Acid</v>
          </cell>
          <cell r="I42">
            <v>0</v>
          </cell>
          <cell r="J42">
            <v>0</v>
          </cell>
        </row>
        <row r="43">
          <cell r="A43" t="str">
            <v>DFA C18-22</v>
          </cell>
          <cell r="I43">
            <v>0</v>
          </cell>
          <cell r="J43">
            <v>0</v>
          </cell>
        </row>
        <row r="44">
          <cell r="A44" t="str">
            <v>G3</v>
          </cell>
          <cell r="I44">
            <v>0</v>
          </cell>
          <cell r="J44">
            <v>0</v>
          </cell>
        </row>
        <row r="45">
          <cell r="A45" t="str">
            <v>Stearic 90</v>
          </cell>
          <cell r="I45">
            <v>2460</v>
          </cell>
          <cell r="J45">
            <v>1005</v>
          </cell>
        </row>
        <row r="46">
          <cell r="A46" t="str">
            <v>C16 - 80%</v>
          </cell>
          <cell r="I46">
            <v>0</v>
          </cell>
          <cell r="J46">
            <v>0</v>
          </cell>
        </row>
        <row r="47">
          <cell r="A47" t="str">
            <v>Lauric Acid (C12-99%)</v>
          </cell>
          <cell r="I47">
            <v>1320</v>
          </cell>
          <cell r="J47">
            <v>925.45454545454561</v>
          </cell>
        </row>
        <row r="48">
          <cell r="A48" t="str">
            <v>Hear acid</v>
          </cell>
          <cell r="I48">
            <v>0</v>
          </cell>
          <cell r="J48">
            <v>0</v>
          </cell>
        </row>
        <row r="49">
          <cell r="A49" t="str">
            <v>UTSR special</v>
          </cell>
          <cell r="I49">
            <v>0</v>
          </cell>
          <cell r="J49">
            <v>0</v>
          </cell>
        </row>
        <row r="50">
          <cell r="A50" t="str">
            <v>Mixed DFA -IV 34</v>
          </cell>
          <cell r="I50">
            <v>0</v>
          </cell>
          <cell r="J50">
            <v>0</v>
          </cell>
        </row>
        <row r="51">
          <cell r="A51" t="str">
            <v>Oleic -60</v>
          </cell>
          <cell r="I51">
            <v>1200</v>
          </cell>
          <cell r="J51">
            <v>640.00000000000023</v>
          </cell>
        </row>
        <row r="52">
          <cell r="A52" t="str">
            <v>New Products</v>
          </cell>
          <cell r="I52">
            <v>0</v>
          </cell>
          <cell r="J52">
            <v>0</v>
          </cell>
        </row>
        <row r="53">
          <cell r="A53" t="str">
            <v>Palmitic Acid</v>
          </cell>
          <cell r="I53">
            <v>10684</v>
          </cell>
          <cell r="J53">
            <v>569.03776046393705</v>
          </cell>
        </row>
        <row r="54">
          <cell r="A54" t="str">
            <v>Fatty Acids</v>
          </cell>
        </row>
        <row r="56">
          <cell r="A56" t="str">
            <v>Glycerine CP</v>
          </cell>
          <cell r="I56">
            <v>11000</v>
          </cell>
          <cell r="J56">
            <v>690.99999999999989</v>
          </cell>
        </row>
        <row r="57">
          <cell r="A57" t="str">
            <v>Glycerine IP</v>
          </cell>
          <cell r="I57">
            <v>4000</v>
          </cell>
          <cell r="J57">
            <v>779</v>
          </cell>
        </row>
        <row r="58">
          <cell r="A58" t="str">
            <v>Glycerine USP</v>
          </cell>
          <cell r="I58">
            <v>0</v>
          </cell>
          <cell r="J58">
            <v>0</v>
          </cell>
        </row>
        <row r="59">
          <cell r="A59" t="str">
            <v>Crude Glycerine</v>
          </cell>
          <cell r="I59">
            <v>0</v>
          </cell>
          <cell r="J59">
            <v>0</v>
          </cell>
        </row>
        <row r="60">
          <cell r="A60" t="str">
            <v>Glycerine JP</v>
          </cell>
          <cell r="I60">
            <v>0</v>
          </cell>
          <cell r="J60">
            <v>0</v>
          </cell>
        </row>
        <row r="61">
          <cell r="A61" t="str">
            <v>Glycerine</v>
          </cell>
        </row>
        <row r="63">
          <cell r="A63" t="str">
            <v>Fatty Alcohol Residue</v>
          </cell>
          <cell r="I63">
            <v>1862</v>
          </cell>
          <cell r="J63">
            <v>239.99999999999994</v>
          </cell>
        </row>
        <row r="64">
          <cell r="A64" t="str">
            <v>Pitch</v>
          </cell>
          <cell r="I64">
            <v>5266</v>
          </cell>
          <cell r="J64">
            <v>120</v>
          </cell>
        </row>
        <row r="65">
          <cell r="A65" t="str">
            <v>Residue</v>
          </cell>
        </row>
        <row r="66">
          <cell r="A66">
            <v>0</v>
          </cell>
        </row>
        <row r="67">
          <cell r="A67" t="str">
            <v>Sub Total</v>
          </cell>
        </row>
        <row r="68">
          <cell r="A68">
            <v>0</v>
          </cell>
        </row>
        <row r="69">
          <cell r="A69" t="str">
            <v>Hydrogen Gas</v>
          </cell>
        </row>
        <row r="70">
          <cell r="A70">
            <v>0</v>
          </cell>
        </row>
        <row r="71">
          <cell r="A71">
            <v>0</v>
          </cell>
        </row>
        <row r="72">
          <cell r="A72">
            <v>0</v>
          </cell>
        </row>
        <row r="73">
          <cell r="A73" t="str">
            <v xml:space="preserve">Vegarol EW100 </v>
          </cell>
          <cell r="I73">
            <v>120</v>
          </cell>
          <cell r="J73">
            <v>1597.4999999999995</v>
          </cell>
        </row>
        <row r="74">
          <cell r="A74" t="str">
            <v>Vegarol EW 300</v>
          </cell>
          <cell r="I74">
            <v>60</v>
          </cell>
          <cell r="J74">
            <v>1500.0000000000005</v>
          </cell>
        </row>
        <row r="75">
          <cell r="A75" t="str">
            <v>Vega E TS</v>
          </cell>
          <cell r="I75">
            <v>300</v>
          </cell>
          <cell r="J75">
            <v>2143.0000000000009</v>
          </cell>
        </row>
        <row r="76">
          <cell r="A76" t="str">
            <v>Fatty Alc. Ethoxylate -7</v>
          </cell>
          <cell r="I76">
            <v>0</v>
          </cell>
          <cell r="J76">
            <v>0</v>
          </cell>
        </row>
        <row r="77">
          <cell r="A77" t="str">
            <v>Arachidic acid</v>
          </cell>
          <cell r="I77">
            <v>0</v>
          </cell>
          <cell r="J77">
            <v>0</v>
          </cell>
        </row>
        <row r="78">
          <cell r="A78" t="str">
            <v>Vegarol 2095</v>
          </cell>
          <cell r="I78">
            <v>0</v>
          </cell>
          <cell r="J78">
            <v>0</v>
          </cell>
        </row>
        <row r="79">
          <cell r="A79" t="str">
            <v>New Product</v>
          </cell>
        </row>
      </sheetData>
      <sheetData sheetId="4">
        <row r="6">
          <cell r="J6">
            <v>13490</v>
          </cell>
          <cell r="K6">
            <v>1461.9999999999998</v>
          </cell>
        </row>
        <row r="7">
          <cell r="J7">
            <v>12240</v>
          </cell>
          <cell r="K7">
            <v>1247.0000000000002</v>
          </cell>
        </row>
        <row r="8">
          <cell r="J8">
            <v>980</v>
          </cell>
          <cell r="K8">
            <v>1414.9999999999998</v>
          </cell>
        </row>
        <row r="9">
          <cell r="J9">
            <v>530</v>
          </cell>
          <cell r="K9">
            <v>1612</v>
          </cell>
        </row>
        <row r="10">
          <cell r="J10">
            <v>3780</v>
          </cell>
          <cell r="K10">
            <v>1470.0000000000002</v>
          </cell>
        </row>
        <row r="11">
          <cell r="J11">
            <v>7000</v>
          </cell>
          <cell r="K11">
            <v>296</v>
          </cell>
        </row>
        <row r="12">
          <cell r="J12">
            <v>4356</v>
          </cell>
          <cell r="K12">
            <v>1200</v>
          </cell>
        </row>
        <row r="13">
          <cell r="J13">
            <v>600</v>
          </cell>
          <cell r="K13">
            <v>1344</v>
          </cell>
        </row>
        <row r="14">
          <cell r="J14">
            <v>0</v>
          </cell>
          <cell r="K14">
            <v>0</v>
          </cell>
        </row>
        <row r="15">
          <cell r="J15">
            <v>288</v>
          </cell>
          <cell r="K15">
            <v>1445</v>
          </cell>
        </row>
        <row r="16">
          <cell r="J16">
            <v>780</v>
          </cell>
          <cell r="K16">
            <v>1328.9999999999995</v>
          </cell>
        </row>
        <row r="17">
          <cell r="J17">
            <v>510</v>
          </cell>
          <cell r="K17">
            <v>3125</v>
          </cell>
        </row>
        <row r="18">
          <cell r="J18">
            <v>0</v>
          </cell>
          <cell r="K18">
            <v>0</v>
          </cell>
        </row>
        <row r="19">
          <cell r="J19">
            <v>504</v>
          </cell>
          <cell r="K19">
            <v>2799.9999999999991</v>
          </cell>
        </row>
        <row r="20">
          <cell r="J20">
            <v>0</v>
          </cell>
          <cell r="K20">
            <v>0</v>
          </cell>
        </row>
        <row r="21">
          <cell r="J21">
            <v>0</v>
          </cell>
          <cell r="K21">
            <v>0</v>
          </cell>
        </row>
        <row r="26">
          <cell r="J26">
            <v>120</v>
          </cell>
          <cell r="K26">
            <v>4726.0115606936424</v>
          </cell>
        </row>
        <row r="27">
          <cell r="J27">
            <v>0</v>
          </cell>
          <cell r="K27">
            <v>0</v>
          </cell>
        </row>
        <row r="28">
          <cell r="J28">
            <v>0</v>
          </cell>
          <cell r="K28">
            <v>0</v>
          </cell>
        </row>
        <row r="29">
          <cell r="J29">
            <v>0</v>
          </cell>
          <cell r="K29">
            <v>0</v>
          </cell>
        </row>
        <row r="30">
          <cell r="J30">
            <v>0</v>
          </cell>
          <cell r="K30">
            <v>0</v>
          </cell>
        </row>
        <row r="31">
          <cell r="J31">
            <v>2000</v>
          </cell>
          <cell r="K31">
            <v>1245</v>
          </cell>
        </row>
        <row r="32">
          <cell r="J32">
            <v>7311</v>
          </cell>
          <cell r="K32">
            <v>696.27986725663698</v>
          </cell>
        </row>
        <row r="33">
          <cell r="J33">
            <v>1200</v>
          </cell>
          <cell r="K33">
            <v>852.72727272727275</v>
          </cell>
        </row>
        <row r="34">
          <cell r="J34">
            <v>0</v>
          </cell>
          <cell r="K34">
            <v>0</v>
          </cell>
        </row>
        <row r="35">
          <cell r="J35">
            <v>780</v>
          </cell>
          <cell r="K35">
            <v>730.00000000000011</v>
          </cell>
        </row>
        <row r="36">
          <cell r="J36">
            <v>3600</v>
          </cell>
          <cell r="K36">
            <v>785.71428571428578</v>
          </cell>
        </row>
        <row r="37">
          <cell r="J37">
            <v>1914</v>
          </cell>
          <cell r="K37">
            <v>1060</v>
          </cell>
        </row>
        <row r="38">
          <cell r="J38">
            <v>5233</v>
          </cell>
          <cell r="K38">
            <v>1050</v>
          </cell>
        </row>
        <row r="39">
          <cell r="J39">
            <v>4800</v>
          </cell>
          <cell r="K39">
            <v>1465</v>
          </cell>
        </row>
        <row r="40">
          <cell r="J40">
            <v>2700</v>
          </cell>
          <cell r="K40">
            <v>2401</v>
          </cell>
        </row>
        <row r="41">
          <cell r="J41">
            <v>0</v>
          </cell>
          <cell r="K41">
            <v>0</v>
          </cell>
        </row>
        <row r="42">
          <cell r="J42">
            <v>0</v>
          </cell>
          <cell r="K42">
            <v>0</v>
          </cell>
        </row>
        <row r="43">
          <cell r="J43">
            <v>0</v>
          </cell>
          <cell r="K43">
            <v>0</v>
          </cell>
        </row>
        <row r="44">
          <cell r="J44">
            <v>0</v>
          </cell>
          <cell r="K44">
            <v>0</v>
          </cell>
        </row>
        <row r="45">
          <cell r="J45">
            <v>2400</v>
          </cell>
          <cell r="K45">
            <v>1005.0000000000002</v>
          </cell>
        </row>
        <row r="46">
          <cell r="J46">
            <v>0</v>
          </cell>
          <cell r="K46">
            <v>0</v>
          </cell>
        </row>
        <row r="47">
          <cell r="J47">
            <v>1200</v>
          </cell>
          <cell r="K47">
            <v>925.45454545454538</v>
          </cell>
        </row>
        <row r="48">
          <cell r="J48">
            <v>0</v>
          </cell>
          <cell r="K48">
            <v>0</v>
          </cell>
        </row>
        <row r="49">
          <cell r="J49">
            <v>0</v>
          </cell>
          <cell r="K49">
            <v>0</v>
          </cell>
        </row>
        <row r="50">
          <cell r="J50">
            <v>0</v>
          </cell>
          <cell r="K50">
            <v>0</v>
          </cell>
        </row>
        <row r="51">
          <cell r="J51">
            <v>0</v>
          </cell>
          <cell r="K51">
            <v>0</v>
          </cell>
        </row>
        <row r="52">
          <cell r="J52">
            <v>0</v>
          </cell>
          <cell r="K52">
            <v>0</v>
          </cell>
        </row>
        <row r="53">
          <cell r="J53">
            <v>1148</v>
          </cell>
          <cell r="K53">
            <v>569.03781355297622</v>
          </cell>
        </row>
        <row r="56">
          <cell r="J56">
            <v>11000</v>
          </cell>
          <cell r="K56">
            <v>690.99999999999989</v>
          </cell>
        </row>
        <row r="57">
          <cell r="J57">
            <v>4000</v>
          </cell>
          <cell r="K57">
            <v>779</v>
          </cell>
        </row>
        <row r="58">
          <cell r="J58">
            <v>0</v>
          </cell>
          <cell r="K58">
            <v>0</v>
          </cell>
        </row>
        <row r="59">
          <cell r="J59">
            <v>0</v>
          </cell>
          <cell r="K59">
            <v>0</v>
          </cell>
        </row>
        <row r="60">
          <cell r="J60">
            <v>0</v>
          </cell>
          <cell r="K60">
            <v>0</v>
          </cell>
        </row>
        <row r="63">
          <cell r="J63">
            <v>1862</v>
          </cell>
          <cell r="K63">
            <v>239.99999999999994</v>
          </cell>
        </row>
        <row r="64">
          <cell r="J64">
            <v>5266</v>
          </cell>
          <cell r="K64">
            <v>120</v>
          </cell>
        </row>
        <row r="66">
          <cell r="J66">
            <v>0</v>
          </cell>
          <cell r="K66">
            <v>0</v>
          </cell>
        </row>
        <row r="68">
          <cell r="J68">
            <v>0</v>
          </cell>
          <cell r="K68">
            <v>0</v>
          </cell>
        </row>
        <row r="69">
          <cell r="J69">
            <v>0</v>
          </cell>
          <cell r="K69">
            <v>0</v>
          </cell>
        </row>
        <row r="70">
          <cell r="J70">
            <v>0</v>
          </cell>
          <cell r="K70">
            <v>0</v>
          </cell>
        </row>
        <row r="72">
          <cell r="J72">
            <v>0</v>
          </cell>
          <cell r="K72">
            <v>0</v>
          </cell>
        </row>
        <row r="73">
          <cell r="J73">
            <v>60</v>
          </cell>
          <cell r="K73">
            <v>1597.4999999999995</v>
          </cell>
        </row>
        <row r="74">
          <cell r="J74">
            <v>0</v>
          </cell>
          <cell r="K74">
            <v>0</v>
          </cell>
        </row>
        <row r="75">
          <cell r="J75">
            <v>50</v>
          </cell>
          <cell r="K75">
            <v>2143.0000000000005</v>
          </cell>
        </row>
        <row r="76">
          <cell r="J76">
            <v>0</v>
          </cell>
          <cell r="K76">
            <v>0</v>
          </cell>
        </row>
        <row r="77">
          <cell r="J77">
            <v>0</v>
          </cell>
          <cell r="K77">
            <v>0</v>
          </cell>
        </row>
        <row r="78">
          <cell r="J78">
            <v>0</v>
          </cell>
          <cell r="K78">
            <v>0</v>
          </cell>
        </row>
      </sheetData>
      <sheetData sheetId="5"/>
      <sheetData sheetId="6">
        <row r="6">
          <cell r="B6">
            <v>0</v>
          </cell>
          <cell r="C6">
            <v>0</v>
          </cell>
        </row>
        <row r="7">
          <cell r="B7">
            <v>0</v>
          </cell>
          <cell r="C7">
            <v>0</v>
          </cell>
        </row>
        <row r="8">
          <cell r="B8">
            <v>0</v>
          </cell>
          <cell r="C8">
            <v>0</v>
          </cell>
        </row>
        <row r="9">
          <cell r="B9">
            <v>1600</v>
          </cell>
          <cell r="C9">
            <v>1350</v>
          </cell>
        </row>
        <row r="10">
          <cell r="B10">
            <v>3000</v>
          </cell>
          <cell r="C10">
            <v>1189.9999999999998</v>
          </cell>
        </row>
        <row r="11">
          <cell r="B11">
            <v>0</v>
          </cell>
          <cell r="C11">
            <v>0</v>
          </cell>
        </row>
        <row r="12">
          <cell r="B12">
            <v>0</v>
          </cell>
          <cell r="C12">
            <v>0</v>
          </cell>
        </row>
        <row r="13">
          <cell r="B13">
            <v>120</v>
          </cell>
          <cell r="C13">
            <v>1200</v>
          </cell>
        </row>
        <row r="14">
          <cell r="B14">
            <v>0</v>
          </cell>
          <cell r="C14">
            <v>0</v>
          </cell>
        </row>
        <row r="15">
          <cell r="B15">
            <v>300</v>
          </cell>
          <cell r="C15">
            <v>1298.9999999999995</v>
          </cell>
        </row>
        <row r="16">
          <cell r="B16">
            <v>225</v>
          </cell>
          <cell r="C16">
            <v>1329</v>
          </cell>
        </row>
        <row r="17">
          <cell r="B17">
            <v>50</v>
          </cell>
          <cell r="C17">
            <v>3125</v>
          </cell>
        </row>
        <row r="18">
          <cell r="B18">
            <v>106</v>
          </cell>
          <cell r="C18">
            <v>3350.0000000000009</v>
          </cell>
        </row>
        <row r="19">
          <cell r="B19">
            <v>0</v>
          </cell>
          <cell r="C19">
            <v>0</v>
          </cell>
        </row>
        <row r="20">
          <cell r="B20">
            <v>0</v>
          </cell>
          <cell r="C20">
            <v>0</v>
          </cell>
        </row>
        <row r="21">
          <cell r="B21">
            <v>0</v>
          </cell>
          <cell r="C21">
            <v>0</v>
          </cell>
        </row>
        <row r="26">
          <cell r="B26">
            <v>572</v>
          </cell>
          <cell r="C26">
            <v>4726.0115606936415</v>
          </cell>
        </row>
        <row r="27">
          <cell r="B27">
            <v>1900</v>
          </cell>
          <cell r="C27">
            <v>3825</v>
          </cell>
        </row>
        <row r="28">
          <cell r="B28">
            <v>0</v>
          </cell>
          <cell r="C28">
            <v>0</v>
          </cell>
        </row>
        <row r="29">
          <cell r="B29">
            <v>0</v>
          </cell>
          <cell r="C29">
            <v>0</v>
          </cell>
        </row>
        <row r="30">
          <cell r="B30">
            <v>613</v>
          </cell>
          <cell r="C30">
            <v>2900.0000000000005</v>
          </cell>
        </row>
        <row r="31">
          <cell r="B31">
            <v>0</v>
          </cell>
          <cell r="C31">
            <v>0</v>
          </cell>
        </row>
        <row r="32">
          <cell r="B32">
            <v>0</v>
          </cell>
          <cell r="C32">
            <v>0</v>
          </cell>
        </row>
        <row r="33">
          <cell r="B33">
            <v>0</v>
          </cell>
          <cell r="C33">
            <v>0</v>
          </cell>
        </row>
        <row r="34">
          <cell r="B34">
            <v>0</v>
          </cell>
          <cell r="C34">
            <v>0</v>
          </cell>
        </row>
        <row r="35">
          <cell r="B35">
            <v>0</v>
          </cell>
          <cell r="C35">
            <v>0</v>
          </cell>
        </row>
        <row r="36">
          <cell r="B36">
            <v>0</v>
          </cell>
          <cell r="C36">
            <v>0</v>
          </cell>
        </row>
        <row r="37">
          <cell r="B37">
            <v>0</v>
          </cell>
          <cell r="C37">
            <v>0</v>
          </cell>
        </row>
        <row r="38">
          <cell r="B38">
            <v>0</v>
          </cell>
          <cell r="C38">
            <v>0</v>
          </cell>
        </row>
        <row r="39">
          <cell r="B39">
            <v>0</v>
          </cell>
          <cell r="C39">
            <v>0</v>
          </cell>
        </row>
        <row r="40">
          <cell r="B40">
            <v>0</v>
          </cell>
          <cell r="C40">
            <v>0</v>
          </cell>
        </row>
        <row r="41">
          <cell r="B41">
            <v>0</v>
          </cell>
          <cell r="C41">
            <v>0</v>
          </cell>
        </row>
        <row r="42">
          <cell r="B42">
            <v>0</v>
          </cell>
          <cell r="C42">
            <v>0</v>
          </cell>
        </row>
        <row r="43">
          <cell r="B43">
            <v>0</v>
          </cell>
          <cell r="C43">
            <v>0</v>
          </cell>
        </row>
        <row r="44">
          <cell r="B44">
            <v>0</v>
          </cell>
          <cell r="C44">
            <v>0</v>
          </cell>
        </row>
        <row r="45">
          <cell r="B45">
            <v>0</v>
          </cell>
          <cell r="C45">
            <v>0</v>
          </cell>
        </row>
        <row r="46">
          <cell r="B46">
            <v>0</v>
          </cell>
          <cell r="C46">
            <v>0</v>
          </cell>
        </row>
        <row r="47">
          <cell r="B47">
            <v>0</v>
          </cell>
          <cell r="C47">
            <v>0</v>
          </cell>
        </row>
        <row r="48">
          <cell r="B48">
            <v>0</v>
          </cell>
          <cell r="C48">
            <v>0</v>
          </cell>
        </row>
        <row r="49">
          <cell r="B49">
            <v>0</v>
          </cell>
          <cell r="C49">
            <v>0</v>
          </cell>
        </row>
        <row r="50">
          <cell r="B50">
            <v>0</v>
          </cell>
          <cell r="C50">
            <v>0</v>
          </cell>
        </row>
        <row r="51">
          <cell r="B51">
            <v>0</v>
          </cell>
          <cell r="C51">
            <v>0</v>
          </cell>
        </row>
        <row r="52">
          <cell r="B52">
            <v>0</v>
          </cell>
          <cell r="C52">
            <v>0</v>
          </cell>
        </row>
        <row r="53">
          <cell r="B53">
            <v>5636</v>
          </cell>
          <cell r="C53">
            <v>569.03781355297633</v>
          </cell>
        </row>
        <row r="56">
          <cell r="B56">
            <v>0</v>
          </cell>
          <cell r="C56">
            <v>0</v>
          </cell>
        </row>
        <row r="57">
          <cell r="B57">
            <v>0</v>
          </cell>
          <cell r="C57">
            <v>0</v>
          </cell>
        </row>
        <row r="58">
          <cell r="B58">
            <v>0</v>
          </cell>
          <cell r="C58">
            <v>0</v>
          </cell>
        </row>
        <row r="59">
          <cell r="B59">
            <v>0</v>
          </cell>
          <cell r="C59">
            <v>0</v>
          </cell>
        </row>
        <row r="60">
          <cell r="B60">
            <v>0</v>
          </cell>
          <cell r="C60">
            <v>0</v>
          </cell>
        </row>
        <row r="61">
          <cell r="B61">
            <v>0</v>
          </cell>
          <cell r="C61">
            <v>0</v>
          </cell>
        </row>
        <row r="63">
          <cell r="B63">
            <v>0</v>
          </cell>
          <cell r="C63">
            <v>0</v>
          </cell>
        </row>
        <row r="64">
          <cell r="B64">
            <v>0</v>
          </cell>
          <cell r="C64">
            <v>0</v>
          </cell>
        </row>
        <row r="65">
          <cell r="B65">
            <v>0</v>
          </cell>
          <cell r="C65">
            <v>0</v>
          </cell>
        </row>
        <row r="66">
          <cell r="B66">
            <v>0</v>
          </cell>
          <cell r="C66">
            <v>0</v>
          </cell>
        </row>
        <row r="68">
          <cell r="B68">
            <v>0</v>
          </cell>
          <cell r="C68">
            <v>0</v>
          </cell>
        </row>
        <row r="69">
          <cell r="B69">
            <v>0</v>
          </cell>
          <cell r="C69">
            <v>0</v>
          </cell>
        </row>
        <row r="70">
          <cell r="B70">
            <v>0</v>
          </cell>
          <cell r="C70">
            <v>0</v>
          </cell>
        </row>
        <row r="72">
          <cell r="B72">
            <v>0</v>
          </cell>
          <cell r="C72">
            <v>0</v>
          </cell>
        </row>
        <row r="73">
          <cell r="B73">
            <v>0</v>
          </cell>
          <cell r="C73">
            <v>0</v>
          </cell>
        </row>
        <row r="74">
          <cell r="B74">
            <v>0</v>
          </cell>
          <cell r="C74">
            <v>0</v>
          </cell>
        </row>
        <row r="75">
          <cell r="B75">
            <v>0</v>
          </cell>
          <cell r="C75">
            <v>0</v>
          </cell>
        </row>
        <row r="76">
          <cell r="B76">
            <v>0</v>
          </cell>
          <cell r="C76">
            <v>0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</sheetData>
      <sheetData sheetId="7">
        <row r="6">
          <cell r="B6">
            <v>480</v>
          </cell>
          <cell r="C6">
            <v>1231</v>
          </cell>
        </row>
        <row r="7">
          <cell r="B7">
            <v>0</v>
          </cell>
          <cell r="C7">
            <v>0</v>
          </cell>
        </row>
        <row r="8">
          <cell r="B8">
            <v>0</v>
          </cell>
          <cell r="C8">
            <v>0</v>
          </cell>
        </row>
        <row r="9">
          <cell r="B9">
            <v>0</v>
          </cell>
          <cell r="C9">
            <v>0</v>
          </cell>
        </row>
        <row r="10">
          <cell r="B10">
            <v>1590</v>
          </cell>
          <cell r="C10">
            <v>1333.0000000000002</v>
          </cell>
        </row>
        <row r="11">
          <cell r="B11">
            <v>0</v>
          </cell>
          <cell r="C11">
            <v>0</v>
          </cell>
        </row>
        <row r="12">
          <cell r="B12">
            <v>0</v>
          </cell>
          <cell r="C12">
            <v>0</v>
          </cell>
        </row>
        <row r="13">
          <cell r="B13">
            <v>0</v>
          </cell>
          <cell r="C13">
            <v>0</v>
          </cell>
        </row>
        <row r="14">
          <cell r="B14">
            <v>1200</v>
          </cell>
          <cell r="C14">
            <v>1550.0000000000002</v>
          </cell>
        </row>
        <row r="15">
          <cell r="B15">
            <v>120</v>
          </cell>
          <cell r="C15">
            <v>1322</v>
          </cell>
        </row>
        <row r="16">
          <cell r="B16">
            <v>120</v>
          </cell>
          <cell r="C16">
            <v>1329</v>
          </cell>
        </row>
        <row r="17">
          <cell r="B17">
            <v>240</v>
          </cell>
          <cell r="C17">
            <v>3125</v>
          </cell>
        </row>
        <row r="18">
          <cell r="B18">
            <v>960</v>
          </cell>
          <cell r="C18">
            <v>3350.0000000000014</v>
          </cell>
        </row>
        <row r="19">
          <cell r="B19">
            <v>450</v>
          </cell>
          <cell r="C19">
            <v>2888.0000000000005</v>
          </cell>
        </row>
        <row r="20">
          <cell r="B20">
            <v>300</v>
          </cell>
          <cell r="C20">
            <v>3450</v>
          </cell>
        </row>
        <row r="21">
          <cell r="B21">
            <v>0</v>
          </cell>
          <cell r="C21">
            <v>0</v>
          </cell>
        </row>
        <row r="26">
          <cell r="B26">
            <v>0</v>
          </cell>
          <cell r="C26">
            <v>0</v>
          </cell>
        </row>
        <row r="27">
          <cell r="B27">
            <v>0</v>
          </cell>
          <cell r="C27">
            <v>0</v>
          </cell>
        </row>
        <row r="28">
          <cell r="B28">
            <v>0</v>
          </cell>
          <cell r="C28">
            <v>0</v>
          </cell>
        </row>
        <row r="29">
          <cell r="B29">
            <v>221</v>
          </cell>
          <cell r="C29">
            <v>700</v>
          </cell>
        </row>
        <row r="30">
          <cell r="B30">
            <v>0</v>
          </cell>
          <cell r="C30">
            <v>0</v>
          </cell>
        </row>
        <row r="31">
          <cell r="B31">
            <v>0</v>
          </cell>
          <cell r="C31">
            <v>0</v>
          </cell>
        </row>
        <row r="32">
          <cell r="B32">
            <v>0</v>
          </cell>
          <cell r="C32">
            <v>0</v>
          </cell>
        </row>
        <row r="33">
          <cell r="B33">
            <v>0</v>
          </cell>
          <cell r="C33">
            <v>0</v>
          </cell>
        </row>
        <row r="34">
          <cell r="B34">
            <v>0</v>
          </cell>
          <cell r="C34">
            <v>0</v>
          </cell>
        </row>
        <row r="35">
          <cell r="B35">
            <v>0</v>
          </cell>
          <cell r="C35">
            <v>0</v>
          </cell>
        </row>
        <row r="36">
          <cell r="B36">
            <v>0</v>
          </cell>
          <cell r="C36">
            <v>0</v>
          </cell>
        </row>
        <row r="37">
          <cell r="B37">
            <v>0</v>
          </cell>
          <cell r="C37">
            <v>0</v>
          </cell>
        </row>
        <row r="38">
          <cell r="B38">
            <v>0</v>
          </cell>
          <cell r="C38">
            <v>0</v>
          </cell>
        </row>
        <row r="39">
          <cell r="B39">
            <v>0</v>
          </cell>
          <cell r="C39">
            <v>0</v>
          </cell>
        </row>
        <row r="40">
          <cell r="B40">
            <v>3240</v>
          </cell>
          <cell r="C40">
            <v>2711</v>
          </cell>
        </row>
        <row r="41">
          <cell r="B41">
            <v>240</v>
          </cell>
          <cell r="C41">
            <v>3144.9999999999995</v>
          </cell>
        </row>
        <row r="42">
          <cell r="B42">
            <v>0</v>
          </cell>
          <cell r="C42">
            <v>0</v>
          </cell>
        </row>
        <row r="43">
          <cell r="B43">
            <v>0</v>
          </cell>
          <cell r="C43">
            <v>0</v>
          </cell>
        </row>
        <row r="44">
          <cell r="B44">
            <v>0</v>
          </cell>
          <cell r="C44">
            <v>0</v>
          </cell>
        </row>
        <row r="45">
          <cell r="B45">
            <v>0</v>
          </cell>
          <cell r="C45">
            <v>0</v>
          </cell>
        </row>
        <row r="46">
          <cell r="B46">
            <v>0</v>
          </cell>
          <cell r="C46">
            <v>0</v>
          </cell>
        </row>
        <row r="47">
          <cell r="B47">
            <v>0</v>
          </cell>
          <cell r="C47">
            <v>0</v>
          </cell>
        </row>
        <row r="48">
          <cell r="B48">
            <v>0</v>
          </cell>
          <cell r="C48">
            <v>0</v>
          </cell>
        </row>
        <row r="49">
          <cell r="B49">
            <v>0</v>
          </cell>
          <cell r="C49">
            <v>0</v>
          </cell>
        </row>
        <row r="50">
          <cell r="B50">
            <v>0</v>
          </cell>
          <cell r="C50">
            <v>0</v>
          </cell>
        </row>
        <row r="51">
          <cell r="B51">
            <v>1200</v>
          </cell>
          <cell r="C51">
            <v>640.00000000000023</v>
          </cell>
        </row>
        <row r="52">
          <cell r="B52">
            <v>0</v>
          </cell>
          <cell r="C52">
            <v>0</v>
          </cell>
        </row>
        <row r="53">
          <cell r="B53">
            <v>1200</v>
          </cell>
          <cell r="C53">
            <v>569.03781355297633</v>
          </cell>
        </row>
        <row r="56">
          <cell r="B56">
            <v>0</v>
          </cell>
          <cell r="C56">
            <v>0</v>
          </cell>
        </row>
        <row r="57">
          <cell r="B57">
            <v>0</v>
          </cell>
          <cell r="C57">
            <v>0</v>
          </cell>
        </row>
        <row r="58">
          <cell r="B58">
            <v>0</v>
          </cell>
          <cell r="C58">
            <v>0</v>
          </cell>
        </row>
        <row r="59">
          <cell r="B59">
            <v>0</v>
          </cell>
          <cell r="C59">
            <v>0</v>
          </cell>
        </row>
        <row r="60">
          <cell r="B60">
            <v>0</v>
          </cell>
          <cell r="C60">
            <v>0</v>
          </cell>
        </row>
        <row r="61">
          <cell r="B61">
            <v>0</v>
          </cell>
          <cell r="C61">
            <v>0</v>
          </cell>
        </row>
        <row r="63">
          <cell r="B63">
            <v>0</v>
          </cell>
          <cell r="C63">
            <v>0</v>
          </cell>
        </row>
        <row r="64">
          <cell r="B64">
            <v>0</v>
          </cell>
          <cell r="C64">
            <v>0</v>
          </cell>
        </row>
        <row r="65">
          <cell r="B65">
            <v>0</v>
          </cell>
          <cell r="C65">
            <v>0</v>
          </cell>
        </row>
        <row r="66">
          <cell r="B66">
            <v>0</v>
          </cell>
          <cell r="C66">
            <v>0</v>
          </cell>
        </row>
        <row r="68">
          <cell r="B68">
            <v>0</v>
          </cell>
          <cell r="C68">
            <v>0</v>
          </cell>
        </row>
        <row r="69">
          <cell r="B69">
            <v>0</v>
          </cell>
          <cell r="C69">
            <v>0</v>
          </cell>
        </row>
        <row r="70">
          <cell r="B70">
            <v>0</v>
          </cell>
          <cell r="C70">
            <v>0</v>
          </cell>
        </row>
        <row r="72">
          <cell r="B72">
            <v>0</v>
          </cell>
          <cell r="C72">
            <v>0</v>
          </cell>
        </row>
        <row r="73">
          <cell r="B73">
            <v>0</v>
          </cell>
          <cell r="C73">
            <v>0</v>
          </cell>
        </row>
        <row r="74">
          <cell r="B74">
            <v>0</v>
          </cell>
          <cell r="C74">
            <v>0</v>
          </cell>
        </row>
        <row r="75">
          <cell r="B75">
            <v>250</v>
          </cell>
          <cell r="C75">
            <v>2143</v>
          </cell>
        </row>
        <row r="76">
          <cell r="B76">
            <v>0</v>
          </cell>
          <cell r="C76">
            <v>0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</sheetData>
      <sheetData sheetId="8">
        <row r="6">
          <cell r="B6">
            <v>8400</v>
          </cell>
          <cell r="C6">
            <v>1350</v>
          </cell>
        </row>
        <row r="7">
          <cell r="B7">
            <v>0</v>
          </cell>
          <cell r="C7">
            <v>0</v>
          </cell>
        </row>
        <row r="8">
          <cell r="B8">
            <v>0</v>
          </cell>
          <cell r="C8">
            <v>0</v>
          </cell>
        </row>
        <row r="9">
          <cell r="B9">
            <v>0</v>
          </cell>
          <cell r="C9">
            <v>0</v>
          </cell>
        </row>
        <row r="10">
          <cell r="B10">
            <v>4800</v>
          </cell>
          <cell r="C10">
            <v>1350</v>
          </cell>
        </row>
        <row r="11">
          <cell r="B11">
            <v>0</v>
          </cell>
          <cell r="C11">
            <v>0</v>
          </cell>
        </row>
        <row r="12">
          <cell r="B12">
            <v>0</v>
          </cell>
          <cell r="C12">
            <v>0</v>
          </cell>
        </row>
        <row r="13">
          <cell r="B13">
            <v>1170</v>
          </cell>
          <cell r="C13">
            <v>1320.0000000000002</v>
          </cell>
        </row>
        <row r="14">
          <cell r="B14">
            <v>0</v>
          </cell>
          <cell r="C14">
            <v>0</v>
          </cell>
        </row>
        <row r="15">
          <cell r="B15">
            <v>890</v>
          </cell>
          <cell r="C15">
            <v>1359.9999999999998</v>
          </cell>
        </row>
        <row r="16">
          <cell r="B16">
            <v>180</v>
          </cell>
          <cell r="C16">
            <v>1329</v>
          </cell>
        </row>
        <row r="17">
          <cell r="B17">
            <v>60</v>
          </cell>
          <cell r="C17">
            <v>3125</v>
          </cell>
        </row>
        <row r="18">
          <cell r="B18">
            <v>0</v>
          </cell>
          <cell r="C18">
            <v>0</v>
          </cell>
        </row>
        <row r="19">
          <cell r="B19">
            <v>0</v>
          </cell>
          <cell r="C19">
            <v>0</v>
          </cell>
        </row>
        <row r="20">
          <cell r="B20">
            <v>0</v>
          </cell>
          <cell r="C20">
            <v>0</v>
          </cell>
        </row>
        <row r="21">
          <cell r="B21">
            <v>0</v>
          </cell>
          <cell r="C21">
            <v>0</v>
          </cell>
        </row>
        <row r="26">
          <cell r="B26">
            <v>0</v>
          </cell>
          <cell r="C26">
            <v>0</v>
          </cell>
        </row>
        <row r="27">
          <cell r="B27">
            <v>0</v>
          </cell>
          <cell r="C27">
            <v>0</v>
          </cell>
        </row>
        <row r="28">
          <cell r="B28">
            <v>0</v>
          </cell>
          <cell r="C28">
            <v>0</v>
          </cell>
        </row>
        <row r="29">
          <cell r="B29">
            <v>0</v>
          </cell>
          <cell r="C29">
            <v>0</v>
          </cell>
        </row>
        <row r="30">
          <cell r="B30">
            <v>0</v>
          </cell>
          <cell r="C30">
            <v>0</v>
          </cell>
        </row>
        <row r="31">
          <cell r="B31">
            <v>0</v>
          </cell>
          <cell r="C31">
            <v>0</v>
          </cell>
        </row>
        <row r="32">
          <cell r="B32">
            <v>780</v>
          </cell>
          <cell r="C32">
            <v>696.27986725663709</v>
          </cell>
        </row>
        <row r="33">
          <cell r="B33">
            <v>120</v>
          </cell>
          <cell r="C33">
            <v>852.72727272727275</v>
          </cell>
        </row>
        <row r="34">
          <cell r="B34">
            <v>0</v>
          </cell>
          <cell r="C34">
            <v>0</v>
          </cell>
        </row>
        <row r="35">
          <cell r="B35">
            <v>380</v>
          </cell>
          <cell r="C35">
            <v>730.00000000000034</v>
          </cell>
        </row>
        <row r="36">
          <cell r="B36">
            <v>0</v>
          </cell>
          <cell r="C36">
            <v>0</v>
          </cell>
        </row>
        <row r="37">
          <cell r="B37">
            <v>0</v>
          </cell>
          <cell r="C37">
            <v>0</v>
          </cell>
        </row>
        <row r="38">
          <cell r="B38">
            <v>720</v>
          </cell>
          <cell r="C38">
            <v>1043.3001358080583</v>
          </cell>
        </row>
        <row r="39">
          <cell r="B39">
            <v>0</v>
          </cell>
          <cell r="C39">
            <v>0</v>
          </cell>
        </row>
        <row r="40">
          <cell r="B40">
            <v>0</v>
          </cell>
          <cell r="C40">
            <v>0</v>
          </cell>
        </row>
        <row r="41">
          <cell r="B41">
            <v>0</v>
          </cell>
          <cell r="C41">
            <v>0</v>
          </cell>
        </row>
        <row r="42">
          <cell r="B42">
            <v>0</v>
          </cell>
          <cell r="C42">
            <v>0</v>
          </cell>
        </row>
        <row r="43">
          <cell r="B43">
            <v>0</v>
          </cell>
          <cell r="C43">
            <v>0</v>
          </cell>
        </row>
        <row r="44">
          <cell r="B44">
            <v>0</v>
          </cell>
          <cell r="C44">
            <v>0</v>
          </cell>
        </row>
        <row r="45">
          <cell r="B45">
            <v>0</v>
          </cell>
          <cell r="C45">
            <v>0</v>
          </cell>
        </row>
        <row r="46">
          <cell r="B46">
            <v>0</v>
          </cell>
          <cell r="C46">
            <v>0</v>
          </cell>
        </row>
        <row r="47">
          <cell r="B47">
            <v>0</v>
          </cell>
          <cell r="C47">
            <v>0</v>
          </cell>
        </row>
        <row r="48">
          <cell r="B48">
            <v>0</v>
          </cell>
          <cell r="C48">
            <v>0</v>
          </cell>
        </row>
        <row r="49">
          <cell r="B49">
            <v>0</v>
          </cell>
          <cell r="C49">
            <v>0</v>
          </cell>
        </row>
        <row r="50">
          <cell r="B50">
            <v>0</v>
          </cell>
          <cell r="C50">
            <v>0</v>
          </cell>
        </row>
        <row r="51">
          <cell r="B51">
            <v>0</v>
          </cell>
          <cell r="C51">
            <v>0</v>
          </cell>
        </row>
        <row r="52">
          <cell r="B52">
            <v>0</v>
          </cell>
          <cell r="C52">
            <v>0</v>
          </cell>
        </row>
        <row r="53">
          <cell r="B53">
            <v>200</v>
          </cell>
          <cell r="C53">
            <v>569.03781355297644</v>
          </cell>
        </row>
        <row r="56">
          <cell r="B56">
            <v>0</v>
          </cell>
          <cell r="C56">
            <v>0</v>
          </cell>
        </row>
        <row r="57">
          <cell r="B57">
            <v>0</v>
          </cell>
          <cell r="C57">
            <v>0</v>
          </cell>
        </row>
        <row r="58">
          <cell r="B58">
            <v>0</v>
          </cell>
          <cell r="C58">
            <v>0</v>
          </cell>
        </row>
        <row r="59">
          <cell r="B59">
            <v>0</v>
          </cell>
          <cell r="C59">
            <v>0</v>
          </cell>
        </row>
        <row r="60">
          <cell r="B60">
            <v>0</v>
          </cell>
          <cell r="C60">
            <v>0</v>
          </cell>
        </row>
        <row r="61">
          <cell r="B61">
            <v>0</v>
          </cell>
          <cell r="C61">
            <v>0</v>
          </cell>
        </row>
        <row r="63">
          <cell r="B63">
            <v>0</v>
          </cell>
          <cell r="C63">
            <v>0</v>
          </cell>
        </row>
        <row r="64">
          <cell r="B64">
            <v>0</v>
          </cell>
          <cell r="C64">
            <v>0</v>
          </cell>
        </row>
        <row r="65">
          <cell r="B65">
            <v>0</v>
          </cell>
          <cell r="C65">
            <v>0</v>
          </cell>
        </row>
        <row r="66">
          <cell r="B66">
            <v>0</v>
          </cell>
          <cell r="C66">
            <v>0</v>
          </cell>
        </row>
        <row r="68">
          <cell r="B68">
            <v>0</v>
          </cell>
          <cell r="C68">
            <v>0</v>
          </cell>
        </row>
        <row r="69">
          <cell r="B69">
            <v>0</v>
          </cell>
          <cell r="C69">
            <v>0</v>
          </cell>
        </row>
        <row r="70">
          <cell r="B70">
            <v>0</v>
          </cell>
          <cell r="C70">
            <v>0</v>
          </cell>
        </row>
        <row r="72">
          <cell r="B72">
            <v>0</v>
          </cell>
          <cell r="C72">
            <v>0</v>
          </cell>
        </row>
        <row r="73">
          <cell r="B73">
            <v>60</v>
          </cell>
          <cell r="C73">
            <v>1597.4999999999995</v>
          </cell>
        </row>
        <row r="74">
          <cell r="B74">
            <v>60</v>
          </cell>
          <cell r="C74">
            <v>1500.0000000000005</v>
          </cell>
        </row>
        <row r="75">
          <cell r="B75">
            <v>0</v>
          </cell>
          <cell r="C75">
            <v>0</v>
          </cell>
        </row>
        <row r="76">
          <cell r="B76">
            <v>0</v>
          </cell>
          <cell r="C76">
            <v>0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</sheetData>
      <sheetData sheetId="9">
        <row r="6">
          <cell r="B6">
            <v>0</v>
          </cell>
          <cell r="C6">
            <v>0</v>
          </cell>
        </row>
        <row r="7">
          <cell r="B7">
            <v>0</v>
          </cell>
          <cell r="C7">
            <v>0</v>
          </cell>
        </row>
        <row r="8">
          <cell r="B8">
            <v>0</v>
          </cell>
          <cell r="C8">
            <v>0</v>
          </cell>
        </row>
        <row r="9">
          <cell r="B9">
            <v>0</v>
          </cell>
          <cell r="C9">
            <v>0</v>
          </cell>
        </row>
        <row r="10">
          <cell r="B10">
            <v>5418</v>
          </cell>
          <cell r="C10">
            <v>1304.9999999999995</v>
          </cell>
        </row>
        <row r="11">
          <cell r="B11">
            <v>0</v>
          </cell>
          <cell r="C11">
            <v>0</v>
          </cell>
        </row>
        <row r="12">
          <cell r="B12">
            <v>0</v>
          </cell>
          <cell r="C12">
            <v>0</v>
          </cell>
        </row>
        <row r="13">
          <cell r="B13">
            <v>840</v>
          </cell>
          <cell r="C13">
            <v>1320</v>
          </cell>
        </row>
        <row r="14">
          <cell r="B14">
            <v>0</v>
          </cell>
          <cell r="C14">
            <v>0</v>
          </cell>
        </row>
        <row r="15">
          <cell r="B15">
            <v>2325</v>
          </cell>
          <cell r="C15">
            <v>1422.9999999999998</v>
          </cell>
        </row>
        <row r="16">
          <cell r="B16">
            <v>4202</v>
          </cell>
          <cell r="C16">
            <v>1329</v>
          </cell>
        </row>
        <row r="17">
          <cell r="B17">
            <v>350</v>
          </cell>
          <cell r="C17">
            <v>3125</v>
          </cell>
        </row>
        <row r="18">
          <cell r="B18">
            <v>0</v>
          </cell>
          <cell r="C18">
            <v>0</v>
          </cell>
        </row>
        <row r="19">
          <cell r="B19">
            <v>60</v>
          </cell>
          <cell r="C19">
            <v>2841.5094339622606</v>
          </cell>
        </row>
        <row r="20">
          <cell r="B20">
            <v>0</v>
          </cell>
          <cell r="C20">
            <v>0</v>
          </cell>
        </row>
        <row r="21">
          <cell r="B21">
            <v>420</v>
          </cell>
          <cell r="C21">
            <v>1658.0000000000009</v>
          </cell>
        </row>
        <row r="26">
          <cell r="B26">
            <v>0</v>
          </cell>
          <cell r="C26">
            <v>0</v>
          </cell>
        </row>
        <row r="27">
          <cell r="B27">
            <v>0</v>
          </cell>
          <cell r="C27">
            <v>0</v>
          </cell>
        </row>
        <row r="28">
          <cell r="B28">
            <v>0</v>
          </cell>
          <cell r="C28">
            <v>0</v>
          </cell>
        </row>
        <row r="29">
          <cell r="B29">
            <v>0</v>
          </cell>
          <cell r="C29">
            <v>0</v>
          </cell>
        </row>
        <row r="30">
          <cell r="B30">
            <v>0</v>
          </cell>
          <cell r="C30">
            <v>0</v>
          </cell>
        </row>
        <row r="31">
          <cell r="B31">
            <v>0</v>
          </cell>
          <cell r="C31">
            <v>0</v>
          </cell>
        </row>
        <row r="32">
          <cell r="B32">
            <v>0</v>
          </cell>
          <cell r="C32">
            <v>0</v>
          </cell>
        </row>
        <row r="33">
          <cell r="B33">
            <v>0</v>
          </cell>
          <cell r="C33">
            <v>0</v>
          </cell>
        </row>
        <row r="34">
          <cell r="B34">
            <v>0</v>
          </cell>
          <cell r="C34">
            <v>0</v>
          </cell>
        </row>
        <row r="35">
          <cell r="B35">
            <v>0</v>
          </cell>
          <cell r="C35">
            <v>0</v>
          </cell>
        </row>
        <row r="36">
          <cell r="B36">
            <v>0</v>
          </cell>
          <cell r="C36">
            <v>0</v>
          </cell>
        </row>
        <row r="37">
          <cell r="B37">
            <v>0</v>
          </cell>
          <cell r="C37">
            <v>0</v>
          </cell>
        </row>
        <row r="38">
          <cell r="B38">
            <v>0</v>
          </cell>
          <cell r="C38">
            <v>0</v>
          </cell>
        </row>
        <row r="39">
          <cell r="B39">
            <v>0</v>
          </cell>
          <cell r="C39">
            <v>0</v>
          </cell>
        </row>
        <row r="40">
          <cell r="B40">
            <v>60</v>
          </cell>
          <cell r="C40">
            <v>2570.0000000000005</v>
          </cell>
        </row>
        <row r="41">
          <cell r="B41">
            <v>120</v>
          </cell>
          <cell r="C41">
            <v>3145</v>
          </cell>
        </row>
        <row r="42">
          <cell r="B42">
            <v>0</v>
          </cell>
          <cell r="C42">
            <v>0</v>
          </cell>
        </row>
        <row r="43">
          <cell r="B43">
            <v>0</v>
          </cell>
          <cell r="C43">
            <v>0</v>
          </cell>
        </row>
        <row r="44">
          <cell r="B44">
            <v>0</v>
          </cell>
          <cell r="C44">
            <v>0</v>
          </cell>
        </row>
        <row r="45">
          <cell r="B45">
            <v>60</v>
          </cell>
          <cell r="C45">
            <v>1005</v>
          </cell>
        </row>
        <row r="46">
          <cell r="B46">
            <v>0</v>
          </cell>
          <cell r="C46">
            <v>0</v>
          </cell>
        </row>
        <row r="47">
          <cell r="B47">
            <v>120</v>
          </cell>
          <cell r="C47">
            <v>925.45454545454538</v>
          </cell>
        </row>
        <row r="48">
          <cell r="B48">
            <v>0</v>
          </cell>
          <cell r="C48">
            <v>0</v>
          </cell>
        </row>
        <row r="49">
          <cell r="B49">
            <v>0</v>
          </cell>
          <cell r="C49">
            <v>0</v>
          </cell>
        </row>
        <row r="50">
          <cell r="B50">
            <v>0</v>
          </cell>
          <cell r="C50">
            <v>0</v>
          </cell>
        </row>
        <row r="51">
          <cell r="B51">
            <v>0</v>
          </cell>
          <cell r="C51">
            <v>0</v>
          </cell>
        </row>
        <row r="52">
          <cell r="B52">
            <v>0</v>
          </cell>
          <cell r="C52">
            <v>0</v>
          </cell>
        </row>
        <row r="53">
          <cell r="B53">
            <v>2400</v>
          </cell>
          <cell r="C53">
            <v>569.03781355297633</v>
          </cell>
        </row>
        <row r="56">
          <cell r="B56">
            <v>0</v>
          </cell>
          <cell r="C56">
            <v>0</v>
          </cell>
        </row>
        <row r="57">
          <cell r="B57">
            <v>0</v>
          </cell>
          <cell r="C57">
            <v>0</v>
          </cell>
        </row>
        <row r="58">
          <cell r="B58">
            <v>0</v>
          </cell>
          <cell r="C58">
            <v>0</v>
          </cell>
        </row>
        <row r="59">
          <cell r="B59">
            <v>0</v>
          </cell>
          <cell r="C59">
            <v>0</v>
          </cell>
        </row>
        <row r="60">
          <cell r="B60">
            <v>0</v>
          </cell>
          <cell r="C60">
            <v>0</v>
          </cell>
        </row>
        <row r="61">
          <cell r="B61">
            <v>0</v>
          </cell>
          <cell r="C61">
            <v>0</v>
          </cell>
        </row>
        <row r="63">
          <cell r="B63">
            <v>0</v>
          </cell>
          <cell r="C63">
            <v>0</v>
          </cell>
        </row>
        <row r="64">
          <cell r="B64">
            <v>0</v>
          </cell>
          <cell r="C64">
            <v>0</v>
          </cell>
        </row>
        <row r="65">
          <cell r="B65">
            <v>0</v>
          </cell>
          <cell r="C65">
            <v>0</v>
          </cell>
        </row>
        <row r="66">
          <cell r="B66">
            <v>0</v>
          </cell>
          <cell r="C66">
            <v>0</v>
          </cell>
        </row>
        <row r="68">
          <cell r="B68">
            <v>0</v>
          </cell>
          <cell r="C68">
            <v>0</v>
          </cell>
        </row>
        <row r="69">
          <cell r="B69">
            <v>0</v>
          </cell>
          <cell r="C69">
            <v>0</v>
          </cell>
        </row>
        <row r="70">
          <cell r="B70">
            <v>0</v>
          </cell>
          <cell r="C70">
            <v>0</v>
          </cell>
        </row>
        <row r="72">
          <cell r="B72">
            <v>0</v>
          </cell>
          <cell r="C72">
            <v>0</v>
          </cell>
        </row>
        <row r="73">
          <cell r="B73">
            <v>0</v>
          </cell>
          <cell r="C73">
            <v>0</v>
          </cell>
        </row>
        <row r="74">
          <cell r="B74">
            <v>0</v>
          </cell>
          <cell r="C74">
            <v>0</v>
          </cell>
        </row>
        <row r="75">
          <cell r="B75">
            <v>0</v>
          </cell>
          <cell r="C75">
            <v>0</v>
          </cell>
        </row>
        <row r="76">
          <cell r="B76">
            <v>0</v>
          </cell>
          <cell r="C76">
            <v>0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  <row r="79">
          <cell r="B79">
            <v>0</v>
          </cell>
          <cell r="C79">
            <v>0</v>
          </cell>
        </row>
        <row r="80">
          <cell r="B80">
            <v>0</v>
          </cell>
          <cell r="C80">
            <v>0</v>
          </cell>
        </row>
      </sheetData>
      <sheetData sheetId="10">
        <row r="6">
          <cell r="B6">
            <v>0</v>
          </cell>
          <cell r="C6">
            <v>0</v>
          </cell>
        </row>
        <row r="7">
          <cell r="B7">
            <v>0</v>
          </cell>
          <cell r="C7">
            <v>0</v>
          </cell>
        </row>
        <row r="8">
          <cell r="B8">
            <v>0</v>
          </cell>
          <cell r="C8">
            <v>0</v>
          </cell>
        </row>
        <row r="9">
          <cell r="B9">
            <v>0</v>
          </cell>
          <cell r="C9">
            <v>0</v>
          </cell>
        </row>
        <row r="10">
          <cell r="B10">
            <v>3000</v>
          </cell>
          <cell r="C10">
            <v>1305</v>
          </cell>
        </row>
        <row r="11">
          <cell r="B11">
            <v>0</v>
          </cell>
          <cell r="C11">
            <v>0</v>
          </cell>
        </row>
        <row r="12">
          <cell r="B12">
            <v>0</v>
          </cell>
          <cell r="C12">
            <v>0</v>
          </cell>
        </row>
        <row r="13">
          <cell r="B13">
            <v>120</v>
          </cell>
          <cell r="C13">
            <v>1319.9999999999998</v>
          </cell>
        </row>
        <row r="14">
          <cell r="B14">
            <v>0</v>
          </cell>
          <cell r="C14">
            <v>0</v>
          </cell>
        </row>
        <row r="15">
          <cell r="B15">
            <v>450</v>
          </cell>
          <cell r="C15">
            <v>1335</v>
          </cell>
        </row>
        <row r="16">
          <cell r="B16">
            <v>100</v>
          </cell>
          <cell r="C16">
            <v>1329</v>
          </cell>
        </row>
        <row r="17">
          <cell r="B17">
            <v>100</v>
          </cell>
          <cell r="C17">
            <v>3125</v>
          </cell>
        </row>
        <row r="18">
          <cell r="B18">
            <v>0</v>
          </cell>
          <cell r="C18">
            <v>0</v>
          </cell>
        </row>
        <row r="19">
          <cell r="B19">
            <v>0</v>
          </cell>
          <cell r="C19">
            <v>0</v>
          </cell>
        </row>
        <row r="20">
          <cell r="B20">
            <v>0</v>
          </cell>
          <cell r="C20">
            <v>0</v>
          </cell>
        </row>
        <row r="21">
          <cell r="B21">
            <v>0</v>
          </cell>
          <cell r="C21">
            <v>0</v>
          </cell>
        </row>
        <row r="26">
          <cell r="B26">
            <v>0</v>
          </cell>
          <cell r="C26">
            <v>0</v>
          </cell>
        </row>
        <row r="27">
          <cell r="B27">
            <v>0</v>
          </cell>
          <cell r="C27">
            <v>0</v>
          </cell>
        </row>
        <row r="28">
          <cell r="B28">
            <v>0</v>
          </cell>
          <cell r="C28">
            <v>0</v>
          </cell>
        </row>
        <row r="29">
          <cell r="B29">
            <v>0</v>
          </cell>
          <cell r="C29">
            <v>0</v>
          </cell>
        </row>
        <row r="30">
          <cell r="B30">
            <v>0</v>
          </cell>
          <cell r="C30">
            <v>0</v>
          </cell>
        </row>
        <row r="31">
          <cell r="B31">
            <v>0</v>
          </cell>
          <cell r="C31">
            <v>0</v>
          </cell>
        </row>
        <row r="32">
          <cell r="B32">
            <v>60</v>
          </cell>
          <cell r="C32">
            <v>696.27986725663709</v>
          </cell>
        </row>
        <row r="33">
          <cell r="B33">
            <v>0</v>
          </cell>
          <cell r="C33">
            <v>0</v>
          </cell>
        </row>
        <row r="34">
          <cell r="B34">
            <v>0</v>
          </cell>
          <cell r="C34">
            <v>0</v>
          </cell>
        </row>
        <row r="35">
          <cell r="B35">
            <v>0</v>
          </cell>
          <cell r="C35">
            <v>0</v>
          </cell>
        </row>
        <row r="36">
          <cell r="B36">
            <v>0</v>
          </cell>
          <cell r="C36">
            <v>0</v>
          </cell>
        </row>
        <row r="37">
          <cell r="B37">
            <v>0</v>
          </cell>
          <cell r="C37">
            <v>0</v>
          </cell>
        </row>
        <row r="38">
          <cell r="B38">
            <v>1200</v>
          </cell>
          <cell r="C38">
            <v>1014.0000000000001</v>
          </cell>
        </row>
        <row r="39">
          <cell r="B39">
            <v>0</v>
          </cell>
          <cell r="C39">
            <v>0</v>
          </cell>
        </row>
        <row r="40">
          <cell r="B40">
            <v>0</v>
          </cell>
          <cell r="C40">
            <v>0</v>
          </cell>
        </row>
        <row r="41">
          <cell r="B41">
            <v>144</v>
          </cell>
          <cell r="C41">
            <v>3145</v>
          </cell>
        </row>
        <row r="42">
          <cell r="B42">
            <v>0</v>
          </cell>
          <cell r="C42">
            <v>0</v>
          </cell>
        </row>
        <row r="43">
          <cell r="B43">
            <v>0</v>
          </cell>
          <cell r="C43">
            <v>0</v>
          </cell>
        </row>
        <row r="44">
          <cell r="B44">
            <v>0</v>
          </cell>
          <cell r="C44">
            <v>0</v>
          </cell>
        </row>
        <row r="45">
          <cell r="B45">
            <v>0</v>
          </cell>
          <cell r="C45">
            <v>0</v>
          </cell>
        </row>
        <row r="46">
          <cell r="B46">
            <v>0</v>
          </cell>
          <cell r="C46">
            <v>0</v>
          </cell>
        </row>
        <row r="47">
          <cell r="B47">
            <v>0</v>
          </cell>
          <cell r="C47">
            <v>0</v>
          </cell>
        </row>
        <row r="48">
          <cell r="B48">
            <v>0</v>
          </cell>
          <cell r="C48">
            <v>0</v>
          </cell>
        </row>
        <row r="49">
          <cell r="B49">
            <v>0</v>
          </cell>
          <cell r="C49">
            <v>0</v>
          </cell>
        </row>
        <row r="50">
          <cell r="B50">
            <v>0</v>
          </cell>
          <cell r="C50">
            <v>0</v>
          </cell>
        </row>
        <row r="51">
          <cell r="B51">
            <v>0</v>
          </cell>
          <cell r="C51">
            <v>0</v>
          </cell>
        </row>
        <row r="52">
          <cell r="B52">
            <v>0</v>
          </cell>
          <cell r="C52">
            <v>0</v>
          </cell>
        </row>
        <row r="53">
          <cell r="B53">
            <v>100</v>
          </cell>
          <cell r="C53">
            <v>569.03214152003</v>
          </cell>
        </row>
        <row r="56">
          <cell r="B56">
            <v>0</v>
          </cell>
          <cell r="C56">
            <v>0</v>
          </cell>
        </row>
        <row r="57">
          <cell r="B57">
            <v>0</v>
          </cell>
          <cell r="C57">
            <v>0</v>
          </cell>
        </row>
        <row r="58">
          <cell r="B58">
            <v>0</v>
          </cell>
          <cell r="C58">
            <v>0</v>
          </cell>
        </row>
        <row r="59">
          <cell r="B59">
            <v>0</v>
          </cell>
          <cell r="C59">
            <v>0</v>
          </cell>
        </row>
        <row r="60">
          <cell r="B60">
            <v>0</v>
          </cell>
          <cell r="C60">
            <v>0</v>
          </cell>
        </row>
        <row r="61">
          <cell r="B61">
            <v>0</v>
          </cell>
          <cell r="C61">
            <v>0</v>
          </cell>
        </row>
        <row r="63">
          <cell r="B63">
            <v>0</v>
          </cell>
          <cell r="C63">
            <v>0</v>
          </cell>
        </row>
        <row r="64">
          <cell r="B64">
            <v>0</v>
          </cell>
          <cell r="C64">
            <v>0</v>
          </cell>
        </row>
        <row r="65">
          <cell r="B65">
            <v>0</v>
          </cell>
          <cell r="C65">
            <v>0</v>
          </cell>
        </row>
        <row r="66">
          <cell r="B66">
            <v>0</v>
          </cell>
          <cell r="C66">
            <v>0</v>
          </cell>
        </row>
        <row r="68">
          <cell r="B68">
            <v>0</v>
          </cell>
          <cell r="C68">
            <v>0</v>
          </cell>
        </row>
        <row r="69">
          <cell r="B69">
            <v>0</v>
          </cell>
          <cell r="C69">
            <v>0</v>
          </cell>
        </row>
        <row r="70">
          <cell r="B70">
            <v>0</v>
          </cell>
          <cell r="C70">
            <v>0</v>
          </cell>
        </row>
        <row r="72">
          <cell r="B72">
            <v>0</v>
          </cell>
          <cell r="C72">
            <v>0</v>
          </cell>
        </row>
        <row r="73">
          <cell r="B73">
            <v>0</v>
          </cell>
          <cell r="C73">
            <v>0</v>
          </cell>
        </row>
        <row r="74">
          <cell r="B74">
            <v>0</v>
          </cell>
          <cell r="C74">
            <v>0</v>
          </cell>
        </row>
        <row r="75">
          <cell r="B75">
            <v>0</v>
          </cell>
          <cell r="C75">
            <v>0</v>
          </cell>
        </row>
        <row r="76">
          <cell r="B76">
            <v>0</v>
          </cell>
          <cell r="C76">
            <v>0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  <row r="79">
          <cell r="B79">
            <v>0</v>
          </cell>
          <cell r="C79">
            <v>0</v>
          </cell>
        </row>
        <row r="80">
          <cell r="B80">
            <v>0</v>
          </cell>
          <cell r="C80">
            <v>0</v>
          </cell>
        </row>
      </sheetData>
      <sheetData sheetId="11"/>
      <sheetData sheetId="12">
        <row r="9">
          <cell r="Z9">
            <v>23317</v>
          </cell>
          <cell r="AA9">
            <v>83</v>
          </cell>
        </row>
        <row r="10">
          <cell r="Z10">
            <v>12240</v>
          </cell>
          <cell r="AA10">
            <v>171</v>
          </cell>
        </row>
        <row r="11">
          <cell r="Z11">
            <v>21014</v>
          </cell>
          <cell r="AA11">
            <v>434</v>
          </cell>
        </row>
        <row r="12">
          <cell r="Z12">
            <v>1200</v>
          </cell>
          <cell r="AA12">
            <v>448</v>
          </cell>
        </row>
        <row r="13">
          <cell r="Z13">
            <v>7000</v>
          </cell>
          <cell r="AA13">
            <v>146</v>
          </cell>
        </row>
        <row r="14">
          <cell r="Z14">
            <v>2850</v>
          </cell>
          <cell r="AA14">
            <v>447</v>
          </cell>
        </row>
        <row r="15">
          <cell r="Z15">
            <v>4800</v>
          </cell>
          <cell r="AA15">
            <v>679</v>
          </cell>
        </row>
        <row r="16">
          <cell r="Z16">
            <v>1310</v>
          </cell>
          <cell r="AA16">
            <v>908</v>
          </cell>
        </row>
        <row r="17">
          <cell r="Z17">
            <v>1066</v>
          </cell>
          <cell r="AA17">
            <v>1008</v>
          </cell>
        </row>
        <row r="18">
          <cell r="Z18">
            <v>300</v>
          </cell>
          <cell r="AA18">
            <v>1066</v>
          </cell>
        </row>
        <row r="19">
          <cell r="Z19">
            <v>1014</v>
          </cell>
          <cell r="AA19">
            <v>1063</v>
          </cell>
        </row>
        <row r="20">
          <cell r="Z20">
            <v>6000</v>
          </cell>
          <cell r="AA20">
            <v>736</v>
          </cell>
        </row>
        <row r="21">
          <cell r="Z21">
            <v>504</v>
          </cell>
          <cell r="AA21">
            <v>1062</v>
          </cell>
        </row>
        <row r="22">
          <cell r="Z22">
            <v>1160</v>
          </cell>
          <cell r="AA22">
            <v>120</v>
          </cell>
        </row>
        <row r="23">
          <cell r="Z23">
            <v>1320</v>
          </cell>
          <cell r="AA23">
            <v>101</v>
          </cell>
        </row>
        <row r="24">
          <cell r="Z24">
            <v>5158</v>
          </cell>
          <cell r="AA24">
            <v>169</v>
          </cell>
        </row>
        <row r="25">
          <cell r="Z25">
            <v>1320</v>
          </cell>
          <cell r="AA25">
            <v>-69</v>
          </cell>
        </row>
        <row r="26">
          <cell r="Z26">
            <v>120</v>
          </cell>
          <cell r="AA26">
            <v>100</v>
          </cell>
        </row>
        <row r="27">
          <cell r="Z27">
            <v>60</v>
          </cell>
          <cell r="AA27">
            <v>100</v>
          </cell>
        </row>
        <row r="28">
          <cell r="Z28">
            <v>420</v>
          </cell>
          <cell r="AA28">
            <v>325</v>
          </cell>
        </row>
        <row r="29">
          <cell r="Z29">
            <v>300</v>
          </cell>
          <cell r="AA29">
            <v>200</v>
          </cell>
        </row>
        <row r="30">
          <cell r="Z30">
            <v>4520</v>
          </cell>
          <cell r="AC30">
            <v>3.1640000000000001</v>
          </cell>
        </row>
        <row r="31">
          <cell r="Z31">
            <v>2000</v>
          </cell>
          <cell r="AA31">
            <v>78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H58"/>
  <sheetViews>
    <sheetView workbookViewId="0">
      <pane xSplit="4" ySplit="1" topLeftCell="E2" activePane="bottomRight" state="frozen"/>
      <selection activeCell="E26" sqref="E26"/>
      <selection pane="topRight" activeCell="E26" sqref="E26"/>
      <selection pane="bottomLeft" activeCell="E26" sqref="E26"/>
      <selection pane="bottomRight" activeCell="E26" sqref="E26"/>
    </sheetView>
  </sheetViews>
  <sheetFormatPr defaultRowHeight="12.6" customHeight="1"/>
  <cols>
    <col min="1" max="1" width="3" style="183" customWidth="1"/>
    <col min="2" max="2" width="30.28515625" style="183" bestFit="1" customWidth="1"/>
    <col min="3" max="3" width="22.85546875" style="183" customWidth="1"/>
    <col min="4" max="4" width="0.140625" style="183" customWidth="1"/>
    <col min="5" max="5" width="12.85546875" style="183" customWidth="1"/>
    <col min="6" max="8" width="13" style="186" customWidth="1"/>
    <col min="9" max="9" width="13.28515625" style="186" bestFit="1" customWidth="1"/>
    <col min="10" max="10" width="13.85546875" style="186" hidden="1" customWidth="1"/>
    <col min="11" max="11" width="48.42578125" style="186" hidden="1" customWidth="1"/>
    <col min="12" max="12" width="10.28515625" style="186" bestFit="1" customWidth="1"/>
    <col min="13" max="14" width="6.42578125" style="186" bestFit="1" customWidth="1"/>
    <col min="15" max="15" width="6.42578125" style="183" bestFit="1" customWidth="1"/>
    <col min="16" max="17" width="9.140625" style="183" hidden="1" customWidth="1"/>
    <col min="18" max="18" width="9.7109375" style="183" hidden="1" customWidth="1"/>
    <col min="19" max="19" width="9.140625" style="183" hidden="1" customWidth="1"/>
    <col min="20" max="20" width="10.7109375" style="183" bestFit="1" customWidth="1"/>
    <col min="21" max="23" width="12.85546875" style="183" bestFit="1" customWidth="1"/>
    <col min="24" max="28" width="0" style="183" hidden="1" customWidth="1"/>
    <col min="29" max="29" width="11.28515625" style="183" bestFit="1" customWidth="1"/>
    <col min="30" max="34" width="9.140625" style="183"/>
    <col min="35" max="35" width="12" style="183" hidden="1" customWidth="1"/>
    <col min="36" max="36" width="9.140625" style="183"/>
    <col min="37" max="37" width="12.85546875" style="183" hidden="1" customWidth="1"/>
    <col min="38" max="42" width="0" style="183" hidden="1" customWidth="1"/>
    <col min="43" max="43" width="11.28515625" style="183" hidden="1" customWidth="1"/>
    <col min="44" max="47" width="0" style="183" hidden="1" customWidth="1"/>
    <col min="48" max="16384" width="9.140625" style="183"/>
  </cols>
  <sheetData>
    <row r="1" spans="2:22" ht="12.6" customHeight="1" thickBot="1">
      <c r="B1" s="256" t="s">
        <v>112</v>
      </c>
      <c r="C1" s="182"/>
      <c r="D1" s="186"/>
      <c r="E1" s="186"/>
      <c r="T1" s="186"/>
      <c r="U1" s="186"/>
      <c r="V1" s="186"/>
    </row>
    <row r="2" spans="2:22" s="184" customFormat="1" ht="12.6" customHeight="1">
      <c r="B2" s="193"/>
      <c r="C2" s="194"/>
      <c r="D2" s="181"/>
      <c r="E2" s="181"/>
      <c r="F2" s="195"/>
      <c r="G2" s="195"/>
      <c r="H2" s="195"/>
      <c r="I2" s="195"/>
      <c r="J2" s="195"/>
      <c r="K2" s="195"/>
      <c r="L2" s="195"/>
      <c r="M2" s="195"/>
      <c r="N2" s="195"/>
      <c r="O2" s="195"/>
      <c r="P2" s="195"/>
      <c r="Q2" s="195"/>
      <c r="R2" s="195"/>
      <c r="S2" s="195"/>
      <c r="T2" s="195"/>
      <c r="U2" s="195"/>
      <c r="V2" s="196"/>
    </row>
    <row r="3" spans="2:22" ht="12.6" customHeight="1">
      <c r="B3" s="198" t="s">
        <v>88</v>
      </c>
      <c r="C3" s="186"/>
      <c r="D3" s="186"/>
      <c r="E3" s="186"/>
      <c r="V3" s="185"/>
    </row>
    <row r="4" spans="2:22" ht="12.6" customHeight="1">
      <c r="B4" s="190"/>
      <c r="C4" s="186"/>
      <c r="D4" s="186"/>
      <c r="E4" s="186"/>
      <c r="U4" s="197"/>
      <c r="V4" s="185"/>
    </row>
    <row r="5" spans="2:22" ht="12.6" customHeight="1">
      <c r="B5" s="190"/>
      <c r="C5" s="186"/>
      <c r="D5" s="186"/>
      <c r="E5" s="186"/>
      <c r="U5" s="197"/>
      <c r="V5" s="185"/>
    </row>
    <row r="6" spans="2:22" ht="12.6" customHeight="1">
      <c r="B6" s="190"/>
      <c r="C6" s="186"/>
      <c r="D6" s="186"/>
      <c r="E6" s="186"/>
      <c r="U6" s="197"/>
      <c r="V6" s="185"/>
    </row>
    <row r="7" spans="2:22" ht="12.6" customHeight="1">
      <c r="B7" s="190"/>
      <c r="C7" s="186"/>
      <c r="D7" s="186"/>
      <c r="E7" s="186"/>
      <c r="U7" s="197"/>
      <c r="V7" s="185"/>
    </row>
    <row r="8" spans="2:22" ht="12.6" customHeight="1">
      <c r="B8" s="190"/>
      <c r="C8" s="186"/>
      <c r="D8" s="186"/>
      <c r="E8" s="186"/>
      <c r="U8" s="197"/>
      <c r="V8" s="185"/>
    </row>
    <row r="9" spans="2:22" ht="12.6" customHeight="1">
      <c r="B9" s="190"/>
      <c r="C9" s="186"/>
      <c r="D9" s="186"/>
      <c r="E9" s="186"/>
      <c r="U9" s="197"/>
      <c r="V9" s="185"/>
    </row>
    <row r="10" spans="2:22" ht="12.6" customHeight="1">
      <c r="B10" s="190"/>
      <c r="C10" s="186"/>
      <c r="D10" s="186"/>
      <c r="E10" s="186"/>
      <c r="U10" s="197"/>
      <c r="V10" s="185"/>
    </row>
    <row r="11" spans="2:22" ht="12.6" customHeight="1">
      <c r="B11" s="190"/>
      <c r="C11" s="186"/>
      <c r="D11" s="186"/>
      <c r="E11" s="186"/>
      <c r="U11" s="197"/>
      <c r="V11" s="185"/>
    </row>
    <row r="12" spans="2:22" ht="12.6" customHeight="1">
      <c r="B12" s="190"/>
      <c r="C12" s="186"/>
      <c r="D12" s="186"/>
      <c r="E12" s="186"/>
      <c r="U12" s="197"/>
      <c r="V12" s="185"/>
    </row>
    <row r="13" spans="2:22" ht="12.6" customHeight="1">
      <c r="B13" s="190"/>
      <c r="C13" s="186"/>
      <c r="D13" s="186"/>
      <c r="E13" s="186"/>
      <c r="U13" s="197"/>
      <c r="V13" s="185"/>
    </row>
    <row r="14" spans="2:22" ht="12.6" customHeight="1">
      <c r="B14" s="283"/>
      <c r="C14" s="186"/>
      <c r="D14" s="186"/>
      <c r="E14" s="186"/>
      <c r="V14" s="185"/>
    </row>
    <row r="15" spans="2:22" ht="12.6" customHeight="1">
      <c r="B15" s="285"/>
      <c r="C15" s="186"/>
      <c r="D15" s="186"/>
      <c r="E15" s="186"/>
      <c r="Q15" s="183" t="e">
        <f>SUM(#REF!)</f>
        <v>#REF!</v>
      </c>
      <c r="R15" s="183" t="e">
        <f>SUM(#REF!)</f>
        <v>#REF!</v>
      </c>
      <c r="S15" s="183" t="e">
        <f>R15/Q15</f>
        <v>#REF!</v>
      </c>
      <c r="V15" s="185"/>
    </row>
    <row r="16" spans="2:22" ht="12.6" customHeight="1">
      <c r="B16" s="283"/>
      <c r="C16" s="186"/>
      <c r="D16" s="186"/>
      <c r="E16" s="186"/>
      <c r="V16" s="185"/>
    </row>
    <row r="17" spans="2:60" ht="12.6" customHeight="1">
      <c r="B17" s="190"/>
      <c r="C17" s="186"/>
      <c r="D17" s="186"/>
      <c r="E17" s="186"/>
      <c r="V17" s="185"/>
    </row>
    <row r="18" spans="2:60" ht="12.6" customHeight="1">
      <c r="B18" s="190"/>
      <c r="C18" s="186"/>
      <c r="D18" s="186"/>
      <c r="E18" s="186"/>
      <c r="V18" s="185"/>
    </row>
    <row r="19" spans="2:60" s="186" customFormat="1" ht="12" customHeight="1">
      <c r="B19" s="21"/>
      <c r="O19" s="183"/>
      <c r="P19" s="183"/>
      <c r="Q19" s="183"/>
      <c r="R19" s="183"/>
      <c r="S19" s="183"/>
      <c r="T19" s="183"/>
      <c r="U19" s="183"/>
      <c r="V19" s="185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3"/>
      <c r="AP19" s="183"/>
      <c r="AQ19" s="183"/>
      <c r="AR19" s="183"/>
      <c r="AS19" s="183"/>
      <c r="AT19" s="183"/>
      <c r="AU19" s="183"/>
    </row>
    <row r="20" spans="2:60" s="186" customFormat="1" ht="12" customHeight="1">
      <c r="B20" s="21"/>
      <c r="O20" s="183"/>
      <c r="P20" s="183"/>
      <c r="Q20" s="183"/>
      <c r="R20" s="183"/>
      <c r="S20" s="183"/>
      <c r="T20" s="183"/>
      <c r="U20" s="183"/>
      <c r="V20" s="185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</row>
    <row r="21" spans="2:60" s="186" customFormat="1" ht="12" customHeight="1">
      <c r="B21" s="21"/>
      <c r="O21" s="183"/>
      <c r="P21" s="183"/>
      <c r="Q21" s="183"/>
      <c r="R21" s="183"/>
      <c r="S21" s="183"/>
      <c r="T21" s="183"/>
      <c r="U21" s="183"/>
      <c r="V21" s="185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</row>
    <row r="22" spans="2:60" s="186" customFormat="1" ht="12" customHeight="1">
      <c r="B22" s="21"/>
      <c r="O22" s="183"/>
      <c r="P22" s="183"/>
      <c r="Q22" s="183"/>
      <c r="R22" s="183"/>
      <c r="S22" s="183"/>
      <c r="T22" s="183"/>
      <c r="U22" s="183"/>
      <c r="V22" s="185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</row>
    <row r="23" spans="2:60" customFormat="1" ht="12.6" customHeight="1"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</row>
    <row r="24" spans="2:60" s="186" customFormat="1" ht="12.6" customHeight="1">
      <c r="B24" s="191"/>
      <c r="O24" s="183"/>
      <c r="P24" s="183"/>
      <c r="Q24" s="183"/>
      <c r="R24" s="183"/>
      <c r="S24" s="183"/>
      <c r="T24" s="183"/>
      <c r="U24" s="183"/>
      <c r="V24" s="185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</row>
    <row r="25" spans="2:60" s="186" customFormat="1" ht="12.6" customHeight="1">
      <c r="B25" s="190"/>
      <c r="O25" s="183"/>
      <c r="P25" s="183"/>
      <c r="Q25" s="183"/>
      <c r="R25" s="183"/>
      <c r="S25" s="183"/>
      <c r="T25" s="183"/>
      <c r="U25" s="183"/>
      <c r="V25" s="185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</row>
    <row r="26" spans="2:60" s="186" customFormat="1" ht="12.6" customHeight="1">
      <c r="B26" s="190"/>
      <c r="O26" s="183"/>
      <c r="P26" s="183"/>
      <c r="Q26" s="183"/>
      <c r="R26" s="183"/>
      <c r="S26" s="183"/>
      <c r="T26" s="183"/>
      <c r="U26" s="183"/>
      <c r="V26" s="185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</row>
    <row r="27" spans="2:60" s="186" customFormat="1" ht="12.6" customHeight="1">
      <c r="B27" s="190"/>
      <c r="O27" s="183"/>
      <c r="P27" s="183"/>
      <c r="Q27" s="183"/>
      <c r="R27" s="183"/>
      <c r="S27" s="183"/>
      <c r="T27" s="183"/>
      <c r="U27" s="183"/>
      <c r="V27" s="185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</row>
    <row r="28" spans="2:60" s="186" customFormat="1" ht="12.6" customHeight="1">
      <c r="B28" s="191"/>
      <c r="O28" s="183"/>
      <c r="P28" s="183"/>
      <c r="Q28" s="183"/>
      <c r="R28" s="183"/>
      <c r="S28" s="183"/>
      <c r="T28" s="183"/>
      <c r="U28" s="183"/>
      <c r="V28" s="185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3"/>
      <c r="AP28" s="183"/>
      <c r="AQ28" s="183"/>
      <c r="AR28" s="183"/>
      <c r="AS28" s="183"/>
      <c r="AT28" s="183"/>
      <c r="AU28" s="183"/>
    </row>
    <row r="29" spans="2:60" s="186" customFormat="1" ht="12.6" customHeight="1">
      <c r="B29" s="191"/>
      <c r="O29" s="183"/>
      <c r="P29" s="183"/>
      <c r="Q29" s="183"/>
      <c r="R29" s="183"/>
      <c r="S29" s="183"/>
      <c r="T29" s="183"/>
      <c r="U29" s="183"/>
      <c r="V29" s="185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</row>
    <row r="30" spans="2:60" s="186" customFormat="1" ht="12.6" customHeight="1">
      <c r="B30" s="191"/>
      <c r="O30" s="183"/>
      <c r="P30" s="183"/>
      <c r="Q30" s="183"/>
      <c r="R30" s="183"/>
      <c r="S30" s="183"/>
      <c r="T30" s="183"/>
      <c r="U30" s="183"/>
      <c r="V30" s="185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</row>
    <row r="31" spans="2:60" s="186" customFormat="1" ht="12.6" customHeight="1">
      <c r="B31" s="191"/>
      <c r="O31" s="183"/>
      <c r="P31" s="183"/>
      <c r="Q31" s="183"/>
      <c r="R31" s="183"/>
      <c r="S31" s="183"/>
      <c r="T31" s="183"/>
      <c r="U31" s="183"/>
      <c r="V31" s="185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3"/>
      <c r="AQ31" s="183"/>
      <c r="AR31" s="183"/>
      <c r="AS31" s="183"/>
      <c r="AT31" s="183"/>
      <c r="AU31" s="183"/>
    </row>
    <row r="32" spans="2:60" s="186" customFormat="1" ht="12.6" customHeight="1" thickBot="1">
      <c r="B32" s="192"/>
      <c r="C32" s="187"/>
      <c r="D32" s="187"/>
      <c r="E32" s="187"/>
      <c r="F32" s="187"/>
      <c r="G32" s="187"/>
      <c r="H32" s="187"/>
      <c r="I32" s="187"/>
      <c r="J32" s="187"/>
      <c r="K32" s="187"/>
      <c r="L32" s="187"/>
      <c r="M32" s="187"/>
      <c r="N32" s="187"/>
      <c r="O32" s="188"/>
      <c r="P32" s="188"/>
      <c r="Q32" s="188"/>
      <c r="R32" s="188"/>
      <c r="S32" s="188"/>
      <c r="T32" s="188"/>
      <c r="U32" s="188"/>
      <c r="V32" s="189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</row>
    <row r="33" spans="15:47" s="186" customFormat="1" ht="12.6" customHeight="1"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3"/>
      <c r="AQ33" s="183"/>
      <c r="AR33" s="183"/>
      <c r="AS33" s="183"/>
      <c r="AT33" s="183"/>
      <c r="AU33" s="183"/>
    </row>
    <row r="34" spans="15:47" s="186" customFormat="1" ht="12.6" customHeight="1"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3"/>
      <c r="AQ34" s="183"/>
      <c r="AR34" s="183"/>
      <c r="AS34" s="183"/>
      <c r="AT34" s="183"/>
      <c r="AU34" s="183"/>
    </row>
    <row r="35" spans="15:47" s="186" customFormat="1" ht="12.6" customHeight="1"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3"/>
      <c r="AP35" s="183"/>
      <c r="AQ35" s="183"/>
      <c r="AR35" s="183"/>
      <c r="AS35" s="183"/>
      <c r="AT35" s="183"/>
      <c r="AU35" s="183"/>
    </row>
    <row r="36" spans="15:47" s="186" customFormat="1" ht="12.6" customHeight="1"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3"/>
      <c r="AP36" s="183"/>
      <c r="AQ36" s="183"/>
      <c r="AR36" s="183"/>
      <c r="AS36" s="183"/>
      <c r="AT36" s="183"/>
      <c r="AU36" s="183"/>
    </row>
    <row r="37" spans="15:47" s="186" customFormat="1" ht="12.6" customHeight="1"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83"/>
      <c r="AS37" s="183"/>
      <c r="AT37" s="183"/>
      <c r="AU37" s="183"/>
    </row>
    <row r="38" spans="15:47" s="186" customFormat="1" ht="12.6" customHeight="1"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3"/>
      <c r="AP38" s="183"/>
      <c r="AQ38" s="183"/>
      <c r="AR38" s="183"/>
      <c r="AS38" s="183"/>
      <c r="AT38" s="183"/>
      <c r="AU38" s="183"/>
    </row>
    <row r="39" spans="15:47" s="186" customFormat="1" ht="12.6" customHeight="1"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3"/>
      <c r="AP39" s="183"/>
      <c r="AQ39" s="183"/>
      <c r="AR39" s="183"/>
      <c r="AS39" s="183"/>
      <c r="AT39" s="183"/>
      <c r="AU39" s="183"/>
    </row>
    <row r="40" spans="15:47" s="186" customFormat="1" ht="12.6" customHeight="1"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</row>
    <row r="41" spans="15:47" s="186" customFormat="1" ht="12.6" customHeight="1"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</row>
    <row r="42" spans="15:47" s="186" customFormat="1" ht="12.6" customHeight="1"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3"/>
      <c r="AP42" s="183"/>
      <c r="AQ42" s="183"/>
      <c r="AR42" s="183"/>
      <c r="AS42" s="183"/>
      <c r="AT42" s="183"/>
      <c r="AU42" s="183"/>
    </row>
    <row r="43" spans="15:47" s="186" customFormat="1" ht="12.6" customHeight="1"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</row>
    <row r="44" spans="15:47" s="186" customFormat="1" ht="12.6" customHeight="1"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</row>
    <row r="45" spans="15:47" s="186" customFormat="1" ht="12.6" customHeight="1"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</row>
    <row r="46" spans="15:47" s="186" customFormat="1" ht="12.6" customHeight="1"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</row>
    <row r="47" spans="15:47" s="186" customFormat="1" ht="12.6" customHeight="1"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3"/>
      <c r="AP47" s="183"/>
      <c r="AQ47" s="183"/>
      <c r="AR47" s="183"/>
      <c r="AS47" s="183"/>
      <c r="AT47" s="183"/>
      <c r="AU47" s="183"/>
    </row>
    <row r="48" spans="15:47" s="186" customFormat="1" ht="12.6" customHeight="1"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3"/>
      <c r="AP48" s="183"/>
      <c r="AQ48" s="183"/>
      <c r="AR48" s="183"/>
      <c r="AS48" s="183"/>
      <c r="AT48" s="183"/>
      <c r="AU48" s="183"/>
    </row>
    <row r="49" spans="15:47" s="186" customFormat="1" ht="12.6" customHeight="1"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3"/>
      <c r="AQ49" s="183"/>
      <c r="AR49" s="183"/>
      <c r="AS49" s="183"/>
      <c r="AT49" s="183"/>
      <c r="AU49" s="183"/>
    </row>
    <row r="50" spans="15:47" s="186" customFormat="1" ht="12.6" customHeight="1"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3"/>
      <c r="AQ50" s="183"/>
      <c r="AR50" s="183"/>
      <c r="AS50" s="183"/>
      <c r="AT50" s="183"/>
      <c r="AU50" s="183"/>
    </row>
    <row r="51" spans="15:47" s="186" customFormat="1" ht="12.6" customHeight="1"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</row>
    <row r="52" spans="15:47" s="186" customFormat="1" ht="12.6" customHeight="1"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</row>
    <row r="53" spans="15:47" s="186" customFormat="1" ht="12.6" customHeight="1"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</row>
    <row r="54" spans="15:47" s="186" customFormat="1" ht="12.6" customHeight="1"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</row>
    <row r="55" spans="15:47" s="186" customFormat="1" ht="12.6" customHeight="1"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</row>
    <row r="56" spans="15:47" s="186" customFormat="1" ht="12.6" customHeight="1"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</row>
    <row r="57" spans="15:47" s="186" customFormat="1" ht="12.6" customHeight="1"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</row>
    <row r="58" spans="15:47" s="186" customFormat="1" ht="12.6" customHeight="1"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</row>
  </sheetData>
  <printOptions horizontalCentered="1" gridLines="1"/>
  <pageMargins left="0" right="0" top="1" bottom="0.5" header="0" footer="0"/>
  <pageSetup orientation="landscape" blackAndWhite="1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5"/>
  <sheetViews>
    <sheetView zoomScale="75" zoomScaleNormal="75" workbookViewId="0">
      <pane xSplit="2" ySplit="5" topLeftCell="C6" activePane="bottomRight" state="frozen"/>
      <selection activeCell="E26" sqref="E26"/>
      <selection pane="topRight" activeCell="E26" sqref="E26"/>
      <selection pane="bottomLeft" activeCell="E26" sqref="E26"/>
      <selection pane="bottomRight" activeCell="E26" sqref="E26"/>
    </sheetView>
  </sheetViews>
  <sheetFormatPr defaultRowHeight="18"/>
  <cols>
    <col min="1" max="1" width="28.5703125" style="12" customWidth="1"/>
    <col min="2" max="2" width="24.42578125" style="12" customWidth="1"/>
    <col min="3" max="6" width="14.140625" style="13" customWidth="1"/>
    <col min="7" max="7" width="17" style="13" customWidth="1"/>
    <col min="8" max="8" width="18.140625" style="13" customWidth="1"/>
    <col min="9" max="10" width="14.140625" style="13" customWidth="1"/>
    <col min="11" max="11" width="13.5703125" style="13" customWidth="1"/>
    <col min="12" max="12" width="14.140625" style="13" customWidth="1"/>
    <col min="13" max="13" width="4.5703125" style="12" customWidth="1"/>
    <col min="14" max="25" width="13.140625" style="12" customWidth="1"/>
    <col min="26" max="27" width="12.42578125" style="12" customWidth="1"/>
    <col min="28" max="28" width="13" style="12" customWidth="1"/>
    <col min="29" max="29" width="11.42578125" style="12" customWidth="1"/>
    <col min="30" max="30" width="11.85546875" style="12" customWidth="1"/>
    <col min="31" max="16384" width="9.140625" style="12"/>
  </cols>
  <sheetData>
    <row r="1" spans="1:34">
      <c r="A1" s="61" t="s">
        <v>102</v>
      </c>
      <c r="B1" s="62"/>
      <c r="C1" s="63"/>
      <c r="D1" s="63"/>
      <c r="E1" s="63"/>
      <c r="F1" s="63"/>
      <c r="G1" s="63"/>
      <c r="H1" s="63"/>
      <c r="I1" s="63"/>
      <c r="J1" s="63"/>
      <c r="K1" s="63"/>
      <c r="L1" s="63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</row>
    <row r="2" spans="1:34" ht="19.5" customHeight="1">
      <c r="A2" s="64" t="s">
        <v>113</v>
      </c>
      <c r="B2" s="65"/>
      <c r="C2" s="66"/>
      <c r="D2" s="66"/>
      <c r="E2" s="66"/>
      <c r="F2" s="66"/>
      <c r="G2" s="66"/>
      <c r="H2" s="66"/>
      <c r="I2" s="110" t="s">
        <v>16</v>
      </c>
      <c r="J2" s="110"/>
      <c r="K2" s="111"/>
      <c r="L2" s="66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2"/>
      <c r="AA2" s="62"/>
      <c r="AB2" s="62"/>
      <c r="AC2" s="62"/>
      <c r="AD2" s="62"/>
      <c r="AE2" s="62"/>
      <c r="AF2" s="62"/>
      <c r="AG2" s="62"/>
      <c r="AH2" s="62"/>
    </row>
    <row r="3" spans="1:34" ht="18.75" customHeight="1">
      <c r="A3" s="64" t="s">
        <v>17</v>
      </c>
      <c r="B3" s="65"/>
      <c r="C3" s="66"/>
      <c r="D3" s="66"/>
      <c r="E3" s="66"/>
      <c r="F3" s="66"/>
      <c r="G3" s="66"/>
      <c r="H3" s="66" t="s">
        <v>98</v>
      </c>
      <c r="I3" s="66"/>
      <c r="J3" s="66"/>
      <c r="K3" s="67"/>
      <c r="L3" s="66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2"/>
      <c r="AA3" s="62"/>
      <c r="AB3" s="62"/>
      <c r="AC3" s="62"/>
      <c r="AD3" s="62"/>
      <c r="AE3" s="62"/>
      <c r="AF3" s="62"/>
      <c r="AG3" s="62"/>
      <c r="AH3" s="62"/>
    </row>
    <row r="4" spans="1:34" ht="13.5" customHeight="1">
      <c r="A4" s="69"/>
      <c r="B4" s="65"/>
      <c r="C4" s="66"/>
      <c r="D4" s="66"/>
      <c r="E4" s="66"/>
      <c r="F4" s="66"/>
      <c r="G4" s="66"/>
      <c r="H4" s="66"/>
      <c r="I4" s="66"/>
      <c r="J4" s="66"/>
      <c r="K4" s="67"/>
      <c r="L4" s="66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2"/>
      <c r="AA4" s="62"/>
      <c r="AB4" s="62"/>
      <c r="AC4" s="62"/>
      <c r="AD4" s="62"/>
      <c r="AE4" s="62"/>
      <c r="AF4" s="62"/>
      <c r="AG4" s="62"/>
      <c r="AH4" s="62"/>
    </row>
    <row r="5" spans="1:34" ht="38.25" customHeight="1">
      <c r="A5" s="5" t="s">
        <v>1</v>
      </c>
      <c r="B5" s="5" t="s">
        <v>2</v>
      </c>
      <c r="C5" s="14" t="s">
        <v>76</v>
      </c>
      <c r="D5" s="14" t="s">
        <v>96</v>
      </c>
      <c r="E5" s="14" t="s">
        <v>100</v>
      </c>
      <c r="F5" s="14" t="s">
        <v>77</v>
      </c>
      <c r="G5" s="14" t="s">
        <v>115</v>
      </c>
      <c r="H5" s="14" t="s">
        <v>116</v>
      </c>
      <c r="I5" s="14" t="s">
        <v>101</v>
      </c>
      <c r="J5" s="14" t="s">
        <v>80</v>
      </c>
      <c r="K5" s="14" t="s">
        <v>117</v>
      </c>
      <c r="L5" s="14" t="s">
        <v>78</v>
      </c>
      <c r="M5" s="94"/>
      <c r="N5" s="15">
        <v>42095</v>
      </c>
      <c r="O5" s="15">
        <f t="shared" ref="O5:Y5" si="0">N5+31</f>
        <v>42126</v>
      </c>
      <c r="P5" s="15">
        <f t="shared" si="0"/>
        <v>42157</v>
      </c>
      <c r="Q5" s="15">
        <f t="shared" si="0"/>
        <v>42188</v>
      </c>
      <c r="R5" s="15">
        <f t="shared" si="0"/>
        <v>42219</v>
      </c>
      <c r="S5" s="15">
        <f t="shared" si="0"/>
        <v>42250</v>
      </c>
      <c r="T5" s="15">
        <f t="shared" si="0"/>
        <v>42281</v>
      </c>
      <c r="U5" s="15">
        <f t="shared" si="0"/>
        <v>42312</v>
      </c>
      <c r="V5" s="15">
        <f t="shared" si="0"/>
        <v>42343</v>
      </c>
      <c r="W5" s="15">
        <f t="shared" si="0"/>
        <v>42374</v>
      </c>
      <c r="X5" s="15">
        <f t="shared" si="0"/>
        <v>42405</v>
      </c>
      <c r="Y5" s="15">
        <f t="shared" si="0"/>
        <v>42436</v>
      </c>
      <c r="Z5" s="269" t="s">
        <v>19</v>
      </c>
      <c r="AA5" s="269" t="s">
        <v>20</v>
      </c>
      <c r="AB5" s="269" t="s">
        <v>21</v>
      </c>
      <c r="AC5" s="269" t="s">
        <v>22</v>
      </c>
      <c r="AD5" s="274" t="s">
        <v>99</v>
      </c>
      <c r="AE5" s="61"/>
      <c r="AF5" s="61"/>
      <c r="AG5" s="62"/>
      <c r="AH5" s="62"/>
    </row>
    <row r="6" spans="1:34" ht="17.25" customHeight="1">
      <c r="A6" s="83"/>
      <c r="B6" s="5"/>
      <c r="C6" s="14" t="s">
        <v>69</v>
      </c>
      <c r="D6" s="14" t="s">
        <v>69</v>
      </c>
      <c r="E6" s="14" t="s">
        <v>69</v>
      </c>
      <c r="F6" s="14" t="s">
        <v>79</v>
      </c>
      <c r="G6" s="14" t="s">
        <v>69</v>
      </c>
      <c r="H6" s="14" t="s">
        <v>70</v>
      </c>
      <c r="I6" s="14" t="s">
        <v>70</v>
      </c>
      <c r="J6" s="14" t="s">
        <v>79</v>
      </c>
      <c r="K6" s="14" t="s">
        <v>71</v>
      </c>
      <c r="L6" s="14" t="s">
        <v>79</v>
      </c>
      <c r="M6" s="94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269"/>
      <c r="AA6" s="269"/>
      <c r="AB6" s="269"/>
      <c r="AC6" s="269"/>
      <c r="AD6" s="269"/>
      <c r="AE6" s="61"/>
      <c r="AF6" s="61"/>
      <c r="AG6" s="62"/>
      <c r="AH6" s="62"/>
    </row>
    <row r="7" spans="1:34" s="91" customFormat="1" ht="18" customHeight="1">
      <c r="A7" s="538" t="s">
        <v>28</v>
      </c>
      <c r="B7" s="84" t="s">
        <v>12</v>
      </c>
      <c r="C7" s="106">
        <f t="shared" ref="C7:E9" si="1">C17+C25</f>
        <v>55450.236000000004</v>
      </c>
      <c r="D7" s="106">
        <f t="shared" si="1"/>
        <v>68808.92399999997</v>
      </c>
      <c r="E7" s="106">
        <f t="shared" si="1"/>
        <v>94477.385999999999</v>
      </c>
      <c r="F7" s="107">
        <f>IF(ISERROR(E7/D7-1),0,(E7/D7-1))</f>
        <v>0.37303972374281047</v>
      </c>
      <c r="G7" s="106">
        <f t="shared" ref="G7:H9" si="2">G17+G25</f>
        <v>56352.947000000007</v>
      </c>
      <c r="H7" s="106">
        <f t="shared" si="2"/>
        <v>0</v>
      </c>
      <c r="I7" s="106">
        <f>G7+H7</f>
        <v>56352.947000000007</v>
      </c>
      <c r="J7" s="107">
        <f>IF(ISERROR(I7/E7-1),0,(I7/E7-1))</f>
        <v>-0.40352978224863245</v>
      </c>
      <c r="K7" s="106">
        <f>SUM(K25,K17)</f>
        <v>85034</v>
      </c>
      <c r="L7" s="107">
        <f t="shared" ref="L7:L13" si="3">IF(ISERROR(K7/I7-1),0,(K7/I7-1))</f>
        <v>0.50895391504547205</v>
      </c>
      <c r="M7" s="108"/>
      <c r="N7" s="106">
        <f t="shared" ref="N7:Y7" si="4">SUM(N25,N17)</f>
        <v>4341</v>
      </c>
      <c r="O7" s="106">
        <f t="shared" si="4"/>
        <v>6478</v>
      </c>
      <c r="P7" s="106">
        <f t="shared" si="4"/>
        <v>6144</v>
      </c>
      <c r="Q7" s="106">
        <f t="shared" si="4"/>
        <v>8106</v>
      </c>
      <c r="R7" s="106">
        <f t="shared" si="4"/>
        <v>7067</v>
      </c>
      <c r="S7" s="106">
        <f t="shared" si="4"/>
        <v>8469</v>
      </c>
      <c r="T7" s="106">
        <f t="shared" si="4"/>
        <v>7344</v>
      </c>
      <c r="U7" s="106">
        <f t="shared" si="4"/>
        <v>8129</v>
      </c>
      <c r="V7" s="106">
        <f t="shared" si="4"/>
        <v>7530</v>
      </c>
      <c r="W7" s="106">
        <f t="shared" si="4"/>
        <v>7186</v>
      </c>
      <c r="X7" s="106">
        <f t="shared" si="4"/>
        <v>8213</v>
      </c>
      <c r="Y7" s="106">
        <f t="shared" si="4"/>
        <v>6027</v>
      </c>
      <c r="Z7" s="270">
        <f t="shared" ref="Z7:AD9" si="5">SUM(Z25,Z17)</f>
        <v>16963</v>
      </c>
      <c r="AA7" s="270">
        <f t="shared" si="5"/>
        <v>23642</v>
      </c>
      <c r="AB7" s="270">
        <f t="shared" si="5"/>
        <v>23003</v>
      </c>
      <c r="AC7" s="270">
        <f t="shared" si="5"/>
        <v>21426</v>
      </c>
      <c r="AD7" s="270">
        <f t="shared" si="5"/>
        <v>85034</v>
      </c>
      <c r="AE7" s="272"/>
      <c r="AF7" s="272"/>
      <c r="AG7" s="90"/>
      <c r="AH7" s="90"/>
    </row>
    <row r="8" spans="1:34" s="91" customFormat="1">
      <c r="A8" s="539"/>
      <c r="B8" s="84" t="s">
        <v>4</v>
      </c>
      <c r="C8" s="106">
        <f t="shared" si="1"/>
        <v>51510.198000000004</v>
      </c>
      <c r="D8" s="106">
        <f t="shared" si="1"/>
        <v>29643.634999999995</v>
      </c>
      <c r="E8" s="106">
        <f t="shared" si="1"/>
        <v>40157.554999999993</v>
      </c>
      <c r="F8" s="107">
        <f t="shared" ref="F8:F14" si="6">IF(ISERROR(E8/D8-1),0,(E8/D8-1))</f>
        <v>0.35467715076103179</v>
      </c>
      <c r="G8" s="106">
        <f t="shared" si="2"/>
        <v>35758.617999999995</v>
      </c>
      <c r="H8" s="106">
        <f t="shared" si="2"/>
        <v>0</v>
      </c>
      <c r="I8" s="106">
        <f>G8+H8</f>
        <v>35758.617999999995</v>
      </c>
      <c r="J8" s="107">
        <f t="shared" ref="J8:J14" si="7">IF(ISERROR(I8/E8-1),0,(I8/E8-1))</f>
        <v>-0.10954195294011293</v>
      </c>
      <c r="K8" s="106">
        <f>SUM(K26,K18)</f>
        <v>54188</v>
      </c>
      <c r="L8" s="107">
        <f t="shared" si="3"/>
        <v>0.51538294908377069</v>
      </c>
      <c r="M8" s="108"/>
      <c r="N8" s="106">
        <f t="shared" ref="N8:Y8" si="8">SUM(N26,N18)</f>
        <v>4395</v>
      </c>
      <c r="O8" s="106">
        <f t="shared" si="8"/>
        <v>4314</v>
      </c>
      <c r="P8" s="106">
        <f t="shared" si="8"/>
        <v>4631</v>
      </c>
      <c r="Q8" s="106">
        <f t="shared" si="8"/>
        <v>4359</v>
      </c>
      <c r="R8" s="106">
        <f t="shared" si="8"/>
        <v>4151</v>
      </c>
      <c r="S8" s="106">
        <f t="shared" si="8"/>
        <v>4422</v>
      </c>
      <c r="T8" s="106">
        <f t="shared" si="8"/>
        <v>4507</v>
      </c>
      <c r="U8" s="106">
        <f t="shared" si="8"/>
        <v>4679</v>
      </c>
      <c r="V8" s="106">
        <f t="shared" si="8"/>
        <v>4844</v>
      </c>
      <c r="W8" s="106">
        <f t="shared" si="8"/>
        <v>4648</v>
      </c>
      <c r="X8" s="106">
        <f t="shared" si="8"/>
        <v>4815</v>
      </c>
      <c r="Y8" s="106">
        <f t="shared" si="8"/>
        <v>4423</v>
      </c>
      <c r="Z8" s="270">
        <f t="shared" si="5"/>
        <v>13340</v>
      </c>
      <c r="AA8" s="270">
        <f t="shared" si="5"/>
        <v>12932</v>
      </c>
      <c r="AB8" s="270">
        <f t="shared" si="5"/>
        <v>14030</v>
      </c>
      <c r="AC8" s="270">
        <f t="shared" si="5"/>
        <v>13886</v>
      </c>
      <c r="AD8" s="270">
        <f t="shared" si="5"/>
        <v>54188</v>
      </c>
      <c r="AE8" s="272"/>
      <c r="AF8" s="272"/>
      <c r="AG8" s="90"/>
      <c r="AH8" s="90"/>
    </row>
    <row r="9" spans="1:34" s="91" customFormat="1">
      <c r="A9" s="539"/>
      <c r="B9" s="84" t="s">
        <v>0</v>
      </c>
      <c r="C9" s="106">
        <f t="shared" si="1"/>
        <v>26788.938000000002</v>
      </c>
      <c r="D9" s="106">
        <f t="shared" si="1"/>
        <v>12616.439999999999</v>
      </c>
      <c r="E9" s="106">
        <f t="shared" si="1"/>
        <v>17879.275000000005</v>
      </c>
      <c r="F9" s="107">
        <f t="shared" si="6"/>
        <v>0.4171410477123505</v>
      </c>
      <c r="G9" s="106">
        <f t="shared" si="2"/>
        <v>13147.930000000002</v>
      </c>
      <c r="H9" s="106">
        <f t="shared" si="2"/>
        <v>0</v>
      </c>
      <c r="I9" s="106">
        <f>G9+H9</f>
        <v>13147.930000000002</v>
      </c>
      <c r="J9" s="107">
        <f t="shared" si="7"/>
        <v>-0.2646273408737212</v>
      </c>
      <c r="K9" s="106">
        <f>SUM(K27,K19)</f>
        <v>15000</v>
      </c>
      <c r="L9" s="107">
        <f t="shared" si="3"/>
        <v>0.14086399912381631</v>
      </c>
      <c r="M9" s="108"/>
      <c r="N9" s="106">
        <f t="shared" ref="N9:Y9" si="9">SUM(N27,N19)</f>
        <v>1250</v>
      </c>
      <c r="O9" s="106">
        <f t="shared" si="9"/>
        <v>1250</v>
      </c>
      <c r="P9" s="106">
        <f t="shared" si="9"/>
        <v>1250</v>
      </c>
      <c r="Q9" s="106">
        <f t="shared" si="9"/>
        <v>1250</v>
      </c>
      <c r="R9" s="106">
        <f t="shared" si="9"/>
        <v>1250</v>
      </c>
      <c r="S9" s="106">
        <f t="shared" si="9"/>
        <v>1250</v>
      </c>
      <c r="T9" s="106">
        <f t="shared" si="9"/>
        <v>1250</v>
      </c>
      <c r="U9" s="106">
        <f t="shared" si="9"/>
        <v>1250</v>
      </c>
      <c r="V9" s="106">
        <f t="shared" si="9"/>
        <v>1250</v>
      </c>
      <c r="W9" s="106">
        <f t="shared" si="9"/>
        <v>1250</v>
      </c>
      <c r="X9" s="106">
        <f t="shared" si="9"/>
        <v>1250</v>
      </c>
      <c r="Y9" s="106">
        <f t="shared" si="9"/>
        <v>1250</v>
      </c>
      <c r="Z9" s="270">
        <f t="shared" si="5"/>
        <v>3750</v>
      </c>
      <c r="AA9" s="270">
        <f t="shared" si="5"/>
        <v>3750</v>
      </c>
      <c r="AB9" s="270">
        <f t="shared" si="5"/>
        <v>3750</v>
      </c>
      <c r="AC9" s="270">
        <f t="shared" si="5"/>
        <v>3750</v>
      </c>
      <c r="AD9" s="270">
        <f t="shared" si="5"/>
        <v>15000</v>
      </c>
      <c r="AE9" s="272"/>
      <c r="AF9" s="272"/>
      <c r="AG9" s="90"/>
      <c r="AH9" s="90"/>
    </row>
    <row r="10" spans="1:34" s="91" customFormat="1">
      <c r="A10" s="539"/>
      <c r="B10" s="139" t="s">
        <v>82</v>
      </c>
      <c r="C10" s="140">
        <f>SUM(C7:C9)</f>
        <v>133749.372</v>
      </c>
      <c r="D10" s="140">
        <f>SUM(D7:D9)</f>
        <v>111068.99899999997</v>
      </c>
      <c r="E10" s="140">
        <f>SUM(E7:E9)</f>
        <v>152514.21599999999</v>
      </c>
      <c r="F10" s="141">
        <f t="shared" si="6"/>
        <v>0.37314837959420188</v>
      </c>
      <c r="G10" s="140">
        <f>SUM(G7:G9)</f>
        <v>105259.49500000001</v>
      </c>
      <c r="H10" s="140">
        <f>SUM(H7:H9)</f>
        <v>0</v>
      </c>
      <c r="I10" s="140">
        <f>SUM(I7:I9)</f>
        <v>105259.49500000001</v>
      </c>
      <c r="J10" s="141">
        <f t="shared" si="7"/>
        <v>-0.30983813994100051</v>
      </c>
      <c r="K10" s="140">
        <f>SUM(K7:K9)</f>
        <v>154222</v>
      </c>
      <c r="L10" s="141">
        <f t="shared" si="3"/>
        <v>0.46515998390453972</v>
      </c>
      <c r="M10" s="108"/>
      <c r="N10" s="140">
        <f t="shared" ref="N10:Y10" si="10">SUM(N7:N9)</f>
        <v>9986</v>
      </c>
      <c r="O10" s="140">
        <f t="shared" si="10"/>
        <v>12042</v>
      </c>
      <c r="P10" s="140">
        <f t="shared" si="10"/>
        <v>12025</v>
      </c>
      <c r="Q10" s="140">
        <f t="shared" si="10"/>
        <v>13715</v>
      </c>
      <c r="R10" s="140">
        <f t="shared" si="10"/>
        <v>12468</v>
      </c>
      <c r="S10" s="140">
        <f t="shared" si="10"/>
        <v>14141</v>
      </c>
      <c r="T10" s="140">
        <f t="shared" si="10"/>
        <v>13101</v>
      </c>
      <c r="U10" s="140">
        <f t="shared" si="10"/>
        <v>14058</v>
      </c>
      <c r="V10" s="140">
        <f t="shared" si="10"/>
        <v>13624</v>
      </c>
      <c r="W10" s="140">
        <f t="shared" si="10"/>
        <v>13084</v>
      </c>
      <c r="X10" s="140">
        <f t="shared" si="10"/>
        <v>14278</v>
      </c>
      <c r="Y10" s="140">
        <f t="shared" si="10"/>
        <v>11700</v>
      </c>
      <c r="Z10" s="140">
        <f>SUM(Z7:Z9)</f>
        <v>34053</v>
      </c>
      <c r="AA10" s="140">
        <f>SUM(AA7:AA9)</f>
        <v>40324</v>
      </c>
      <c r="AB10" s="140">
        <f>SUM(AB7:AB9)</f>
        <v>40783</v>
      </c>
      <c r="AC10" s="140">
        <f>SUM(AC7:AC9)</f>
        <v>39062</v>
      </c>
      <c r="AD10" s="140">
        <f>SUM(AD7:AD9)</f>
        <v>154222</v>
      </c>
      <c r="AE10" s="272"/>
      <c r="AF10" s="272"/>
      <c r="AG10" s="90"/>
      <c r="AH10" s="90"/>
    </row>
    <row r="11" spans="1:34" s="260" customFormat="1">
      <c r="A11" s="539"/>
      <c r="B11" s="261" t="s">
        <v>97</v>
      </c>
      <c r="C11" s="89">
        <f t="shared" ref="C11:D11" si="11">+C21+C30</f>
        <v>0</v>
      </c>
      <c r="D11" s="89">
        <f t="shared" si="11"/>
        <v>45.094999999999999</v>
      </c>
      <c r="E11" s="89">
        <f>+E21+E30</f>
        <v>3.8</v>
      </c>
      <c r="F11" s="107">
        <f t="shared" si="6"/>
        <v>-0.91573345160217323</v>
      </c>
      <c r="G11" s="89">
        <f>+G21+G30</f>
        <v>2.8</v>
      </c>
      <c r="H11" s="89">
        <f>+H21+H30</f>
        <v>0</v>
      </c>
      <c r="I11" s="106">
        <f>G11+H11</f>
        <v>2.8</v>
      </c>
      <c r="J11" s="107">
        <f t="shared" si="7"/>
        <v>-0.26315789473684215</v>
      </c>
      <c r="K11" s="89">
        <f>+K21+K30</f>
        <v>480</v>
      </c>
      <c r="L11" s="107">
        <f t="shared" si="3"/>
        <v>170.42857142857144</v>
      </c>
      <c r="M11" s="108"/>
      <c r="N11" s="89">
        <f t="shared" ref="N11:AD11" si="12">+N21+N30</f>
        <v>270</v>
      </c>
      <c r="O11" s="89">
        <f t="shared" si="12"/>
        <v>20</v>
      </c>
      <c r="P11" s="89">
        <f t="shared" si="12"/>
        <v>20</v>
      </c>
      <c r="Q11" s="89">
        <f t="shared" si="12"/>
        <v>20</v>
      </c>
      <c r="R11" s="89">
        <f t="shared" si="12"/>
        <v>20</v>
      </c>
      <c r="S11" s="89">
        <f t="shared" si="12"/>
        <v>20</v>
      </c>
      <c r="T11" s="89">
        <f t="shared" si="12"/>
        <v>20</v>
      </c>
      <c r="U11" s="89">
        <f t="shared" si="12"/>
        <v>20</v>
      </c>
      <c r="V11" s="89">
        <f t="shared" si="12"/>
        <v>20</v>
      </c>
      <c r="W11" s="89">
        <f t="shared" si="12"/>
        <v>20</v>
      </c>
      <c r="X11" s="89">
        <f t="shared" si="12"/>
        <v>15</v>
      </c>
      <c r="Y11" s="89">
        <f t="shared" si="12"/>
        <v>15</v>
      </c>
      <c r="Z11" s="271">
        <f t="shared" si="12"/>
        <v>310</v>
      </c>
      <c r="AA11" s="271">
        <f t="shared" si="12"/>
        <v>60</v>
      </c>
      <c r="AB11" s="271">
        <f t="shared" si="12"/>
        <v>60</v>
      </c>
      <c r="AC11" s="271">
        <f t="shared" si="12"/>
        <v>50</v>
      </c>
      <c r="AD11" s="271">
        <f t="shared" si="12"/>
        <v>480</v>
      </c>
      <c r="AE11" s="273"/>
      <c r="AF11" s="273"/>
    </row>
    <row r="12" spans="1:34" s="260" customFormat="1">
      <c r="A12" s="539"/>
      <c r="B12" s="261" t="s">
        <v>104</v>
      </c>
      <c r="C12" s="89">
        <f>+C22+C29</f>
        <v>0</v>
      </c>
      <c r="D12" s="89">
        <f>+D22+D29</f>
        <v>9638.5499999999993</v>
      </c>
      <c r="E12" s="89">
        <f>+E22+E29</f>
        <v>9486.2200000000012</v>
      </c>
      <c r="F12" s="107">
        <f>IF(ISERROR(E12/D12-1),0,(E12/D12-1))</f>
        <v>-1.5804244414356683E-2</v>
      </c>
      <c r="G12" s="89">
        <f>+G22+G29</f>
        <v>5468.59</v>
      </c>
      <c r="H12" s="89">
        <f>+H22</f>
        <v>0</v>
      </c>
      <c r="I12" s="106">
        <f>+I22+I29</f>
        <v>5468.59</v>
      </c>
      <c r="J12" s="107">
        <f>IF(ISERROR(I12/E12-1),0,(I12/E12-1))</f>
        <v>-0.42352275194967026</v>
      </c>
      <c r="K12" s="89">
        <f>+K22+K29</f>
        <v>0</v>
      </c>
      <c r="L12" s="107">
        <f t="shared" si="3"/>
        <v>-1</v>
      </c>
      <c r="M12" s="108"/>
      <c r="N12" s="89">
        <f t="shared" ref="N12:AD12" si="13">+N22+N29</f>
        <v>575</v>
      </c>
      <c r="O12" s="89" t="e">
        <f t="shared" si="13"/>
        <v>#REF!</v>
      </c>
      <c r="P12" s="89" t="e">
        <f t="shared" si="13"/>
        <v>#REF!</v>
      </c>
      <c r="Q12" s="89" t="e">
        <f t="shared" si="13"/>
        <v>#REF!</v>
      </c>
      <c r="R12" s="89">
        <f t="shared" si="13"/>
        <v>575</v>
      </c>
      <c r="S12" s="89" t="e">
        <f t="shared" si="13"/>
        <v>#REF!</v>
      </c>
      <c r="T12" s="89" t="e">
        <f t="shared" si="13"/>
        <v>#REF!</v>
      </c>
      <c r="U12" s="89" t="e">
        <f t="shared" si="13"/>
        <v>#REF!</v>
      </c>
      <c r="V12" s="89">
        <f t="shared" si="13"/>
        <v>625</v>
      </c>
      <c r="W12" s="89" t="e">
        <f t="shared" si="13"/>
        <v>#REF!</v>
      </c>
      <c r="X12" s="89" t="e">
        <f t="shared" si="13"/>
        <v>#REF!</v>
      </c>
      <c r="Y12" s="89" t="e">
        <f t="shared" si="13"/>
        <v>#REF!</v>
      </c>
      <c r="Z12" s="271" t="e">
        <f t="shared" si="13"/>
        <v>#REF!</v>
      </c>
      <c r="AA12" s="271" t="e">
        <f t="shared" si="13"/>
        <v>#REF!</v>
      </c>
      <c r="AB12" s="271" t="e">
        <f t="shared" si="13"/>
        <v>#REF!</v>
      </c>
      <c r="AC12" s="271" t="e">
        <f t="shared" si="13"/>
        <v>#REF!</v>
      </c>
      <c r="AD12" s="271" t="e">
        <f t="shared" si="13"/>
        <v>#REF!</v>
      </c>
      <c r="AE12" s="273"/>
      <c r="AF12" s="273"/>
    </row>
    <row r="13" spans="1:34" s="91" customFormat="1">
      <c r="A13" s="540"/>
      <c r="B13" s="84" t="s">
        <v>81</v>
      </c>
      <c r="C13" s="106">
        <f>C23+C31</f>
        <v>0</v>
      </c>
      <c r="D13" s="106">
        <f>D23+D31</f>
        <v>34.734080000000013</v>
      </c>
      <c r="E13" s="106">
        <f>E23+E31</f>
        <v>9.6658973600000024</v>
      </c>
      <c r="F13" s="107">
        <f t="shared" si="6"/>
        <v>-0.7217171907244988</v>
      </c>
      <c r="G13" s="106">
        <f>G23+G31</f>
        <v>8.2269277200000008</v>
      </c>
      <c r="H13" s="106">
        <f>H23+H31</f>
        <v>0</v>
      </c>
      <c r="I13" s="106">
        <f>G13+H13</f>
        <v>8.2269277200000008</v>
      </c>
      <c r="J13" s="107">
        <f t="shared" si="7"/>
        <v>-0.14887077592555786</v>
      </c>
      <c r="K13" s="106">
        <f>SUM(K31,K23)</f>
        <v>0</v>
      </c>
      <c r="L13" s="107">
        <f t="shared" si="3"/>
        <v>-1</v>
      </c>
      <c r="M13" s="108"/>
      <c r="N13" s="106">
        <f t="shared" ref="N13:Y13" si="14">SUM(N31,N23)</f>
        <v>0</v>
      </c>
      <c r="O13" s="106">
        <f t="shared" si="14"/>
        <v>0</v>
      </c>
      <c r="P13" s="106">
        <f t="shared" si="14"/>
        <v>0</v>
      </c>
      <c r="Q13" s="106">
        <f t="shared" si="14"/>
        <v>0</v>
      </c>
      <c r="R13" s="106">
        <f t="shared" si="14"/>
        <v>0</v>
      </c>
      <c r="S13" s="106">
        <f t="shared" si="14"/>
        <v>0</v>
      </c>
      <c r="T13" s="106">
        <f t="shared" si="14"/>
        <v>0</v>
      </c>
      <c r="U13" s="106">
        <f t="shared" si="14"/>
        <v>0</v>
      </c>
      <c r="V13" s="106">
        <f t="shared" si="14"/>
        <v>0</v>
      </c>
      <c r="W13" s="106">
        <f t="shared" si="14"/>
        <v>0</v>
      </c>
      <c r="X13" s="106">
        <f t="shared" si="14"/>
        <v>0</v>
      </c>
      <c r="Y13" s="106">
        <f t="shared" si="14"/>
        <v>0</v>
      </c>
      <c r="Z13" s="270">
        <f>SUM(Z31,Z23)</f>
        <v>0</v>
      </c>
      <c r="AA13" s="270">
        <f>SUM(AA31,AA23)</f>
        <v>0</v>
      </c>
      <c r="AB13" s="270">
        <f>SUM(AB31,AB23)</f>
        <v>0</v>
      </c>
      <c r="AC13" s="270">
        <f>SUM(AC31,AC23)</f>
        <v>0</v>
      </c>
      <c r="AD13" s="270">
        <f>SUM(AD31,AD23)</f>
        <v>0</v>
      </c>
      <c r="AE13" s="272"/>
      <c r="AF13" s="272"/>
      <c r="AG13" s="90"/>
      <c r="AH13" s="90"/>
    </row>
    <row r="14" spans="1:34">
      <c r="A14" s="9" t="s">
        <v>9</v>
      </c>
      <c r="B14" s="7"/>
      <c r="C14" s="19">
        <f>+C10+C13+C11+C12</f>
        <v>133749.372</v>
      </c>
      <c r="D14" s="19">
        <f>+D10+D13+D11+D12</f>
        <v>120787.37807999997</v>
      </c>
      <c r="E14" s="19">
        <f>+E10+E13+E11+E12</f>
        <v>162013.90189735999</v>
      </c>
      <c r="F14" s="10">
        <f t="shared" si="6"/>
        <v>0.34131483332683032</v>
      </c>
      <c r="G14" s="19">
        <f>+G10+G13+G11+G12</f>
        <v>110739.11192772001</v>
      </c>
      <c r="H14" s="19">
        <f>+H10+H13</f>
        <v>0</v>
      </c>
      <c r="I14" s="19">
        <f>+I10+I13+I11+I12</f>
        <v>110739.11192772001</v>
      </c>
      <c r="J14" s="10">
        <f t="shared" si="7"/>
        <v>-0.31648389038938085</v>
      </c>
      <c r="K14" s="19">
        <f>+K10+K13</f>
        <v>154222</v>
      </c>
      <c r="L14" s="10"/>
      <c r="M14" s="94"/>
      <c r="N14" s="19">
        <f t="shared" ref="N14:Y14" si="15">+N10+N13</f>
        <v>9986</v>
      </c>
      <c r="O14" s="19">
        <f t="shared" si="15"/>
        <v>12042</v>
      </c>
      <c r="P14" s="19">
        <f t="shared" si="15"/>
        <v>12025</v>
      </c>
      <c r="Q14" s="19">
        <f t="shared" si="15"/>
        <v>13715</v>
      </c>
      <c r="R14" s="19">
        <f t="shared" si="15"/>
        <v>12468</v>
      </c>
      <c r="S14" s="19">
        <f t="shared" si="15"/>
        <v>14141</v>
      </c>
      <c r="T14" s="19">
        <f t="shared" si="15"/>
        <v>13101</v>
      </c>
      <c r="U14" s="19">
        <f t="shared" si="15"/>
        <v>14058</v>
      </c>
      <c r="V14" s="19">
        <f t="shared" si="15"/>
        <v>13624</v>
      </c>
      <c r="W14" s="19">
        <f t="shared" si="15"/>
        <v>13084</v>
      </c>
      <c r="X14" s="19">
        <f t="shared" si="15"/>
        <v>14278</v>
      </c>
      <c r="Y14" s="19">
        <f t="shared" si="15"/>
        <v>11700</v>
      </c>
      <c r="Z14" s="19">
        <f>+Z10+Z13</f>
        <v>34053</v>
      </c>
      <c r="AA14" s="19">
        <f>+AA10+AA13</f>
        <v>40324</v>
      </c>
      <c r="AB14" s="19">
        <f>+AB10+AB13</f>
        <v>40783</v>
      </c>
      <c r="AC14" s="19">
        <f>+AC10+AC13</f>
        <v>39062</v>
      </c>
      <c r="AD14" s="19">
        <f>+AD10+AD13</f>
        <v>154222</v>
      </c>
      <c r="AE14" s="61"/>
      <c r="AF14" s="61"/>
      <c r="AG14" s="62"/>
      <c r="AH14" s="62"/>
    </row>
    <row r="15" spans="1:34" ht="13.5" customHeight="1">
      <c r="A15" s="69"/>
      <c r="B15" s="65"/>
      <c r="C15" s="66"/>
      <c r="D15" s="66"/>
      <c r="E15" s="66"/>
      <c r="F15" s="66"/>
      <c r="G15" s="66"/>
      <c r="H15" s="66"/>
      <c r="I15" s="66"/>
      <c r="J15" s="66"/>
      <c r="K15" s="67"/>
      <c r="L15" s="66"/>
      <c r="M15" s="68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2"/>
      <c r="AA15" s="62"/>
      <c r="AB15" s="62"/>
      <c r="AC15" s="62"/>
      <c r="AD15" s="62"/>
      <c r="AE15" s="62"/>
      <c r="AF15" s="62"/>
      <c r="AG15" s="62"/>
      <c r="AH15" s="62"/>
    </row>
    <row r="16" spans="1:34" ht="13.5" customHeight="1">
      <c r="A16" s="69"/>
      <c r="B16" s="65"/>
      <c r="C16" s="66"/>
      <c r="D16" s="66"/>
      <c r="E16" s="66"/>
      <c r="F16" s="66"/>
      <c r="G16" s="66"/>
      <c r="H16" s="66"/>
      <c r="I16" s="66"/>
      <c r="J16" s="66"/>
      <c r="K16" s="67"/>
      <c r="L16" s="66"/>
      <c r="M16" s="68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2"/>
      <c r="AA16" s="62"/>
      <c r="AB16" s="62"/>
      <c r="AC16" s="62"/>
      <c r="AD16" s="62"/>
      <c r="AE16" s="62"/>
      <c r="AF16" s="62"/>
      <c r="AG16" s="62"/>
      <c r="AH16" s="62"/>
    </row>
    <row r="17" spans="1:34" s="91" customFormat="1">
      <c r="A17" s="535" t="s">
        <v>3</v>
      </c>
      <c r="B17" s="84" t="s">
        <v>12</v>
      </c>
      <c r="C17" s="106">
        <v>31354.270000000004</v>
      </c>
      <c r="D17" s="106">
        <v>23269.024999999972</v>
      </c>
      <c r="E17" s="106">
        <v>30508.233</v>
      </c>
      <c r="F17" s="107">
        <f t="shared" ref="F17:F31" si="16">IF(ISERROR(E17/D17-1),0,(E17/D17-1))</f>
        <v>0.31110921063517005</v>
      </c>
      <c r="G17" s="106">
        <v>13218.125</v>
      </c>
      <c r="H17" s="127"/>
      <c r="I17" s="106">
        <f t="shared" ref="I17:I27" si="17">G17+H17</f>
        <v>13218.125</v>
      </c>
      <c r="J17" s="107">
        <f t="shared" ref="J17:J33" si="18">IF(ISERROR(I17/E17-1),0,(I17/E17-1))</f>
        <v>-0.56673580538079671</v>
      </c>
      <c r="K17" s="124">
        <f>SUM(N17:Y17)</f>
        <v>45058</v>
      </c>
      <c r="L17" s="107">
        <f t="shared" ref="L17:L32" si="19">IF(ISERROR(K17/I17-1),0,(K17/I17-1))</f>
        <v>2.4088041987800843</v>
      </c>
      <c r="M17" s="108"/>
      <c r="N17" s="106">
        <f>Domestic!D24</f>
        <v>3003</v>
      </c>
      <c r="O17" s="106">
        <f>Domestic!H24</f>
        <v>3415</v>
      </c>
      <c r="P17" s="106">
        <f>Domestic!L24</f>
        <v>3483</v>
      </c>
      <c r="Q17" s="106">
        <f>Domestic!P24</f>
        <v>3904</v>
      </c>
      <c r="R17" s="106">
        <f>Domestic!T24</f>
        <v>3974</v>
      </c>
      <c r="S17" s="106">
        <f>Domestic!X24</f>
        <v>4012</v>
      </c>
      <c r="T17" s="106">
        <f>Domestic!AB24</f>
        <v>4019</v>
      </c>
      <c r="U17" s="106">
        <f>Domestic!AF24</f>
        <v>3890</v>
      </c>
      <c r="V17" s="106">
        <f>Domestic!AJ24</f>
        <v>4040</v>
      </c>
      <c r="W17" s="106">
        <f>Domestic!AN24</f>
        <v>3933</v>
      </c>
      <c r="X17" s="106">
        <f>Domestic!AR24</f>
        <v>3898</v>
      </c>
      <c r="Y17" s="106">
        <f>Domestic!AV24</f>
        <v>3487</v>
      </c>
      <c r="Z17" s="282">
        <f>(N17+O17+P17)</f>
        <v>9901</v>
      </c>
      <c r="AA17" s="282">
        <f>(Q17+R17+S17)</f>
        <v>11890</v>
      </c>
      <c r="AB17" s="282">
        <f>(T17+U17+V17)</f>
        <v>11949</v>
      </c>
      <c r="AC17" s="282">
        <f>(W17+X17+Y17)</f>
        <v>11318</v>
      </c>
      <c r="AD17" s="270">
        <f>+SUM(Z17:AC17)</f>
        <v>45058</v>
      </c>
      <c r="AE17" s="90"/>
      <c r="AF17" s="90"/>
      <c r="AG17" s="90"/>
      <c r="AH17" s="90"/>
    </row>
    <row r="18" spans="1:34" s="91" customFormat="1">
      <c r="A18" s="536"/>
      <c r="B18" s="84" t="s">
        <v>4</v>
      </c>
      <c r="C18" s="106">
        <v>28534.768</v>
      </c>
      <c r="D18" s="106">
        <v>15355.804999999995</v>
      </c>
      <c r="E18" s="106">
        <v>19813.774999999998</v>
      </c>
      <c r="F18" s="107">
        <f t="shared" si="16"/>
        <v>0.29031170948055185</v>
      </c>
      <c r="G18" s="106">
        <v>21381.748</v>
      </c>
      <c r="H18" s="127"/>
      <c r="I18" s="106">
        <f t="shared" si="17"/>
        <v>21381.748</v>
      </c>
      <c r="J18" s="107">
        <f t="shared" si="18"/>
        <v>7.9135500428363592E-2</v>
      </c>
      <c r="K18" s="124">
        <f>SUM(N18:Y18)</f>
        <v>34406</v>
      </c>
      <c r="L18" s="107">
        <f t="shared" si="19"/>
        <v>0.60912943132619479</v>
      </c>
      <c r="M18" s="108"/>
      <c r="N18" s="106">
        <f>Domestic!D54</f>
        <v>3219</v>
      </c>
      <c r="O18" s="106">
        <f>Domestic!H54</f>
        <v>3139</v>
      </c>
      <c r="P18" s="106">
        <f>Domestic!L54</f>
        <v>3145</v>
      </c>
      <c r="Q18" s="106">
        <f>Domestic!P54</f>
        <v>2743</v>
      </c>
      <c r="R18" s="106">
        <f>Domestic!T54</f>
        <v>2655</v>
      </c>
      <c r="S18" s="106">
        <f>Domestic!X54</f>
        <v>2641</v>
      </c>
      <c r="T18" s="106">
        <f>Domestic!AB54</f>
        <v>2858</v>
      </c>
      <c r="U18" s="106">
        <f>Domestic!AF54</f>
        <v>2884</v>
      </c>
      <c r="V18" s="106">
        <f>Domestic!AJ54</f>
        <v>2892</v>
      </c>
      <c r="W18" s="106">
        <f>Domestic!AN54</f>
        <v>2764</v>
      </c>
      <c r="X18" s="106">
        <f>Domestic!AR54</f>
        <v>2780</v>
      </c>
      <c r="Y18" s="106">
        <f>Domestic!AV54</f>
        <v>2686</v>
      </c>
      <c r="Z18" s="282">
        <f>(N18+O18+P18)</f>
        <v>9503</v>
      </c>
      <c r="AA18" s="282">
        <f>(Q18+R18+S18)</f>
        <v>8039</v>
      </c>
      <c r="AB18" s="282">
        <f>(T18+U18+V18)</f>
        <v>8634</v>
      </c>
      <c r="AC18" s="282">
        <f>(W18+X18+Y18)</f>
        <v>8230</v>
      </c>
      <c r="AD18" s="270">
        <f t="shared" ref="AD18:AD31" si="20">+SUM(Z18:AC18)</f>
        <v>34406</v>
      </c>
      <c r="AE18" s="90"/>
      <c r="AF18" s="90"/>
      <c r="AG18" s="90"/>
      <c r="AH18" s="90"/>
    </row>
    <row r="19" spans="1:34" s="91" customFormat="1">
      <c r="A19" s="536"/>
      <c r="B19" s="84" t="s">
        <v>0</v>
      </c>
      <c r="C19" s="106">
        <v>12629.498000000001</v>
      </c>
      <c r="D19" s="106">
        <v>11898.939999999999</v>
      </c>
      <c r="E19" s="106">
        <v>15109.985000000004</v>
      </c>
      <c r="F19" s="107">
        <f t="shared" si="16"/>
        <v>0.26985975221322289</v>
      </c>
      <c r="G19" s="106">
        <v>11024.330000000002</v>
      </c>
      <c r="H19" s="127"/>
      <c r="I19" s="106">
        <f t="shared" si="17"/>
        <v>11024.330000000002</v>
      </c>
      <c r="J19" s="107">
        <f t="shared" si="18"/>
        <v>-0.2703943782869408</v>
      </c>
      <c r="K19" s="124">
        <f>SUM(N19:Y19)</f>
        <v>15000</v>
      </c>
      <c r="L19" s="107">
        <f t="shared" si="19"/>
        <v>0.36062690431073796</v>
      </c>
      <c r="M19" s="108"/>
      <c r="N19" s="106">
        <f>Domestic!D61</f>
        <v>1250</v>
      </c>
      <c r="O19" s="106">
        <f>Domestic!H61</f>
        <v>1250</v>
      </c>
      <c r="P19" s="106">
        <f>Domestic!L61</f>
        <v>1250</v>
      </c>
      <c r="Q19" s="106">
        <f>Domestic!P61</f>
        <v>1250</v>
      </c>
      <c r="R19" s="106">
        <f>Domestic!T61</f>
        <v>1250</v>
      </c>
      <c r="S19" s="106">
        <f>Domestic!X61</f>
        <v>1250</v>
      </c>
      <c r="T19" s="106">
        <f>Domestic!AB61</f>
        <v>1250</v>
      </c>
      <c r="U19" s="106">
        <f>Domestic!AF61</f>
        <v>1250</v>
      </c>
      <c r="V19" s="106">
        <f>Domestic!AJ61</f>
        <v>1250</v>
      </c>
      <c r="W19" s="106">
        <f>Domestic!AN61</f>
        <v>1250</v>
      </c>
      <c r="X19" s="106">
        <f>Domestic!AR61</f>
        <v>1250</v>
      </c>
      <c r="Y19" s="106">
        <f>Domestic!AV61</f>
        <v>1250</v>
      </c>
      <c r="Z19" s="282">
        <f>(N19+O19+P19)</f>
        <v>3750</v>
      </c>
      <c r="AA19" s="282">
        <f>(Q19+R19+S19)</f>
        <v>3750</v>
      </c>
      <c r="AB19" s="282">
        <f>(T19+U19+V19)</f>
        <v>3750</v>
      </c>
      <c r="AC19" s="282">
        <f>(W19+X19+Y19)</f>
        <v>3750</v>
      </c>
      <c r="AD19" s="270">
        <f t="shared" si="20"/>
        <v>15000</v>
      </c>
      <c r="AE19" s="90"/>
      <c r="AF19" s="90"/>
      <c r="AG19" s="90"/>
      <c r="AH19" s="90"/>
    </row>
    <row r="20" spans="1:34" s="91" customFormat="1">
      <c r="A20" s="536"/>
      <c r="B20" s="142" t="s">
        <v>82</v>
      </c>
      <c r="C20" s="89">
        <f>SUM(C17:C19)</f>
        <v>72518.536000000007</v>
      </c>
      <c r="D20" s="89">
        <f>SUM(D17:D19)</f>
        <v>50523.76999999996</v>
      </c>
      <c r="E20" s="89">
        <f>SUM(E17:E19)</f>
        <v>65431.993000000002</v>
      </c>
      <c r="F20" s="143">
        <f t="shared" si="16"/>
        <v>0.29507344760693943</v>
      </c>
      <c r="G20" s="89">
        <f>SUM(G17:G19)</f>
        <v>45624.203000000001</v>
      </c>
      <c r="H20" s="89">
        <f>SUM(H17:H19)</f>
        <v>0</v>
      </c>
      <c r="I20" s="89">
        <f>SUM(I17:I19)</f>
        <v>45624.203000000001</v>
      </c>
      <c r="J20" s="143">
        <f t="shared" si="18"/>
        <v>-0.30272331762842686</v>
      </c>
      <c r="K20" s="89">
        <f>SUM(K17:K19)</f>
        <v>94464</v>
      </c>
      <c r="L20" s="143">
        <f t="shared" si="19"/>
        <v>1.0704800037822029</v>
      </c>
      <c r="M20" s="108"/>
      <c r="N20" s="89">
        <f t="shared" ref="N20:AC20" si="21">SUM(N17:N19)</f>
        <v>7472</v>
      </c>
      <c r="O20" s="89">
        <f t="shared" si="21"/>
        <v>7804</v>
      </c>
      <c r="P20" s="89">
        <f t="shared" si="21"/>
        <v>7878</v>
      </c>
      <c r="Q20" s="89">
        <f t="shared" si="21"/>
        <v>7897</v>
      </c>
      <c r="R20" s="89">
        <f t="shared" si="21"/>
        <v>7879</v>
      </c>
      <c r="S20" s="89">
        <f t="shared" si="21"/>
        <v>7903</v>
      </c>
      <c r="T20" s="89">
        <f t="shared" si="21"/>
        <v>8127</v>
      </c>
      <c r="U20" s="89">
        <f t="shared" si="21"/>
        <v>8024</v>
      </c>
      <c r="V20" s="89">
        <f t="shared" si="21"/>
        <v>8182</v>
      </c>
      <c r="W20" s="89">
        <f t="shared" si="21"/>
        <v>7947</v>
      </c>
      <c r="X20" s="89">
        <f t="shared" si="21"/>
        <v>7928</v>
      </c>
      <c r="Y20" s="89">
        <f t="shared" si="21"/>
        <v>7423</v>
      </c>
      <c r="Z20" s="89">
        <f t="shared" si="21"/>
        <v>23154</v>
      </c>
      <c r="AA20" s="89">
        <f t="shared" si="21"/>
        <v>23679</v>
      </c>
      <c r="AB20" s="89">
        <f t="shared" si="21"/>
        <v>24333</v>
      </c>
      <c r="AC20" s="89">
        <f t="shared" si="21"/>
        <v>23298</v>
      </c>
      <c r="AD20" s="270">
        <f t="shared" si="20"/>
        <v>94464</v>
      </c>
      <c r="AE20" s="90"/>
      <c r="AF20" s="90"/>
      <c r="AG20" s="90"/>
      <c r="AH20" s="90"/>
    </row>
    <row r="21" spans="1:34" s="91" customFormat="1">
      <c r="A21" s="536"/>
      <c r="B21" s="84" t="s">
        <v>97</v>
      </c>
      <c r="C21" s="106">
        <v>0</v>
      </c>
      <c r="D21" s="106">
        <v>45.094999999999999</v>
      </c>
      <c r="E21" s="106">
        <v>3.8</v>
      </c>
      <c r="F21" s="107">
        <f t="shared" si="16"/>
        <v>-0.91573345160217323</v>
      </c>
      <c r="G21" s="106">
        <v>2.8</v>
      </c>
      <c r="H21" s="127"/>
      <c r="I21" s="106"/>
      <c r="J21" s="107">
        <f t="shared" si="18"/>
        <v>-1</v>
      </c>
      <c r="K21" s="124">
        <f>Domestic!B79</f>
        <v>110</v>
      </c>
      <c r="L21" s="107">
        <f>IF(ISERROR(K21/I21-1),0,(K21/I21-1))</f>
        <v>0</v>
      </c>
      <c r="M21" s="108"/>
      <c r="N21" s="106">
        <f>Domestic!D79</f>
        <v>10</v>
      </c>
      <c r="O21" s="106">
        <f>Domestic!H79</f>
        <v>10</v>
      </c>
      <c r="P21" s="106">
        <f>Domestic!L79</f>
        <v>10</v>
      </c>
      <c r="Q21" s="106">
        <f>Domestic!P79</f>
        <v>10</v>
      </c>
      <c r="R21" s="106">
        <f>Domestic!T79</f>
        <v>10</v>
      </c>
      <c r="S21" s="106">
        <f>Domestic!X79</f>
        <v>10</v>
      </c>
      <c r="T21" s="106">
        <f>Domestic!AB79</f>
        <v>10</v>
      </c>
      <c r="U21" s="106">
        <f>Domestic!AF79</f>
        <v>10</v>
      </c>
      <c r="V21" s="106">
        <f>Domestic!AJ79</f>
        <v>10</v>
      </c>
      <c r="W21" s="106">
        <f>Domestic!AN79</f>
        <v>10</v>
      </c>
      <c r="X21" s="106">
        <f>Domestic!AR79</f>
        <v>5</v>
      </c>
      <c r="Y21" s="106">
        <f>Domestic!AV79</f>
        <v>5</v>
      </c>
      <c r="Z21" s="282">
        <f>(N21+O21+P21)</f>
        <v>30</v>
      </c>
      <c r="AA21" s="282">
        <f>(Q21+R21+S21)</f>
        <v>30</v>
      </c>
      <c r="AB21" s="282">
        <f>(T21+U21+V21)</f>
        <v>30</v>
      </c>
      <c r="AC21" s="282">
        <f>(W21+X21+Y21)</f>
        <v>20</v>
      </c>
      <c r="AD21" s="270">
        <f t="shared" ref="AD21" si="22">+SUM(Z21:AC21)</f>
        <v>110</v>
      </c>
      <c r="AE21" s="90"/>
      <c r="AF21" s="90"/>
      <c r="AG21" s="90"/>
      <c r="AH21" s="90"/>
    </row>
    <row r="22" spans="1:34" s="91" customFormat="1">
      <c r="A22" s="536"/>
      <c r="B22" s="84" t="s">
        <v>104</v>
      </c>
      <c r="C22" s="106"/>
      <c r="D22" s="106">
        <v>8636.5499999999993</v>
      </c>
      <c r="E22" s="106">
        <v>9486.2200000000012</v>
      </c>
      <c r="F22" s="107">
        <f t="shared" si="16"/>
        <v>9.8380719152902696E-2</v>
      </c>
      <c r="G22" s="106">
        <v>5468.59</v>
      </c>
      <c r="H22" s="127"/>
      <c r="I22" s="106">
        <f>G22+H22</f>
        <v>5468.59</v>
      </c>
      <c r="J22" s="107">
        <f t="shared" si="18"/>
        <v>-0.42352275194967026</v>
      </c>
      <c r="K22" s="124"/>
      <c r="L22" s="107">
        <f>IF(ISERROR(K22/I22-1),0,(K22/I22-1))</f>
        <v>-1</v>
      </c>
      <c r="M22" s="108"/>
      <c r="N22" s="106">
        <f>Domestic!D65</f>
        <v>575</v>
      </c>
      <c r="O22" s="106" t="e">
        <f>Domestic!#REF!</f>
        <v>#REF!</v>
      </c>
      <c r="P22" s="106" t="e">
        <f>Domestic!#REF!</f>
        <v>#REF!</v>
      </c>
      <c r="Q22" s="106" t="e">
        <f>Domestic!#REF!</f>
        <v>#REF!</v>
      </c>
      <c r="R22" s="106">
        <f>Domestic!H65</f>
        <v>575</v>
      </c>
      <c r="S22" s="106" t="e">
        <f>Domestic!#REF!</f>
        <v>#REF!</v>
      </c>
      <c r="T22" s="106" t="e">
        <f>Domestic!#REF!</f>
        <v>#REF!</v>
      </c>
      <c r="U22" s="106" t="e">
        <f>Domestic!#REF!</f>
        <v>#REF!</v>
      </c>
      <c r="V22" s="106">
        <f>Domestic!L65</f>
        <v>625</v>
      </c>
      <c r="W22" s="106" t="e">
        <f>Domestic!#REF!</f>
        <v>#REF!</v>
      </c>
      <c r="X22" s="106" t="e">
        <f>Domestic!#REF!</f>
        <v>#REF!</v>
      </c>
      <c r="Y22" s="106" t="e">
        <f>Domestic!#REF!</f>
        <v>#REF!</v>
      </c>
      <c r="Z22" s="282" t="e">
        <f>(N22+O22+P22)</f>
        <v>#REF!</v>
      </c>
      <c r="AA22" s="282" t="e">
        <f>(Q22+R22+S22)</f>
        <v>#REF!</v>
      </c>
      <c r="AB22" s="282" t="e">
        <f>(T22+U22+V22)</f>
        <v>#REF!</v>
      </c>
      <c r="AC22" s="282" t="e">
        <f>(W22+X22+Y22)</f>
        <v>#REF!</v>
      </c>
      <c r="AD22" s="270" t="e">
        <f t="shared" si="20"/>
        <v>#REF!</v>
      </c>
      <c r="AE22" s="90"/>
      <c r="AF22" s="90"/>
      <c r="AG22" s="90"/>
      <c r="AH22" s="90"/>
    </row>
    <row r="23" spans="1:34" s="91" customFormat="1">
      <c r="A23" s="537"/>
      <c r="B23" s="84" t="s">
        <v>81</v>
      </c>
      <c r="C23" s="106"/>
      <c r="D23" s="106">
        <v>34.734080000000013</v>
      </c>
      <c r="E23" s="106">
        <v>9.6658973600000024</v>
      </c>
      <c r="F23" s="107">
        <f t="shared" si="16"/>
        <v>-0.7217171907244988</v>
      </c>
      <c r="G23" s="106">
        <v>8.2269277200000008</v>
      </c>
      <c r="H23" s="127"/>
      <c r="I23" s="106">
        <f>G23+H23</f>
        <v>8.2269277200000008</v>
      </c>
      <c r="J23" s="107">
        <f t="shared" si="18"/>
        <v>-0.14887077592555786</v>
      </c>
      <c r="K23" s="124">
        <f>SUM(N23:Y23)</f>
        <v>0</v>
      </c>
      <c r="L23" s="107">
        <f>IF(ISERROR(K23/I23-1),0,(K23/I23-1))</f>
        <v>-1</v>
      </c>
      <c r="M23" s="108"/>
      <c r="N23" s="106">
        <f>Domestic!D69</f>
        <v>0</v>
      </c>
      <c r="O23" s="106">
        <f>Domestic!H69</f>
        <v>0</v>
      </c>
      <c r="P23" s="106">
        <f>Domestic!L69</f>
        <v>0</v>
      </c>
      <c r="Q23" s="106">
        <f>Domestic!P69</f>
        <v>0</v>
      </c>
      <c r="R23" s="106">
        <f>Domestic!T69</f>
        <v>0</v>
      </c>
      <c r="S23" s="106">
        <f>Domestic!X69</f>
        <v>0</v>
      </c>
      <c r="T23" s="106">
        <f>Domestic!AB69</f>
        <v>0</v>
      </c>
      <c r="U23" s="106">
        <f>Domestic!AF69</f>
        <v>0</v>
      </c>
      <c r="V23" s="106">
        <f>Domestic!AJ69</f>
        <v>0</v>
      </c>
      <c r="W23" s="106">
        <f>Domestic!AN69</f>
        <v>0</v>
      </c>
      <c r="X23" s="106">
        <f>Domestic!AR69</f>
        <v>0</v>
      </c>
      <c r="Y23" s="106">
        <f>Domestic!AV69</f>
        <v>0</v>
      </c>
      <c r="Z23" s="282">
        <f>(N23+O23+P23)</f>
        <v>0</v>
      </c>
      <c r="AA23" s="282">
        <f>(Q23+R23+S23)</f>
        <v>0</v>
      </c>
      <c r="AB23" s="282">
        <f>(T23+U23+V23)</f>
        <v>0</v>
      </c>
      <c r="AC23" s="282">
        <f>(W23+X23+Y23)</f>
        <v>0</v>
      </c>
      <c r="AD23" s="270">
        <f t="shared" si="20"/>
        <v>0</v>
      </c>
      <c r="AE23" s="90"/>
      <c r="AF23" s="90"/>
      <c r="AG23" s="90"/>
      <c r="AH23" s="90"/>
    </row>
    <row r="24" spans="1:34">
      <c r="A24" s="6" t="s">
        <v>13</v>
      </c>
      <c r="B24" s="16"/>
      <c r="C24" s="17">
        <f>+C20+C23+C21+C22</f>
        <v>72518.536000000007</v>
      </c>
      <c r="D24" s="17">
        <f>+D20+D23+D21+D22</f>
        <v>59240.149079999959</v>
      </c>
      <c r="E24" s="17">
        <f>+E20+E23+E21+E22</f>
        <v>74931.678897360005</v>
      </c>
      <c r="F24" s="18">
        <f t="shared" si="16"/>
        <v>0.26487998529797174</v>
      </c>
      <c r="G24" s="105">
        <f>+G20+G23+G21+G22</f>
        <v>51103.819927720004</v>
      </c>
      <c r="H24" s="105">
        <f>+H20+H23+H21</f>
        <v>0</v>
      </c>
      <c r="I24" s="105">
        <f>+I20+I23+I21+I22</f>
        <v>51101.019927720001</v>
      </c>
      <c r="J24" s="18">
        <f t="shared" si="18"/>
        <v>-0.31803183006592961</v>
      </c>
      <c r="K24" s="17">
        <f>+K20+K23+K21</f>
        <v>94574</v>
      </c>
      <c r="L24" s="18"/>
      <c r="M24" s="109"/>
      <c r="N24" s="17">
        <f t="shared" ref="N24:AD24" si="23">+N20+N23+N21</f>
        <v>7482</v>
      </c>
      <c r="O24" s="17">
        <f t="shared" si="23"/>
        <v>7814</v>
      </c>
      <c r="P24" s="17">
        <f t="shared" si="23"/>
        <v>7888</v>
      </c>
      <c r="Q24" s="17">
        <f t="shared" si="23"/>
        <v>7907</v>
      </c>
      <c r="R24" s="17">
        <f t="shared" si="23"/>
        <v>7889</v>
      </c>
      <c r="S24" s="17">
        <f t="shared" si="23"/>
        <v>7913</v>
      </c>
      <c r="T24" s="17">
        <f t="shared" si="23"/>
        <v>8137</v>
      </c>
      <c r="U24" s="17">
        <f t="shared" si="23"/>
        <v>8034</v>
      </c>
      <c r="V24" s="17">
        <f t="shared" si="23"/>
        <v>8192</v>
      </c>
      <c r="W24" s="17">
        <f t="shared" si="23"/>
        <v>7957</v>
      </c>
      <c r="X24" s="17">
        <f t="shared" si="23"/>
        <v>7933</v>
      </c>
      <c r="Y24" s="17">
        <f t="shared" si="23"/>
        <v>7428</v>
      </c>
      <c r="Z24" s="17">
        <f t="shared" si="23"/>
        <v>23184</v>
      </c>
      <c r="AA24" s="17">
        <f t="shared" si="23"/>
        <v>23709</v>
      </c>
      <c r="AB24" s="17">
        <f t="shared" si="23"/>
        <v>24363</v>
      </c>
      <c r="AC24" s="17">
        <f t="shared" si="23"/>
        <v>23318</v>
      </c>
      <c r="AD24" s="17">
        <f t="shared" si="23"/>
        <v>94574</v>
      </c>
      <c r="AE24" s="62"/>
      <c r="AF24" s="62"/>
      <c r="AG24" s="62"/>
      <c r="AH24" s="62"/>
    </row>
    <row r="25" spans="1:34" s="91" customFormat="1">
      <c r="A25" s="535" t="s">
        <v>15</v>
      </c>
      <c r="B25" s="84" t="s">
        <v>12</v>
      </c>
      <c r="C25" s="106">
        <f t="shared" ref="C25:D25" si="24">C36+C44+C52+C60</f>
        <v>24095.966</v>
      </c>
      <c r="D25" s="106">
        <f t="shared" si="24"/>
        <v>45539.899000000005</v>
      </c>
      <c r="E25" s="106">
        <f t="shared" ref="E25:E27" si="25">E36+E44+E52+E60</f>
        <v>63969.153000000006</v>
      </c>
      <c r="F25" s="107">
        <f t="shared" si="16"/>
        <v>0.40468368188519688</v>
      </c>
      <c r="G25" s="106">
        <f t="shared" ref="G25:H27" si="26">G36+G44+G52+G60</f>
        <v>43134.822000000007</v>
      </c>
      <c r="H25" s="106">
        <f t="shared" si="26"/>
        <v>0</v>
      </c>
      <c r="I25" s="106">
        <f t="shared" si="17"/>
        <v>43134.822000000007</v>
      </c>
      <c r="J25" s="107">
        <f t="shared" si="18"/>
        <v>-0.32569340100532507</v>
      </c>
      <c r="K25" s="106">
        <f>SUM(N25:Y25)</f>
        <v>39976</v>
      </c>
      <c r="L25" s="107">
        <f t="shared" si="19"/>
        <v>-7.3231367455277918E-2</v>
      </c>
      <c r="M25" s="108"/>
      <c r="N25" s="106">
        <f t="shared" ref="N25:Y25" si="27">SUM(N36,N44,N52,N60)</f>
        <v>1338</v>
      </c>
      <c r="O25" s="106">
        <f t="shared" si="27"/>
        <v>3063</v>
      </c>
      <c r="P25" s="106">
        <f t="shared" si="27"/>
        <v>2661</v>
      </c>
      <c r="Q25" s="106">
        <f t="shared" si="27"/>
        <v>4202</v>
      </c>
      <c r="R25" s="106">
        <f t="shared" si="27"/>
        <v>3093</v>
      </c>
      <c r="S25" s="106">
        <f t="shared" si="27"/>
        <v>4457</v>
      </c>
      <c r="T25" s="106">
        <f t="shared" si="27"/>
        <v>3325</v>
      </c>
      <c r="U25" s="106">
        <f t="shared" si="27"/>
        <v>4239</v>
      </c>
      <c r="V25" s="106">
        <f t="shared" si="27"/>
        <v>3490</v>
      </c>
      <c r="W25" s="106">
        <f t="shared" si="27"/>
        <v>3253</v>
      </c>
      <c r="X25" s="106">
        <f t="shared" si="27"/>
        <v>4315</v>
      </c>
      <c r="Y25" s="106">
        <f t="shared" si="27"/>
        <v>2540</v>
      </c>
      <c r="Z25" s="282">
        <f>(N25+O25+P25)</f>
        <v>7062</v>
      </c>
      <c r="AA25" s="282">
        <f>(Q25+R25+S25)</f>
        <v>11752</v>
      </c>
      <c r="AB25" s="282">
        <f>(T25+U25+V25)</f>
        <v>11054</v>
      </c>
      <c r="AC25" s="282">
        <f>(W25+X25+Y25)</f>
        <v>10108</v>
      </c>
      <c r="AD25" s="270">
        <f t="shared" si="20"/>
        <v>39976</v>
      </c>
      <c r="AE25" s="90"/>
      <c r="AF25" s="90"/>
      <c r="AG25" s="90"/>
      <c r="AH25" s="90"/>
    </row>
    <row r="26" spans="1:34" s="91" customFormat="1">
      <c r="A26" s="536"/>
      <c r="B26" s="84" t="s">
        <v>4</v>
      </c>
      <c r="C26" s="106">
        <f t="shared" ref="C26:D26" si="28">C37+C45+C53+C61</f>
        <v>22975.43</v>
      </c>
      <c r="D26" s="106">
        <f t="shared" si="28"/>
        <v>14287.830000000002</v>
      </c>
      <c r="E26" s="106">
        <f t="shared" si="25"/>
        <v>20343.78</v>
      </c>
      <c r="F26" s="107">
        <f t="shared" si="16"/>
        <v>0.42385372726299209</v>
      </c>
      <c r="G26" s="106">
        <f t="shared" si="26"/>
        <v>14376.869999999997</v>
      </c>
      <c r="H26" s="106">
        <f t="shared" si="26"/>
        <v>0</v>
      </c>
      <c r="I26" s="106">
        <f t="shared" si="17"/>
        <v>14376.869999999997</v>
      </c>
      <c r="J26" s="107">
        <f t="shared" si="18"/>
        <v>-0.29330389927535605</v>
      </c>
      <c r="K26" s="106">
        <f>SUM(N26:Y26)</f>
        <v>19782</v>
      </c>
      <c r="L26" s="107">
        <f t="shared" si="19"/>
        <v>0.3759601359683995</v>
      </c>
      <c r="M26" s="108"/>
      <c r="N26" s="106">
        <f t="shared" ref="N26:Y26" si="29">SUM(N37,N45,N53,N61)</f>
        <v>1176</v>
      </c>
      <c r="O26" s="106">
        <f t="shared" si="29"/>
        <v>1175</v>
      </c>
      <c r="P26" s="106">
        <f t="shared" si="29"/>
        <v>1486</v>
      </c>
      <c r="Q26" s="106">
        <f t="shared" si="29"/>
        <v>1616</v>
      </c>
      <c r="R26" s="106">
        <f t="shared" si="29"/>
        <v>1496</v>
      </c>
      <c r="S26" s="106">
        <f t="shared" si="29"/>
        <v>1781</v>
      </c>
      <c r="T26" s="106">
        <f t="shared" si="29"/>
        <v>1649</v>
      </c>
      <c r="U26" s="106">
        <f t="shared" si="29"/>
        <v>1795</v>
      </c>
      <c r="V26" s="106">
        <f t="shared" si="29"/>
        <v>1952</v>
      </c>
      <c r="W26" s="106">
        <f t="shared" si="29"/>
        <v>1884</v>
      </c>
      <c r="X26" s="106">
        <f t="shared" si="29"/>
        <v>2035</v>
      </c>
      <c r="Y26" s="106">
        <f t="shared" si="29"/>
        <v>1737</v>
      </c>
      <c r="Z26" s="282">
        <f>(N26+O26+P26)</f>
        <v>3837</v>
      </c>
      <c r="AA26" s="282">
        <f>(Q26+R26+S26)</f>
        <v>4893</v>
      </c>
      <c r="AB26" s="282">
        <f>(T26+U26+V26)</f>
        <v>5396</v>
      </c>
      <c r="AC26" s="282">
        <f>(W26+X26+Y26)</f>
        <v>5656</v>
      </c>
      <c r="AD26" s="270">
        <f t="shared" si="20"/>
        <v>19782</v>
      </c>
      <c r="AE26" s="90"/>
      <c r="AF26" s="90"/>
      <c r="AG26" s="90"/>
      <c r="AH26" s="90"/>
    </row>
    <row r="27" spans="1:34" s="91" customFormat="1">
      <c r="A27" s="536"/>
      <c r="B27" s="84" t="s">
        <v>0</v>
      </c>
      <c r="C27" s="106">
        <f t="shared" ref="C27:D27" si="30">C38+C46+C54+C62</f>
        <v>14159.440000000002</v>
      </c>
      <c r="D27" s="106">
        <f t="shared" si="30"/>
        <v>717.5</v>
      </c>
      <c r="E27" s="106">
        <f t="shared" si="25"/>
        <v>2769.29</v>
      </c>
      <c r="F27" s="107">
        <f t="shared" si="16"/>
        <v>2.859637630662021</v>
      </c>
      <c r="G27" s="106">
        <f t="shared" si="26"/>
        <v>2123.6</v>
      </c>
      <c r="H27" s="106">
        <f t="shared" si="26"/>
        <v>0</v>
      </c>
      <c r="I27" s="106">
        <f t="shared" si="17"/>
        <v>2123.6</v>
      </c>
      <c r="J27" s="107">
        <f t="shared" si="18"/>
        <v>-0.23316084628189904</v>
      </c>
      <c r="K27" s="106">
        <f>SUM(N27:Y27)</f>
        <v>0</v>
      </c>
      <c r="L27" s="107">
        <f t="shared" si="19"/>
        <v>-1</v>
      </c>
      <c r="M27" s="108"/>
      <c r="N27" s="106">
        <f t="shared" ref="N27:Y27" si="31">SUM(N38,N46,N54,N62)</f>
        <v>0</v>
      </c>
      <c r="O27" s="106">
        <f t="shared" si="31"/>
        <v>0</v>
      </c>
      <c r="P27" s="106">
        <f t="shared" si="31"/>
        <v>0</v>
      </c>
      <c r="Q27" s="106">
        <f t="shared" si="31"/>
        <v>0</v>
      </c>
      <c r="R27" s="106">
        <f t="shared" si="31"/>
        <v>0</v>
      </c>
      <c r="S27" s="106">
        <f t="shared" si="31"/>
        <v>0</v>
      </c>
      <c r="T27" s="106">
        <f t="shared" si="31"/>
        <v>0</v>
      </c>
      <c r="U27" s="106">
        <f t="shared" si="31"/>
        <v>0</v>
      </c>
      <c r="V27" s="106">
        <f t="shared" si="31"/>
        <v>0</v>
      </c>
      <c r="W27" s="106">
        <f t="shared" si="31"/>
        <v>0</v>
      </c>
      <c r="X27" s="106">
        <f t="shared" si="31"/>
        <v>0</v>
      </c>
      <c r="Y27" s="106">
        <f t="shared" si="31"/>
        <v>0</v>
      </c>
      <c r="Z27" s="282">
        <f>(N27+O27+P27)</f>
        <v>0</v>
      </c>
      <c r="AA27" s="282">
        <f>(Q27+R27+S27)</f>
        <v>0</v>
      </c>
      <c r="AB27" s="282">
        <f>(T27+U27+V27)</f>
        <v>0</v>
      </c>
      <c r="AC27" s="282">
        <f>(W27+X27+Y27)</f>
        <v>0</v>
      </c>
      <c r="AD27" s="270">
        <f t="shared" si="20"/>
        <v>0</v>
      </c>
      <c r="AE27" s="90"/>
      <c r="AF27" s="90"/>
      <c r="AG27" s="90"/>
      <c r="AH27" s="90"/>
    </row>
    <row r="28" spans="1:34" s="91" customFormat="1">
      <c r="A28" s="536"/>
      <c r="B28" s="142" t="s">
        <v>82</v>
      </c>
      <c r="C28" s="89">
        <f>SUM(C25:C27)</f>
        <v>61230.836000000003</v>
      </c>
      <c r="D28" s="89">
        <f>SUM(D25:D27)</f>
        <v>60545.229000000007</v>
      </c>
      <c r="E28" s="89">
        <f>SUM(E25:E27)</f>
        <v>87082.222999999998</v>
      </c>
      <c r="F28" s="143">
        <f t="shared" si="16"/>
        <v>0.43830033246715416</v>
      </c>
      <c r="G28" s="89">
        <f>SUM(G25:G27)</f>
        <v>59635.292000000001</v>
      </c>
      <c r="H28" s="89">
        <f>SUM(H25:H27)</f>
        <v>0</v>
      </c>
      <c r="I28" s="89">
        <f>SUM(I25:I27)</f>
        <v>59635.292000000001</v>
      </c>
      <c r="J28" s="143">
        <f t="shared" si="18"/>
        <v>-0.31518408757204097</v>
      </c>
      <c r="K28" s="89">
        <f>SUM(K25:K27)</f>
        <v>59758</v>
      </c>
      <c r="L28" s="143">
        <f>IF(ISERROR(K28/I28-1),0,(K28/I28-1))</f>
        <v>2.0576406333350228E-3</v>
      </c>
      <c r="M28" s="108"/>
      <c r="N28" s="89">
        <f t="shared" ref="N28:AD28" si="32">SUM(N25:N27)</f>
        <v>2514</v>
      </c>
      <c r="O28" s="89">
        <f t="shared" si="32"/>
        <v>4238</v>
      </c>
      <c r="P28" s="89">
        <f t="shared" si="32"/>
        <v>4147</v>
      </c>
      <c r="Q28" s="89">
        <f t="shared" si="32"/>
        <v>5818</v>
      </c>
      <c r="R28" s="89">
        <f t="shared" si="32"/>
        <v>4589</v>
      </c>
      <c r="S28" s="89">
        <f t="shared" si="32"/>
        <v>6238</v>
      </c>
      <c r="T28" s="89">
        <f t="shared" si="32"/>
        <v>4974</v>
      </c>
      <c r="U28" s="89">
        <f t="shared" si="32"/>
        <v>6034</v>
      </c>
      <c r="V28" s="89">
        <f t="shared" si="32"/>
        <v>5442</v>
      </c>
      <c r="W28" s="89">
        <f t="shared" si="32"/>
        <v>5137</v>
      </c>
      <c r="X28" s="89">
        <f t="shared" si="32"/>
        <v>6350</v>
      </c>
      <c r="Y28" s="89">
        <f t="shared" si="32"/>
        <v>4277</v>
      </c>
      <c r="Z28" s="89">
        <f t="shared" si="32"/>
        <v>10899</v>
      </c>
      <c r="AA28" s="89">
        <f t="shared" si="32"/>
        <v>16645</v>
      </c>
      <c r="AB28" s="89">
        <f t="shared" si="32"/>
        <v>16450</v>
      </c>
      <c r="AC28" s="89">
        <f t="shared" si="32"/>
        <v>15764</v>
      </c>
      <c r="AD28" s="89">
        <f t="shared" si="32"/>
        <v>59758</v>
      </c>
      <c r="AE28" s="90"/>
      <c r="AF28" s="90"/>
      <c r="AG28" s="90"/>
      <c r="AH28" s="90"/>
    </row>
    <row r="29" spans="1:34" s="91" customFormat="1">
      <c r="A29" s="536"/>
      <c r="B29" s="142" t="s">
        <v>104</v>
      </c>
      <c r="C29" s="106">
        <f t="shared" ref="C29:D29" si="33">C40+C48+C56+C64</f>
        <v>0</v>
      </c>
      <c r="D29" s="106">
        <f t="shared" si="33"/>
        <v>1001.9999999999999</v>
      </c>
      <c r="E29" s="106">
        <f t="shared" ref="E29:E30" si="34">E40+E48+E56+E64</f>
        <v>0</v>
      </c>
      <c r="F29" s="107">
        <f t="shared" si="16"/>
        <v>-1</v>
      </c>
      <c r="G29" s="106">
        <f t="shared" ref="G29:H31" si="35">G40+G48+G56+G64</f>
        <v>0</v>
      </c>
      <c r="H29" s="106">
        <f t="shared" si="35"/>
        <v>0</v>
      </c>
      <c r="I29" s="106">
        <f>G29+H29</f>
        <v>0</v>
      </c>
      <c r="J29" s="107">
        <f t="shared" si="18"/>
        <v>0</v>
      </c>
      <c r="K29" s="106">
        <f>SUM(N29:Y29)</f>
        <v>0</v>
      </c>
      <c r="L29" s="107">
        <f t="shared" si="19"/>
        <v>0</v>
      </c>
      <c r="M29" s="108"/>
      <c r="N29" s="106">
        <f>SUM(N40,N48,N56,N64)</f>
        <v>0</v>
      </c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  <c r="AC29" s="89"/>
      <c r="AD29" s="89"/>
      <c r="AE29" s="90"/>
      <c r="AF29" s="90"/>
      <c r="AG29" s="90"/>
      <c r="AH29" s="90"/>
    </row>
    <row r="30" spans="1:34" s="91" customFormat="1">
      <c r="A30" s="536"/>
      <c r="B30" s="84" t="s">
        <v>97</v>
      </c>
      <c r="C30" s="106">
        <f t="shared" ref="C30:D30" si="36">C41+C49+C57+C65</f>
        <v>0</v>
      </c>
      <c r="D30" s="106">
        <f t="shared" si="36"/>
        <v>0</v>
      </c>
      <c r="E30" s="106">
        <f t="shared" si="34"/>
        <v>0</v>
      </c>
      <c r="F30" s="107"/>
      <c r="G30" s="106">
        <f t="shared" si="35"/>
        <v>0</v>
      </c>
      <c r="H30" s="106">
        <f t="shared" si="35"/>
        <v>0</v>
      </c>
      <c r="I30" s="106">
        <f>G30+H30</f>
        <v>0</v>
      </c>
      <c r="J30" s="107">
        <f t="shared" si="18"/>
        <v>0</v>
      </c>
      <c r="K30" s="106">
        <f>SUM(N30:Y30)</f>
        <v>370</v>
      </c>
      <c r="L30" s="107">
        <f t="shared" ref="L30" si="37">IF(ISERROR(K30/I30-1),0,(K30/I30-1))</f>
        <v>0</v>
      </c>
      <c r="M30" s="108"/>
      <c r="N30" s="106">
        <f t="shared" ref="N30:Y30" si="38">SUM(N41,N49,N57,N65)</f>
        <v>260</v>
      </c>
      <c r="O30" s="89">
        <f t="shared" si="38"/>
        <v>10</v>
      </c>
      <c r="P30" s="89">
        <f t="shared" si="38"/>
        <v>10</v>
      </c>
      <c r="Q30" s="89">
        <f t="shared" si="38"/>
        <v>10</v>
      </c>
      <c r="R30" s="89">
        <f t="shared" si="38"/>
        <v>10</v>
      </c>
      <c r="S30" s="89">
        <f t="shared" si="38"/>
        <v>10</v>
      </c>
      <c r="T30" s="89">
        <f t="shared" si="38"/>
        <v>10</v>
      </c>
      <c r="U30" s="89">
        <f t="shared" si="38"/>
        <v>10</v>
      </c>
      <c r="V30" s="89">
        <f t="shared" si="38"/>
        <v>10</v>
      </c>
      <c r="W30" s="89">
        <f t="shared" si="38"/>
        <v>10</v>
      </c>
      <c r="X30" s="89">
        <f t="shared" si="38"/>
        <v>10</v>
      </c>
      <c r="Y30" s="89">
        <f t="shared" si="38"/>
        <v>10</v>
      </c>
      <c r="Z30" s="89">
        <f>(N30+O30+P30)</f>
        <v>280</v>
      </c>
      <c r="AA30" s="89">
        <f>(Q30+R30+S30)</f>
        <v>30</v>
      </c>
      <c r="AB30" s="89">
        <f>(T30+U30+V30)</f>
        <v>30</v>
      </c>
      <c r="AC30" s="89">
        <f>(W30+X30+Y30)</f>
        <v>30</v>
      </c>
      <c r="AD30" s="89">
        <f t="shared" ref="AD30" si="39">+SUM(Z30:AC30)</f>
        <v>370</v>
      </c>
      <c r="AE30" s="90"/>
      <c r="AF30" s="90"/>
      <c r="AG30" s="90"/>
      <c r="AH30" s="90"/>
    </row>
    <row r="31" spans="1:34" s="91" customFormat="1">
      <c r="A31" s="537"/>
      <c r="B31" s="84" t="s">
        <v>81</v>
      </c>
      <c r="C31" s="106">
        <f t="shared" ref="C31:D31" si="40">C42+C50+C58+C66</f>
        <v>0</v>
      </c>
      <c r="D31" s="106">
        <f t="shared" si="40"/>
        <v>0</v>
      </c>
      <c r="E31" s="106">
        <f t="shared" ref="E31" si="41">E42+E50+E58+E66</f>
        <v>0</v>
      </c>
      <c r="F31" s="107">
        <f t="shared" si="16"/>
        <v>0</v>
      </c>
      <c r="G31" s="106">
        <f t="shared" si="35"/>
        <v>0</v>
      </c>
      <c r="H31" s="106">
        <f t="shared" si="35"/>
        <v>0</v>
      </c>
      <c r="I31" s="106">
        <f>G31+H31</f>
        <v>0</v>
      </c>
      <c r="J31" s="107">
        <f t="shared" si="18"/>
        <v>0</v>
      </c>
      <c r="K31" s="106">
        <f>SUM(N31:Y31)</f>
        <v>0</v>
      </c>
      <c r="L31" s="107">
        <f t="shared" si="19"/>
        <v>0</v>
      </c>
      <c r="M31" s="108"/>
      <c r="N31" s="106">
        <f t="shared" ref="N31:Y31" si="42">SUM(N42,N50,N58,N66)</f>
        <v>0</v>
      </c>
      <c r="O31" s="106">
        <f t="shared" si="42"/>
        <v>0</v>
      </c>
      <c r="P31" s="106">
        <f t="shared" si="42"/>
        <v>0</v>
      </c>
      <c r="Q31" s="106">
        <f t="shared" si="42"/>
        <v>0</v>
      </c>
      <c r="R31" s="106">
        <f t="shared" si="42"/>
        <v>0</v>
      </c>
      <c r="S31" s="106">
        <f t="shared" si="42"/>
        <v>0</v>
      </c>
      <c r="T31" s="106">
        <f t="shared" si="42"/>
        <v>0</v>
      </c>
      <c r="U31" s="106">
        <f t="shared" si="42"/>
        <v>0</v>
      </c>
      <c r="V31" s="106">
        <f t="shared" si="42"/>
        <v>0</v>
      </c>
      <c r="W31" s="106">
        <f t="shared" si="42"/>
        <v>0</v>
      </c>
      <c r="X31" s="106">
        <f t="shared" si="42"/>
        <v>0</v>
      </c>
      <c r="Y31" s="106">
        <f t="shared" si="42"/>
        <v>0</v>
      </c>
      <c r="Z31" s="282">
        <f>(N31+O31+P31)</f>
        <v>0</v>
      </c>
      <c r="AA31" s="282">
        <f>(Q31+R31+S31)</f>
        <v>0</v>
      </c>
      <c r="AB31" s="282">
        <f>(T31+U31+V31)</f>
        <v>0</v>
      </c>
      <c r="AC31" s="282">
        <f>(W31+X31+Y31)</f>
        <v>0</v>
      </c>
      <c r="AD31" s="270">
        <f t="shared" si="20"/>
        <v>0</v>
      </c>
      <c r="AE31" s="90"/>
      <c r="AF31" s="90"/>
      <c r="AG31" s="90"/>
      <c r="AH31" s="90"/>
    </row>
    <row r="32" spans="1:34">
      <c r="A32" s="8" t="s">
        <v>14</v>
      </c>
      <c r="B32" s="16"/>
      <c r="C32" s="17">
        <f>+C28+C31+C29</f>
        <v>61230.836000000003</v>
      </c>
      <c r="D32" s="17">
        <f>+D28+D31+D29</f>
        <v>61547.229000000007</v>
      </c>
      <c r="E32" s="17">
        <f>+E28+E31+E29</f>
        <v>87082.222999999998</v>
      </c>
      <c r="F32" s="18">
        <f>IF(ISERROR(E32/D32-1),0,(E32/D32-1))</f>
        <v>0.41488454338049863</v>
      </c>
      <c r="G32" s="17">
        <f>+G28+G31+G29</f>
        <v>59635.292000000001</v>
      </c>
      <c r="H32" s="17">
        <f>+H28+H31</f>
        <v>0</v>
      </c>
      <c r="I32" s="17">
        <f>+I28+I31+I29</f>
        <v>59635.292000000001</v>
      </c>
      <c r="J32" s="18">
        <f t="shared" si="18"/>
        <v>-0.31518408757204097</v>
      </c>
      <c r="K32" s="17">
        <f>+K28+K31+K29</f>
        <v>59758</v>
      </c>
      <c r="L32" s="18">
        <f t="shared" si="19"/>
        <v>2.0576406333350228E-3</v>
      </c>
      <c r="M32" s="109"/>
      <c r="N32" s="17">
        <f t="shared" ref="N32:AD32" si="43">+N28+N31+N29</f>
        <v>2514</v>
      </c>
      <c r="O32" s="17">
        <f t="shared" si="43"/>
        <v>4238</v>
      </c>
      <c r="P32" s="17">
        <f t="shared" si="43"/>
        <v>4147</v>
      </c>
      <c r="Q32" s="17">
        <f t="shared" si="43"/>
        <v>5818</v>
      </c>
      <c r="R32" s="17">
        <f t="shared" si="43"/>
        <v>4589</v>
      </c>
      <c r="S32" s="17">
        <f t="shared" si="43"/>
        <v>6238</v>
      </c>
      <c r="T32" s="17">
        <f t="shared" si="43"/>
        <v>4974</v>
      </c>
      <c r="U32" s="17">
        <f t="shared" si="43"/>
        <v>6034</v>
      </c>
      <c r="V32" s="17">
        <f t="shared" si="43"/>
        <v>5442</v>
      </c>
      <c r="W32" s="17">
        <f t="shared" si="43"/>
        <v>5137</v>
      </c>
      <c r="X32" s="17">
        <f t="shared" si="43"/>
        <v>6350</v>
      </c>
      <c r="Y32" s="17">
        <f t="shared" si="43"/>
        <v>4277</v>
      </c>
      <c r="Z32" s="269">
        <f t="shared" si="43"/>
        <v>10899</v>
      </c>
      <c r="AA32" s="269">
        <f t="shared" si="43"/>
        <v>16645</v>
      </c>
      <c r="AB32" s="269">
        <f t="shared" si="43"/>
        <v>16450</v>
      </c>
      <c r="AC32" s="269">
        <f t="shared" si="43"/>
        <v>15764</v>
      </c>
      <c r="AD32" s="269">
        <f t="shared" si="43"/>
        <v>59758</v>
      </c>
      <c r="AE32" s="62"/>
      <c r="AF32" s="62"/>
      <c r="AG32" s="62"/>
      <c r="AH32" s="62"/>
    </row>
    <row r="33" spans="1:34">
      <c r="A33" s="9" t="s">
        <v>9</v>
      </c>
      <c r="B33" s="7"/>
      <c r="C33" s="19">
        <f>C24+C32</f>
        <v>133749.372</v>
      </c>
      <c r="D33" s="19">
        <f>D24+D32</f>
        <v>120787.37807999997</v>
      </c>
      <c r="E33" s="19">
        <f>E24+E32</f>
        <v>162013.90189735999</v>
      </c>
      <c r="F33" s="10">
        <f>IF(ISERROR(E33/D33-1),0,(E33/D33-1))</f>
        <v>0.34131483332683032</v>
      </c>
      <c r="G33" s="19">
        <f>G24+G32</f>
        <v>110739.11192772001</v>
      </c>
      <c r="H33" s="19">
        <f>H24+H32</f>
        <v>0</v>
      </c>
      <c r="I33" s="19">
        <f>I24+I32</f>
        <v>110736.31192772</v>
      </c>
      <c r="J33" s="10">
        <f t="shared" si="18"/>
        <v>-0.31650117285691737</v>
      </c>
      <c r="K33" s="19">
        <f>K24+K32</f>
        <v>154332</v>
      </c>
      <c r="L33" s="10"/>
      <c r="M33" s="94"/>
      <c r="N33" s="19">
        <f t="shared" ref="N33:AD33" si="44">N24+N32</f>
        <v>9996</v>
      </c>
      <c r="O33" s="19">
        <f t="shared" si="44"/>
        <v>12052</v>
      </c>
      <c r="P33" s="19">
        <f t="shared" si="44"/>
        <v>12035</v>
      </c>
      <c r="Q33" s="19">
        <f t="shared" si="44"/>
        <v>13725</v>
      </c>
      <c r="R33" s="19">
        <f t="shared" si="44"/>
        <v>12478</v>
      </c>
      <c r="S33" s="19">
        <f t="shared" si="44"/>
        <v>14151</v>
      </c>
      <c r="T33" s="19">
        <f t="shared" si="44"/>
        <v>13111</v>
      </c>
      <c r="U33" s="19">
        <f t="shared" si="44"/>
        <v>14068</v>
      </c>
      <c r="V33" s="19">
        <f t="shared" si="44"/>
        <v>13634</v>
      </c>
      <c r="W33" s="19">
        <f t="shared" si="44"/>
        <v>13094</v>
      </c>
      <c r="X33" s="19">
        <f t="shared" si="44"/>
        <v>14283</v>
      </c>
      <c r="Y33" s="19">
        <f t="shared" si="44"/>
        <v>11705</v>
      </c>
      <c r="Z33" s="19">
        <f t="shared" si="44"/>
        <v>34083</v>
      </c>
      <c r="AA33" s="19">
        <f t="shared" si="44"/>
        <v>40354</v>
      </c>
      <c r="AB33" s="19">
        <f t="shared" si="44"/>
        <v>40813</v>
      </c>
      <c r="AC33" s="19">
        <f t="shared" si="44"/>
        <v>39082</v>
      </c>
      <c r="AD33" s="19">
        <f t="shared" si="44"/>
        <v>154332</v>
      </c>
      <c r="AE33" s="62"/>
      <c r="AF33" s="62"/>
      <c r="AG33" s="62"/>
      <c r="AH33" s="62"/>
    </row>
    <row r="34" spans="1:34">
      <c r="A34" s="72"/>
      <c r="B34" s="73"/>
      <c r="C34" s="74"/>
      <c r="D34" s="74"/>
      <c r="E34" s="74">
        <f>E33-E14</f>
        <v>0</v>
      </c>
      <c r="F34" s="75"/>
      <c r="G34" s="74"/>
      <c r="H34" s="74"/>
      <c r="I34" s="74"/>
      <c r="J34" s="75"/>
      <c r="K34" s="76"/>
      <c r="L34" s="74"/>
      <c r="M34" s="77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62"/>
      <c r="AA34" s="62"/>
      <c r="AB34" s="62"/>
      <c r="AC34" s="62"/>
      <c r="AD34" s="62"/>
      <c r="AE34" s="62"/>
      <c r="AF34" s="62"/>
      <c r="AG34" s="62"/>
      <c r="AH34" s="62"/>
    </row>
    <row r="35" spans="1:34" s="11" customFormat="1">
      <c r="A35" s="93" t="s">
        <v>27</v>
      </c>
      <c r="B35" s="93"/>
      <c r="C35" s="130"/>
      <c r="D35" s="130"/>
      <c r="E35" s="130"/>
      <c r="F35" s="80"/>
      <c r="G35" s="79"/>
      <c r="H35" s="79"/>
      <c r="I35" s="79"/>
      <c r="J35" s="80"/>
      <c r="K35" s="67"/>
      <c r="L35" s="79"/>
      <c r="M35" s="81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61"/>
      <c r="AA35" s="61"/>
      <c r="AB35" s="61"/>
      <c r="AC35" s="61"/>
      <c r="AD35" s="61"/>
      <c r="AE35" s="61"/>
      <c r="AF35" s="61"/>
      <c r="AG35" s="61"/>
      <c r="AH35" s="61"/>
    </row>
    <row r="36" spans="1:34" s="91" customFormat="1">
      <c r="A36" s="535" t="s">
        <v>5</v>
      </c>
      <c r="B36" s="84" t="s">
        <v>12</v>
      </c>
      <c r="C36" s="106">
        <v>13165.781000000001</v>
      </c>
      <c r="D36" s="106">
        <v>14183.205000000002</v>
      </c>
      <c r="E36" s="106">
        <v>11164.863000000001</v>
      </c>
      <c r="F36" s="107">
        <f t="shared" ref="F36:F67" si="45">IF(ISERROR(E36/D36-1),0,(E36/D36-1))</f>
        <v>-0.21281099723228991</v>
      </c>
      <c r="G36" s="106">
        <v>6987.1619999999994</v>
      </c>
      <c r="H36" s="127"/>
      <c r="I36" s="106">
        <f t="shared" ref="I36:I62" si="46">G36+H36</f>
        <v>6987.1619999999994</v>
      </c>
      <c r="J36" s="107">
        <f t="shared" ref="J36:J67" si="47">IF(ISERROR(I36/E36-1),0,(I36/E36-1))</f>
        <v>-0.37418291653018954</v>
      </c>
      <c r="K36" s="124">
        <f>SUM(N36:Y36)</f>
        <v>13615</v>
      </c>
      <c r="L36" s="107">
        <f t="shared" ref="L36:L66" si="48">IF(ISERROR(K36/I36-1),0,(K36/I36-1))</f>
        <v>0.94857368413670695</v>
      </c>
      <c r="M36" s="108"/>
      <c r="N36" s="106">
        <f>'North America'!D24</f>
        <v>360</v>
      </c>
      <c r="O36" s="106">
        <f>'North America'!H24</f>
        <v>1580</v>
      </c>
      <c r="P36" s="106">
        <f>'North America'!L24</f>
        <v>756</v>
      </c>
      <c r="Q36" s="106">
        <f>'North America'!P24</f>
        <v>1798</v>
      </c>
      <c r="R36" s="106">
        <f>'North America'!T24</f>
        <v>780</v>
      </c>
      <c r="S36" s="106">
        <f>'North America'!X24</f>
        <v>1838</v>
      </c>
      <c r="T36" s="106">
        <f>'North America'!AB24</f>
        <v>738</v>
      </c>
      <c r="U36" s="106">
        <f>'North America'!AF24</f>
        <v>1758</v>
      </c>
      <c r="V36" s="106">
        <f>'North America'!AJ24</f>
        <v>758</v>
      </c>
      <c r="W36" s="106">
        <f>'North America'!AN24</f>
        <v>798</v>
      </c>
      <c r="X36" s="106">
        <f>'North America'!AR24</f>
        <v>1718</v>
      </c>
      <c r="Y36" s="106">
        <f>'North America'!AV24</f>
        <v>733</v>
      </c>
      <c r="Z36" s="282">
        <f>(N36+O36+P36)</f>
        <v>2696</v>
      </c>
      <c r="AA36" s="282">
        <f>(Q36+R36+S36)</f>
        <v>4416</v>
      </c>
      <c r="AB36" s="282">
        <f>(T36+U36+V36)</f>
        <v>3254</v>
      </c>
      <c r="AC36" s="282">
        <f>(W36+X36+Y36)</f>
        <v>3249</v>
      </c>
      <c r="AD36" s="270">
        <f>+SUM(Z36:AC36)</f>
        <v>13615</v>
      </c>
      <c r="AE36" s="90"/>
      <c r="AF36" s="90"/>
      <c r="AG36" s="90"/>
      <c r="AH36" s="90"/>
    </row>
    <row r="37" spans="1:34" s="91" customFormat="1">
      <c r="A37" s="536"/>
      <c r="B37" s="84" t="s">
        <v>4</v>
      </c>
      <c r="C37" s="106">
        <v>4908.46</v>
      </c>
      <c r="D37" s="106">
        <v>766.97</v>
      </c>
      <c r="E37" s="106">
        <v>1518.5200000000002</v>
      </c>
      <c r="F37" s="107">
        <f t="shared" si="45"/>
        <v>0.97989491114385197</v>
      </c>
      <c r="G37" s="106">
        <v>1348.65</v>
      </c>
      <c r="H37" s="127"/>
      <c r="I37" s="106">
        <f t="shared" si="46"/>
        <v>1348.65</v>
      </c>
      <c r="J37" s="107">
        <f t="shared" si="47"/>
        <v>-0.11186550061902389</v>
      </c>
      <c r="K37" s="124">
        <f>SUM(N37:Y37)</f>
        <v>2760</v>
      </c>
      <c r="L37" s="107">
        <f t="shared" si="48"/>
        <v>1.0464909353798242</v>
      </c>
      <c r="M37" s="108"/>
      <c r="N37" s="106">
        <f>'North America'!D54</f>
        <v>0</v>
      </c>
      <c r="O37" s="106">
        <f>'North America'!H54</f>
        <v>15</v>
      </c>
      <c r="P37" s="106">
        <f>'North America'!L54</f>
        <v>255</v>
      </c>
      <c r="Q37" s="106">
        <f>'North America'!P54</f>
        <v>235</v>
      </c>
      <c r="R37" s="106">
        <f>'North America'!T54</f>
        <v>220</v>
      </c>
      <c r="S37" s="106">
        <f>'North America'!X54</f>
        <v>285</v>
      </c>
      <c r="T37" s="106">
        <f>'North America'!AB54</f>
        <v>235</v>
      </c>
      <c r="U37" s="106">
        <f>'North America'!AF54</f>
        <v>270</v>
      </c>
      <c r="V37" s="106">
        <f>'North America'!AJ54</f>
        <v>350</v>
      </c>
      <c r="W37" s="106">
        <f>'North America'!AN54</f>
        <v>290</v>
      </c>
      <c r="X37" s="106">
        <f>'North America'!AR54</f>
        <v>315</v>
      </c>
      <c r="Y37" s="106">
        <f>'North America'!AV54</f>
        <v>290</v>
      </c>
      <c r="Z37" s="282">
        <f>(N37+O37+P37)</f>
        <v>270</v>
      </c>
      <c r="AA37" s="282">
        <f>(Q37+R37+S37)</f>
        <v>740</v>
      </c>
      <c r="AB37" s="282">
        <f>(T37+U37+V37)</f>
        <v>855</v>
      </c>
      <c r="AC37" s="282">
        <f>(W37+X37+Y37)</f>
        <v>895</v>
      </c>
      <c r="AD37" s="270">
        <f t="shared" ref="AD37:AD66" si="49">+SUM(Z37:AC37)</f>
        <v>2760</v>
      </c>
      <c r="AE37" s="90"/>
      <c r="AF37" s="90"/>
      <c r="AG37" s="90"/>
      <c r="AH37" s="90"/>
    </row>
    <row r="38" spans="1:34" s="91" customFormat="1">
      <c r="A38" s="536"/>
      <c r="B38" s="84" t="s">
        <v>0</v>
      </c>
      <c r="C38" s="106">
        <v>324</v>
      </c>
      <c r="D38" s="106">
        <v>297.5</v>
      </c>
      <c r="E38" s="106">
        <v>893.6</v>
      </c>
      <c r="F38" s="107">
        <f t="shared" si="45"/>
        <v>2.0036974789915969</v>
      </c>
      <c r="G38" s="106">
        <v>893.6</v>
      </c>
      <c r="H38" s="127"/>
      <c r="I38" s="106">
        <f t="shared" si="46"/>
        <v>893.6</v>
      </c>
      <c r="J38" s="107">
        <f t="shared" si="47"/>
        <v>0</v>
      </c>
      <c r="K38" s="124">
        <f>SUM(N38:Y38)</f>
        <v>0</v>
      </c>
      <c r="L38" s="107">
        <f t="shared" si="48"/>
        <v>-1</v>
      </c>
      <c r="M38" s="108"/>
      <c r="N38" s="106">
        <f>'North America'!D61</f>
        <v>0</v>
      </c>
      <c r="O38" s="106">
        <f>'North America'!H61</f>
        <v>0</v>
      </c>
      <c r="P38" s="106">
        <f>'North America'!L61</f>
        <v>0</v>
      </c>
      <c r="Q38" s="106">
        <f>'North America'!P61</f>
        <v>0</v>
      </c>
      <c r="R38" s="106">
        <f>'North America'!T61</f>
        <v>0</v>
      </c>
      <c r="S38" s="106">
        <f>'North America'!X61</f>
        <v>0</v>
      </c>
      <c r="T38" s="106">
        <f>'North America'!AB61</f>
        <v>0</v>
      </c>
      <c r="U38" s="106">
        <f>'North America'!AF61</f>
        <v>0</v>
      </c>
      <c r="V38" s="106">
        <f>'North America'!AJ61</f>
        <v>0</v>
      </c>
      <c r="W38" s="106">
        <f>'North America'!AN61</f>
        <v>0</v>
      </c>
      <c r="X38" s="106">
        <f>'North America'!AR61</f>
        <v>0</v>
      </c>
      <c r="Y38" s="106">
        <f>'North America'!AV61</f>
        <v>0</v>
      </c>
      <c r="Z38" s="282">
        <f>(N38+O38+P38)</f>
        <v>0</v>
      </c>
      <c r="AA38" s="282">
        <f>(Q38+R38+S38)</f>
        <v>0</v>
      </c>
      <c r="AB38" s="282">
        <f>(T38+U38+V38)</f>
        <v>0</v>
      </c>
      <c r="AC38" s="282">
        <f>(W38+X38+Y38)</f>
        <v>0</v>
      </c>
      <c r="AD38" s="270">
        <f t="shared" si="49"/>
        <v>0</v>
      </c>
      <c r="AE38" s="90"/>
      <c r="AF38" s="90"/>
      <c r="AG38" s="90"/>
      <c r="AH38" s="90"/>
    </row>
    <row r="39" spans="1:34" s="91" customFormat="1">
      <c r="A39" s="536"/>
      <c r="B39" s="142" t="s">
        <v>82</v>
      </c>
      <c r="C39" s="89">
        <f>SUM(C36:C38)</f>
        <v>18398.241000000002</v>
      </c>
      <c r="D39" s="89">
        <f>SUM(D36:D38)</f>
        <v>15247.675000000001</v>
      </c>
      <c r="E39" s="89">
        <f>SUM(E36:E38)</f>
        <v>13576.983000000002</v>
      </c>
      <c r="F39" s="143">
        <f t="shared" si="45"/>
        <v>-0.10957027874741554</v>
      </c>
      <c r="G39" s="89">
        <f>SUM(G36:G38)</f>
        <v>9229.4120000000003</v>
      </c>
      <c r="H39" s="89">
        <f>SUM(H36:H38)</f>
        <v>0</v>
      </c>
      <c r="I39" s="89">
        <f>SUM(I36:I38)</f>
        <v>9229.4120000000003</v>
      </c>
      <c r="J39" s="143">
        <f t="shared" si="47"/>
        <v>-0.32021628074514064</v>
      </c>
      <c r="K39" s="89">
        <f>SUM(K36:K38)</f>
        <v>16375</v>
      </c>
      <c r="L39" s="143">
        <f t="shared" si="48"/>
        <v>0.7742192026967698</v>
      </c>
      <c r="M39" s="108"/>
      <c r="N39" s="89">
        <f t="shared" ref="N39:AD40" si="50">SUM(N36:N38)</f>
        <v>360</v>
      </c>
      <c r="O39" s="89">
        <f t="shared" si="50"/>
        <v>1595</v>
      </c>
      <c r="P39" s="89">
        <f t="shared" si="50"/>
        <v>1011</v>
      </c>
      <c r="Q39" s="89">
        <f t="shared" si="50"/>
        <v>2033</v>
      </c>
      <c r="R39" s="89">
        <f t="shared" si="50"/>
        <v>1000</v>
      </c>
      <c r="S39" s="89">
        <f t="shared" si="50"/>
        <v>2123</v>
      </c>
      <c r="T39" s="89">
        <f t="shared" si="50"/>
        <v>973</v>
      </c>
      <c r="U39" s="89">
        <f t="shared" si="50"/>
        <v>2028</v>
      </c>
      <c r="V39" s="89">
        <f t="shared" si="50"/>
        <v>1108</v>
      </c>
      <c r="W39" s="89">
        <f t="shared" si="50"/>
        <v>1088</v>
      </c>
      <c r="X39" s="89">
        <f t="shared" si="50"/>
        <v>2033</v>
      </c>
      <c r="Y39" s="89">
        <f t="shared" si="50"/>
        <v>1023</v>
      </c>
      <c r="Z39" s="89">
        <f t="shared" si="50"/>
        <v>2966</v>
      </c>
      <c r="AA39" s="89">
        <f t="shared" si="50"/>
        <v>5156</v>
      </c>
      <c r="AB39" s="89">
        <f t="shared" si="50"/>
        <v>4109</v>
      </c>
      <c r="AC39" s="89">
        <f t="shared" si="50"/>
        <v>4144</v>
      </c>
      <c r="AD39" s="89">
        <f t="shared" si="50"/>
        <v>16375</v>
      </c>
      <c r="AE39" s="90"/>
      <c r="AF39" s="90"/>
      <c r="AG39" s="90"/>
      <c r="AH39" s="90"/>
    </row>
    <row r="40" spans="1:34" s="91" customFormat="1">
      <c r="A40" s="536"/>
      <c r="B40" s="142" t="s">
        <v>104</v>
      </c>
      <c r="C40" s="89"/>
      <c r="D40" s="89"/>
      <c r="E40" s="89"/>
      <c r="F40" s="143"/>
      <c r="G40" s="89"/>
      <c r="H40" s="89"/>
      <c r="I40" s="89"/>
      <c r="J40" s="143"/>
      <c r="K40" s="89"/>
      <c r="L40" s="143"/>
      <c r="M40" s="108"/>
      <c r="N40" s="106">
        <f>'North America'!D65</f>
        <v>0</v>
      </c>
      <c r="O40" s="106" t="e">
        <f>'North America'!#REF!</f>
        <v>#REF!</v>
      </c>
      <c r="P40" s="106" t="e">
        <f>'North America'!#REF!</f>
        <v>#REF!</v>
      </c>
      <c r="Q40" s="106" t="e">
        <f>'North America'!#REF!</f>
        <v>#REF!</v>
      </c>
      <c r="R40" s="106">
        <f>'North America'!H65</f>
        <v>0</v>
      </c>
      <c r="S40" s="106" t="e">
        <f>'North America'!#REF!</f>
        <v>#REF!</v>
      </c>
      <c r="T40" s="106" t="e">
        <f>'North America'!#REF!</f>
        <v>#REF!</v>
      </c>
      <c r="U40" s="106" t="e">
        <f>'North America'!#REF!</f>
        <v>#REF!</v>
      </c>
      <c r="V40" s="106">
        <f>'North America'!L65</f>
        <v>0</v>
      </c>
      <c r="W40" s="106" t="e">
        <f>'North America'!#REF!</f>
        <v>#REF!</v>
      </c>
      <c r="X40" s="106" t="e">
        <f>'North America'!#REF!</f>
        <v>#REF!</v>
      </c>
      <c r="Y40" s="106" t="e">
        <f>'North America'!#REF!</f>
        <v>#REF!</v>
      </c>
      <c r="Z40" s="89">
        <f t="shared" si="50"/>
        <v>3236</v>
      </c>
      <c r="AA40" s="89">
        <f t="shared" si="50"/>
        <v>5896</v>
      </c>
      <c r="AB40" s="89">
        <f t="shared" si="50"/>
        <v>4964</v>
      </c>
      <c r="AC40" s="89">
        <f t="shared" si="50"/>
        <v>5039</v>
      </c>
      <c r="AD40" s="270">
        <f t="shared" si="49"/>
        <v>19135</v>
      </c>
      <c r="AE40" s="90"/>
      <c r="AF40" s="90"/>
      <c r="AG40" s="90"/>
      <c r="AH40" s="90"/>
    </row>
    <row r="41" spans="1:34" s="91" customFormat="1">
      <c r="A41" s="536"/>
      <c r="B41" s="142" t="s">
        <v>97</v>
      </c>
      <c r="C41" s="89"/>
      <c r="D41" s="89"/>
      <c r="E41" s="89"/>
      <c r="F41" s="143"/>
      <c r="G41" s="89"/>
      <c r="H41" s="89"/>
      <c r="I41" s="89"/>
      <c r="J41" s="143"/>
      <c r="K41" s="89">
        <f>SUM(N41:Y41)</f>
        <v>0</v>
      </c>
      <c r="L41" s="143">
        <f t="shared" ref="L41" si="51">IF(ISERROR(K41/I41-1),0,(K41/I41-1))</f>
        <v>0</v>
      </c>
      <c r="M41" s="108"/>
      <c r="N41" s="106">
        <f>'North America'!D79</f>
        <v>0</v>
      </c>
      <c r="O41" s="106">
        <f>'North America'!H79</f>
        <v>0</v>
      </c>
      <c r="P41" s="106">
        <f>'North America'!L79</f>
        <v>0</v>
      </c>
      <c r="Q41" s="106">
        <f>'North America'!P79</f>
        <v>0</v>
      </c>
      <c r="R41" s="106">
        <f>'North America'!T79</f>
        <v>0</v>
      </c>
      <c r="S41" s="106">
        <f>'North America'!X79</f>
        <v>0</v>
      </c>
      <c r="T41" s="106">
        <f>'North America'!AB79</f>
        <v>0</v>
      </c>
      <c r="U41" s="106">
        <f>'North America'!AF79</f>
        <v>0</v>
      </c>
      <c r="V41" s="106">
        <f>'North America'!AJ79</f>
        <v>0</v>
      </c>
      <c r="W41" s="106">
        <f>'North America'!AN79</f>
        <v>0</v>
      </c>
      <c r="X41" s="106">
        <f>'North America'!AR79</f>
        <v>0</v>
      </c>
      <c r="Y41" s="106">
        <f>'North America'!AV79</f>
        <v>0</v>
      </c>
      <c r="Z41" s="89">
        <f>(N41+O41+P41)</f>
        <v>0</v>
      </c>
      <c r="AA41" s="89">
        <f>(Q41+R41+S41)</f>
        <v>0</v>
      </c>
      <c r="AB41" s="89">
        <f>(T41+U41+V41)</f>
        <v>0</v>
      </c>
      <c r="AC41" s="89">
        <f>(W41+X41+Y41)</f>
        <v>0</v>
      </c>
      <c r="AD41" s="270">
        <f t="shared" ref="AD41" si="52">+SUM(Z41:AC41)</f>
        <v>0</v>
      </c>
      <c r="AE41" s="90"/>
      <c r="AF41" s="90"/>
      <c r="AG41" s="90"/>
      <c r="AH41" s="90"/>
    </row>
    <row r="42" spans="1:34" s="91" customFormat="1">
      <c r="A42" s="537"/>
      <c r="B42" s="84" t="s">
        <v>81</v>
      </c>
      <c r="C42" s="106"/>
      <c r="D42" s="106"/>
      <c r="E42" s="106"/>
      <c r="F42" s="107">
        <f t="shared" si="45"/>
        <v>0</v>
      </c>
      <c r="G42" s="106"/>
      <c r="H42" s="127"/>
      <c r="I42" s="106">
        <f>G42+H42</f>
        <v>0</v>
      </c>
      <c r="J42" s="107">
        <f t="shared" si="47"/>
        <v>0</v>
      </c>
      <c r="K42" s="124">
        <f>SUM(N42:Y42)</f>
        <v>0</v>
      </c>
      <c r="L42" s="107">
        <f t="shared" si="48"/>
        <v>0</v>
      </c>
      <c r="M42" s="108"/>
      <c r="N42" s="106">
        <f>'North America'!D69</f>
        <v>0</v>
      </c>
      <c r="O42" s="106">
        <f>'North America'!H69</f>
        <v>0</v>
      </c>
      <c r="P42" s="106">
        <f>'North America'!L69</f>
        <v>0</v>
      </c>
      <c r="Q42" s="106">
        <f>'North America'!P69</f>
        <v>0</v>
      </c>
      <c r="R42" s="106">
        <f>'North America'!T69</f>
        <v>0</v>
      </c>
      <c r="S42" s="106">
        <f>'North America'!X69</f>
        <v>0</v>
      </c>
      <c r="T42" s="106">
        <f>'North America'!AB69</f>
        <v>0</v>
      </c>
      <c r="U42" s="106">
        <f>'North America'!AF69</f>
        <v>0</v>
      </c>
      <c r="V42" s="106">
        <f>'North America'!AJ69</f>
        <v>0</v>
      </c>
      <c r="W42" s="106">
        <f>'North America'!AN69</f>
        <v>0</v>
      </c>
      <c r="X42" s="106">
        <f>'North America'!AR69</f>
        <v>0</v>
      </c>
      <c r="Y42" s="106">
        <f>'North America'!AV69</f>
        <v>0</v>
      </c>
      <c r="Z42" s="282">
        <f>(N42+O42+P42)</f>
        <v>0</v>
      </c>
      <c r="AA42" s="282">
        <f>(Q42+R42+S42)</f>
        <v>0</v>
      </c>
      <c r="AB42" s="282">
        <f>(T42+U42+V42)</f>
        <v>0</v>
      </c>
      <c r="AC42" s="282">
        <f>(W42+X42+Y42)</f>
        <v>0</v>
      </c>
      <c r="AD42" s="270">
        <f t="shared" si="49"/>
        <v>0</v>
      </c>
      <c r="AE42" s="90"/>
      <c r="AF42" s="90"/>
      <c r="AG42" s="90"/>
      <c r="AH42" s="90"/>
    </row>
    <row r="43" spans="1:34">
      <c r="A43" s="8" t="s">
        <v>23</v>
      </c>
      <c r="B43" s="30"/>
      <c r="C43" s="89">
        <f>+C39+C42</f>
        <v>18398.241000000002</v>
      </c>
      <c r="D43" s="89">
        <f>+D39+D42</f>
        <v>15247.675000000001</v>
      </c>
      <c r="E43" s="89">
        <f>+E39+E42</f>
        <v>13576.983000000002</v>
      </c>
      <c r="F43" s="18">
        <f t="shared" si="45"/>
        <v>-0.10957027874741554</v>
      </c>
      <c r="G43" s="89">
        <f>+G39+G42</f>
        <v>9229.4120000000003</v>
      </c>
      <c r="H43" s="89">
        <f>+H39+H42</f>
        <v>0</v>
      </c>
      <c r="I43" s="17">
        <f>+I39+I42</f>
        <v>9229.4120000000003</v>
      </c>
      <c r="J43" s="18">
        <f t="shared" si="47"/>
        <v>-0.32021628074514064</v>
      </c>
      <c r="K43" s="89">
        <f>+K39+K42</f>
        <v>16375</v>
      </c>
      <c r="L43" s="18">
        <f t="shared" si="48"/>
        <v>0.7742192026967698</v>
      </c>
      <c r="M43" s="109"/>
      <c r="N43" s="17">
        <f t="shared" ref="N43:AD43" si="53">+N39+N42</f>
        <v>360</v>
      </c>
      <c r="O43" s="17">
        <f t="shared" si="53"/>
        <v>1595</v>
      </c>
      <c r="P43" s="17">
        <f t="shared" si="53"/>
        <v>1011</v>
      </c>
      <c r="Q43" s="17">
        <f t="shared" si="53"/>
        <v>2033</v>
      </c>
      <c r="R43" s="17">
        <f t="shared" si="53"/>
        <v>1000</v>
      </c>
      <c r="S43" s="17">
        <f t="shared" si="53"/>
        <v>2123</v>
      </c>
      <c r="T43" s="17">
        <f t="shared" si="53"/>
        <v>973</v>
      </c>
      <c r="U43" s="17">
        <f t="shared" si="53"/>
        <v>2028</v>
      </c>
      <c r="V43" s="17">
        <f t="shared" si="53"/>
        <v>1108</v>
      </c>
      <c r="W43" s="17">
        <f t="shared" si="53"/>
        <v>1088</v>
      </c>
      <c r="X43" s="17">
        <f t="shared" si="53"/>
        <v>2033</v>
      </c>
      <c r="Y43" s="17">
        <f t="shared" si="53"/>
        <v>1023</v>
      </c>
      <c r="Z43" s="17">
        <f t="shared" si="53"/>
        <v>2966</v>
      </c>
      <c r="AA43" s="17">
        <f t="shared" si="53"/>
        <v>5156</v>
      </c>
      <c r="AB43" s="17">
        <f t="shared" si="53"/>
        <v>4109</v>
      </c>
      <c r="AC43" s="17">
        <f t="shared" si="53"/>
        <v>4144</v>
      </c>
      <c r="AD43" s="17">
        <f t="shared" si="53"/>
        <v>16375</v>
      </c>
      <c r="AE43" s="62"/>
      <c r="AF43" s="62"/>
      <c r="AG43" s="62"/>
      <c r="AH43" s="62"/>
    </row>
    <row r="44" spans="1:34" s="91" customFormat="1">
      <c r="A44" s="535" t="s">
        <v>6</v>
      </c>
      <c r="B44" s="84" t="s">
        <v>12</v>
      </c>
      <c r="C44" s="106">
        <v>5625.6999999999989</v>
      </c>
      <c r="D44" s="106">
        <v>10769.995000000001</v>
      </c>
      <c r="E44" s="106">
        <v>12805.170000000002</v>
      </c>
      <c r="F44" s="107">
        <f t="shared" si="45"/>
        <v>0.18896712579718011</v>
      </c>
      <c r="G44" s="106">
        <v>10642.04</v>
      </c>
      <c r="H44" s="127"/>
      <c r="I44" s="106">
        <f t="shared" si="46"/>
        <v>10642.04</v>
      </c>
      <c r="J44" s="107">
        <f t="shared" si="47"/>
        <v>-0.16892630086129279</v>
      </c>
      <c r="K44" s="124">
        <f>SUM(N44:Y44)</f>
        <v>5401</v>
      </c>
      <c r="L44" s="107">
        <f t="shared" si="48"/>
        <v>-0.492484523643963</v>
      </c>
      <c r="M44" s="108"/>
      <c r="N44" s="106">
        <f>Europe!D24</f>
        <v>145</v>
      </c>
      <c r="O44" s="106">
        <f>Europe!H24</f>
        <v>150</v>
      </c>
      <c r="P44" s="106">
        <f>Europe!L24</f>
        <v>570</v>
      </c>
      <c r="Q44" s="106">
        <f>Europe!P24</f>
        <v>650</v>
      </c>
      <c r="R44" s="106">
        <f>Europe!T24</f>
        <v>420</v>
      </c>
      <c r="S44" s="106">
        <f>Europe!X24</f>
        <v>550</v>
      </c>
      <c r="T44" s="106">
        <f>Europe!AB24</f>
        <v>565</v>
      </c>
      <c r="U44" s="106">
        <f>Europe!AF24</f>
        <v>465</v>
      </c>
      <c r="V44" s="106">
        <f>Europe!AJ24</f>
        <v>611</v>
      </c>
      <c r="W44" s="106">
        <f>Europe!AN24</f>
        <v>515</v>
      </c>
      <c r="X44" s="106">
        <f>Europe!AR24</f>
        <v>455</v>
      </c>
      <c r="Y44" s="106">
        <f>Europe!AV24</f>
        <v>305</v>
      </c>
      <c r="Z44" s="282">
        <f>(N44+O44+P44)</f>
        <v>865</v>
      </c>
      <c r="AA44" s="282">
        <f>(Q44+R44+S44)</f>
        <v>1620</v>
      </c>
      <c r="AB44" s="282">
        <f>(T44+U44+V44)</f>
        <v>1641</v>
      </c>
      <c r="AC44" s="282">
        <f>(W44+X44+Y44)</f>
        <v>1275</v>
      </c>
      <c r="AD44" s="270">
        <f t="shared" si="49"/>
        <v>5401</v>
      </c>
      <c r="AE44" s="90"/>
      <c r="AF44" s="90"/>
      <c r="AG44" s="90"/>
      <c r="AH44" s="90"/>
    </row>
    <row r="45" spans="1:34" s="91" customFormat="1">
      <c r="A45" s="536"/>
      <c r="B45" s="84" t="s">
        <v>4</v>
      </c>
      <c r="C45" s="106">
        <v>9945.340000000002</v>
      </c>
      <c r="D45" s="106">
        <v>7991.3600000000024</v>
      </c>
      <c r="E45" s="106">
        <v>8769.2699999999986</v>
      </c>
      <c r="F45" s="107">
        <f t="shared" si="45"/>
        <v>9.7343881391902753E-2</v>
      </c>
      <c r="G45" s="106">
        <v>6451.5899999999983</v>
      </c>
      <c r="H45" s="127"/>
      <c r="I45" s="106">
        <f t="shared" si="46"/>
        <v>6451.5899999999983</v>
      </c>
      <c r="J45" s="107">
        <f t="shared" si="47"/>
        <v>-0.2642956597299434</v>
      </c>
      <c r="K45" s="124">
        <f>SUM(N45:Y45)</f>
        <v>8721</v>
      </c>
      <c r="L45" s="107">
        <f t="shared" si="48"/>
        <v>0.3517597987472858</v>
      </c>
      <c r="M45" s="108"/>
      <c r="N45" s="106">
        <f>Europe!D54</f>
        <v>800</v>
      </c>
      <c r="O45" s="106">
        <f>Europe!H54</f>
        <v>660</v>
      </c>
      <c r="P45" s="106">
        <f>Europe!L54</f>
        <v>653</v>
      </c>
      <c r="Q45" s="106">
        <f>Europe!P54</f>
        <v>780</v>
      </c>
      <c r="R45" s="106">
        <f>Europe!T54</f>
        <v>772</v>
      </c>
      <c r="S45" s="106">
        <f>Europe!X54</f>
        <v>740</v>
      </c>
      <c r="T45" s="106">
        <f>Europe!AB54</f>
        <v>680</v>
      </c>
      <c r="U45" s="106">
        <f>Europe!AF54</f>
        <v>680</v>
      </c>
      <c r="V45" s="106">
        <f>Europe!AJ54</f>
        <v>740</v>
      </c>
      <c r="W45" s="106">
        <f>Europe!AN54</f>
        <v>780</v>
      </c>
      <c r="X45" s="106">
        <f>Europe!AR54</f>
        <v>816</v>
      </c>
      <c r="Y45" s="106">
        <f>Europe!AV54</f>
        <v>620</v>
      </c>
      <c r="Z45" s="282">
        <f>(N45+O45+P45)</f>
        <v>2113</v>
      </c>
      <c r="AA45" s="282">
        <f>(Q45+R45+S45)</f>
        <v>2292</v>
      </c>
      <c r="AB45" s="282">
        <f>(T45+U45+V45)</f>
        <v>2100</v>
      </c>
      <c r="AC45" s="282">
        <f>(W45+X45+Y45)</f>
        <v>2216</v>
      </c>
      <c r="AD45" s="270">
        <f t="shared" si="49"/>
        <v>8721</v>
      </c>
      <c r="AE45" s="90"/>
      <c r="AF45" s="90"/>
      <c r="AG45" s="90"/>
      <c r="AH45" s="90"/>
    </row>
    <row r="46" spans="1:34" s="91" customFormat="1">
      <c r="A46" s="536"/>
      <c r="B46" s="84" t="s">
        <v>0</v>
      </c>
      <c r="C46" s="106">
        <v>12900.580000000002</v>
      </c>
      <c r="D46" s="106"/>
      <c r="E46" s="106"/>
      <c r="F46" s="107">
        <f t="shared" si="45"/>
        <v>0</v>
      </c>
      <c r="G46" s="106">
        <v>0</v>
      </c>
      <c r="H46" s="127"/>
      <c r="I46" s="106">
        <f t="shared" si="46"/>
        <v>0</v>
      </c>
      <c r="J46" s="107">
        <f t="shared" si="47"/>
        <v>0</v>
      </c>
      <c r="K46" s="124">
        <f>SUM(N46:Y46)</f>
        <v>0</v>
      </c>
      <c r="L46" s="107">
        <f t="shared" si="48"/>
        <v>0</v>
      </c>
      <c r="M46" s="108"/>
      <c r="N46" s="106">
        <f>Europe!D61</f>
        <v>0</v>
      </c>
      <c r="O46" s="106">
        <f>Europe!H61</f>
        <v>0</v>
      </c>
      <c r="P46" s="106">
        <f>Europe!L61</f>
        <v>0</v>
      </c>
      <c r="Q46" s="106">
        <f>Europe!P61</f>
        <v>0</v>
      </c>
      <c r="R46" s="106">
        <f>Europe!T61</f>
        <v>0</v>
      </c>
      <c r="S46" s="106">
        <f>Europe!X61</f>
        <v>0</v>
      </c>
      <c r="T46" s="106">
        <f>Europe!AB61</f>
        <v>0</v>
      </c>
      <c r="U46" s="106">
        <f>Europe!AF61</f>
        <v>0</v>
      </c>
      <c r="V46" s="106">
        <f>Europe!AJ61</f>
        <v>0</v>
      </c>
      <c r="W46" s="106">
        <f>Europe!AN61</f>
        <v>0</v>
      </c>
      <c r="X46" s="106">
        <f>Europe!AR61</f>
        <v>0</v>
      </c>
      <c r="Y46" s="106">
        <f>Europe!AV61</f>
        <v>0</v>
      </c>
      <c r="Z46" s="282">
        <f>(N46+O46+P46)</f>
        <v>0</v>
      </c>
      <c r="AA46" s="282">
        <f>(Q46+R46+S46)</f>
        <v>0</v>
      </c>
      <c r="AB46" s="282">
        <f>(T46+U46+V46)</f>
        <v>0</v>
      </c>
      <c r="AC46" s="282">
        <f>(W46+X46+Y46)</f>
        <v>0</v>
      </c>
      <c r="AD46" s="270">
        <f t="shared" si="49"/>
        <v>0</v>
      </c>
      <c r="AE46" s="90"/>
      <c r="AF46" s="90"/>
      <c r="AG46" s="90"/>
      <c r="AH46" s="90"/>
    </row>
    <row r="47" spans="1:34" s="91" customFormat="1">
      <c r="A47" s="536"/>
      <c r="B47" s="142" t="s">
        <v>82</v>
      </c>
      <c r="C47" s="89">
        <f>SUM(C44:C46)</f>
        <v>28471.620000000003</v>
      </c>
      <c r="D47" s="89">
        <f>SUM(D44:D46)</f>
        <v>18761.355000000003</v>
      </c>
      <c r="E47" s="89">
        <f>SUM(E44:E46)</f>
        <v>21574.440000000002</v>
      </c>
      <c r="F47" s="143">
        <f t="shared" si="45"/>
        <v>0.14994039609612408</v>
      </c>
      <c r="G47" s="89">
        <f>SUM(G44:G46)</f>
        <v>17093.629999999997</v>
      </c>
      <c r="H47" s="89">
        <f>SUM(H44:H46)</f>
        <v>0</v>
      </c>
      <c r="I47" s="89">
        <f>SUM(I44:I46)</f>
        <v>17093.629999999997</v>
      </c>
      <c r="J47" s="143">
        <f t="shared" si="47"/>
        <v>-0.20769067470580949</v>
      </c>
      <c r="K47" s="89">
        <f>SUM(K44:K46)</f>
        <v>14122</v>
      </c>
      <c r="L47" s="143">
        <f>IF(ISERROR(K47/I47-1),0,(K47/I47-1))</f>
        <v>-0.17384429170398552</v>
      </c>
      <c r="M47" s="108"/>
      <c r="N47" s="89">
        <f t="shared" ref="N47:AD47" si="54">SUM(N44:N46)</f>
        <v>945</v>
      </c>
      <c r="O47" s="89">
        <f t="shared" si="54"/>
        <v>810</v>
      </c>
      <c r="P47" s="89">
        <f t="shared" si="54"/>
        <v>1223</v>
      </c>
      <c r="Q47" s="89">
        <f t="shared" si="54"/>
        <v>1430</v>
      </c>
      <c r="R47" s="89">
        <f t="shared" si="54"/>
        <v>1192</v>
      </c>
      <c r="S47" s="89">
        <f t="shared" si="54"/>
        <v>1290</v>
      </c>
      <c r="T47" s="89">
        <f t="shared" si="54"/>
        <v>1245</v>
      </c>
      <c r="U47" s="89">
        <f t="shared" si="54"/>
        <v>1145</v>
      </c>
      <c r="V47" s="89">
        <f t="shared" si="54"/>
        <v>1351</v>
      </c>
      <c r="W47" s="89">
        <f t="shared" si="54"/>
        <v>1295</v>
      </c>
      <c r="X47" s="89">
        <f t="shared" si="54"/>
        <v>1271</v>
      </c>
      <c r="Y47" s="89">
        <f t="shared" si="54"/>
        <v>925</v>
      </c>
      <c r="Z47" s="89">
        <f t="shared" si="54"/>
        <v>2978</v>
      </c>
      <c r="AA47" s="89">
        <f t="shared" si="54"/>
        <v>3912</v>
      </c>
      <c r="AB47" s="89">
        <f t="shared" si="54"/>
        <v>3741</v>
      </c>
      <c r="AC47" s="89">
        <f t="shared" si="54"/>
        <v>3491</v>
      </c>
      <c r="AD47" s="89">
        <f t="shared" si="54"/>
        <v>14122</v>
      </c>
      <c r="AE47" s="90"/>
      <c r="AF47" s="90"/>
      <c r="AG47" s="90"/>
      <c r="AH47" s="90"/>
    </row>
    <row r="48" spans="1:34" s="91" customFormat="1">
      <c r="A48" s="536"/>
      <c r="B48" s="142" t="s">
        <v>104</v>
      </c>
      <c r="C48" s="89"/>
      <c r="D48" s="89"/>
      <c r="E48" s="89"/>
      <c r="F48" s="143"/>
      <c r="G48" s="89"/>
      <c r="H48" s="89"/>
      <c r="I48" s="89"/>
      <c r="J48" s="143"/>
      <c r="K48" s="89"/>
      <c r="L48" s="143"/>
      <c r="M48" s="108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90"/>
      <c r="AF48" s="90"/>
      <c r="AG48" s="90"/>
      <c r="AH48" s="90"/>
    </row>
    <row r="49" spans="1:34" s="91" customFormat="1">
      <c r="A49" s="536"/>
      <c r="B49" s="142" t="s">
        <v>97</v>
      </c>
      <c r="C49" s="89"/>
      <c r="D49" s="89"/>
      <c r="E49" s="89"/>
      <c r="F49" s="143"/>
      <c r="G49" s="89"/>
      <c r="H49" s="89"/>
      <c r="I49" s="89"/>
      <c r="J49" s="143"/>
      <c r="K49" s="89">
        <f>SUM(N49:Y49)</f>
        <v>0</v>
      </c>
      <c r="L49" s="143">
        <f t="shared" ref="L49" si="55">IF(ISERROR(K49/I49-1),0,(K49/I49-1))</f>
        <v>0</v>
      </c>
      <c r="M49" s="108"/>
      <c r="N49" s="89">
        <f>Europe!D79</f>
        <v>0</v>
      </c>
      <c r="O49" s="89">
        <f>Europe!H79</f>
        <v>0</v>
      </c>
      <c r="P49" s="89">
        <f>Europe!L79</f>
        <v>0</v>
      </c>
      <c r="Q49" s="89">
        <f>Europe!P79</f>
        <v>0</v>
      </c>
      <c r="R49" s="89">
        <f>Europe!T79</f>
        <v>0</v>
      </c>
      <c r="S49" s="89">
        <f>Europe!X79</f>
        <v>0</v>
      </c>
      <c r="T49" s="89">
        <f>Europe!AB79</f>
        <v>0</v>
      </c>
      <c r="U49" s="89">
        <f>Europe!AF79</f>
        <v>0</v>
      </c>
      <c r="V49" s="89">
        <f>Europe!AJ79</f>
        <v>0</v>
      </c>
      <c r="W49" s="89">
        <f>Europe!AN79</f>
        <v>0</v>
      </c>
      <c r="X49" s="89">
        <f>Europe!AR79</f>
        <v>0</v>
      </c>
      <c r="Y49" s="89">
        <f>Europe!AV79</f>
        <v>0</v>
      </c>
      <c r="Z49" s="89">
        <f>(N49+O49+P49)</f>
        <v>0</v>
      </c>
      <c r="AA49" s="89">
        <f>(Q49+R49+S49)</f>
        <v>0</v>
      </c>
      <c r="AB49" s="89">
        <f>(T49+U49+V49)</f>
        <v>0</v>
      </c>
      <c r="AC49" s="89">
        <f>(W49+X49+Y49)</f>
        <v>0</v>
      </c>
      <c r="AD49" s="89">
        <f t="shared" ref="AD49" si="56">+SUM(Z49:AC49)</f>
        <v>0</v>
      </c>
      <c r="AE49" s="90"/>
      <c r="AF49" s="90"/>
      <c r="AG49" s="90"/>
      <c r="AH49" s="90"/>
    </row>
    <row r="50" spans="1:34" s="91" customFormat="1">
      <c r="A50" s="537"/>
      <c r="B50" s="84" t="s">
        <v>81</v>
      </c>
      <c r="C50" s="106">
        <v>0</v>
      </c>
      <c r="D50" s="106">
        <v>0</v>
      </c>
      <c r="E50" s="106">
        <v>0</v>
      </c>
      <c r="F50" s="107">
        <f t="shared" si="45"/>
        <v>0</v>
      </c>
      <c r="G50" s="106"/>
      <c r="H50" s="127"/>
      <c r="I50" s="106">
        <f>G50+H50</f>
        <v>0</v>
      </c>
      <c r="J50" s="107">
        <f t="shared" si="47"/>
        <v>0</v>
      </c>
      <c r="K50" s="124">
        <f>SUM(N50:Y50)</f>
        <v>0</v>
      </c>
      <c r="L50" s="107">
        <f t="shared" si="48"/>
        <v>0</v>
      </c>
      <c r="M50" s="108"/>
      <c r="N50" s="106">
        <f>Europe!D69</f>
        <v>0</v>
      </c>
      <c r="O50" s="106">
        <f>Europe!H69</f>
        <v>0</v>
      </c>
      <c r="P50" s="106">
        <f>Europe!L69</f>
        <v>0</v>
      </c>
      <c r="Q50" s="106">
        <f>Europe!P69</f>
        <v>0</v>
      </c>
      <c r="R50" s="106">
        <f>Europe!T69</f>
        <v>0</v>
      </c>
      <c r="S50" s="106">
        <f>Europe!X69</f>
        <v>0</v>
      </c>
      <c r="T50" s="106">
        <f>Europe!AB69</f>
        <v>0</v>
      </c>
      <c r="U50" s="106">
        <f>Europe!AF69</f>
        <v>0</v>
      </c>
      <c r="V50" s="106">
        <f>Europe!AJ69</f>
        <v>0</v>
      </c>
      <c r="W50" s="106">
        <f>Europe!AN69</f>
        <v>0</v>
      </c>
      <c r="X50" s="106">
        <f>Europe!AR69</f>
        <v>0</v>
      </c>
      <c r="Y50" s="106">
        <f>Europe!AV69</f>
        <v>0</v>
      </c>
      <c r="Z50" s="282">
        <f>(N50+O50+P50)</f>
        <v>0</v>
      </c>
      <c r="AA50" s="282">
        <f>(Q50+R50+S50)</f>
        <v>0</v>
      </c>
      <c r="AB50" s="282">
        <f>(T50+U50+V50)</f>
        <v>0</v>
      </c>
      <c r="AC50" s="282">
        <f>(W50+X50+Y50)</f>
        <v>0</v>
      </c>
      <c r="AD50" s="270">
        <f t="shared" si="49"/>
        <v>0</v>
      </c>
      <c r="AE50" s="90"/>
      <c r="AF50" s="90"/>
      <c r="AG50" s="90"/>
      <c r="AH50" s="90"/>
    </row>
    <row r="51" spans="1:34">
      <c r="A51" s="8" t="s">
        <v>24</v>
      </c>
      <c r="B51" s="30"/>
      <c r="C51" s="89">
        <f>+C47+C50</f>
        <v>28471.620000000003</v>
      </c>
      <c r="D51" s="89">
        <f>+D47+D50</f>
        <v>18761.355000000003</v>
      </c>
      <c r="E51" s="89">
        <f>+E47+E50</f>
        <v>21574.440000000002</v>
      </c>
      <c r="F51" s="18">
        <f t="shared" si="45"/>
        <v>0.14994039609612408</v>
      </c>
      <c r="G51" s="89">
        <f>+G47+G50</f>
        <v>17093.629999999997</v>
      </c>
      <c r="H51" s="89">
        <f>+H47+H50</f>
        <v>0</v>
      </c>
      <c r="I51" s="17">
        <f>+I47+I50</f>
        <v>17093.629999999997</v>
      </c>
      <c r="J51" s="18">
        <f t="shared" si="47"/>
        <v>-0.20769067470580949</v>
      </c>
      <c r="K51" s="89">
        <f>+K47+K50</f>
        <v>14122</v>
      </c>
      <c r="L51" s="18">
        <f>IF(ISERROR(K51/I51-1),0,(K51/I51-1))</f>
        <v>-0.17384429170398552</v>
      </c>
      <c r="M51" s="109"/>
      <c r="N51" s="17">
        <f t="shared" ref="N51:AD51" si="57">+N47+N50</f>
        <v>945</v>
      </c>
      <c r="O51" s="17">
        <f t="shared" si="57"/>
        <v>810</v>
      </c>
      <c r="P51" s="17">
        <f t="shared" si="57"/>
        <v>1223</v>
      </c>
      <c r="Q51" s="17">
        <f t="shared" si="57"/>
        <v>1430</v>
      </c>
      <c r="R51" s="17">
        <f t="shared" si="57"/>
        <v>1192</v>
      </c>
      <c r="S51" s="17">
        <f t="shared" si="57"/>
        <v>1290</v>
      </c>
      <c r="T51" s="17">
        <f t="shared" si="57"/>
        <v>1245</v>
      </c>
      <c r="U51" s="17">
        <f t="shared" si="57"/>
        <v>1145</v>
      </c>
      <c r="V51" s="17">
        <f t="shared" si="57"/>
        <v>1351</v>
      </c>
      <c r="W51" s="17">
        <f t="shared" si="57"/>
        <v>1295</v>
      </c>
      <c r="X51" s="17">
        <f t="shared" si="57"/>
        <v>1271</v>
      </c>
      <c r="Y51" s="17">
        <f t="shared" si="57"/>
        <v>925</v>
      </c>
      <c r="Z51" s="17">
        <f t="shared" si="57"/>
        <v>2978</v>
      </c>
      <c r="AA51" s="17">
        <f t="shared" si="57"/>
        <v>3912</v>
      </c>
      <c r="AB51" s="17">
        <f t="shared" si="57"/>
        <v>3741</v>
      </c>
      <c r="AC51" s="17">
        <f t="shared" si="57"/>
        <v>3491</v>
      </c>
      <c r="AD51" s="17">
        <f t="shared" si="57"/>
        <v>14122</v>
      </c>
      <c r="AE51" s="62"/>
      <c r="AF51" s="62"/>
      <c r="AG51" s="62"/>
      <c r="AH51" s="62"/>
    </row>
    <row r="52" spans="1:34" s="91" customFormat="1">
      <c r="A52" s="535" t="s">
        <v>7</v>
      </c>
      <c r="B52" s="84" t="s">
        <v>12</v>
      </c>
      <c r="C52" s="106">
        <v>2427.58</v>
      </c>
      <c r="D52" s="106">
        <v>5082.5599999999995</v>
      </c>
      <c r="E52" s="106">
        <v>21797.709999999995</v>
      </c>
      <c r="F52" s="107">
        <f t="shared" si="45"/>
        <v>3.2887265472517786</v>
      </c>
      <c r="G52" s="106">
        <v>13024.330000000002</v>
      </c>
      <c r="H52" s="127"/>
      <c r="I52" s="106">
        <f t="shared" si="46"/>
        <v>13024.330000000002</v>
      </c>
      <c r="J52" s="107">
        <f t="shared" si="47"/>
        <v>-0.40249090386100173</v>
      </c>
      <c r="K52" s="124">
        <f>SUM(N52:Y52)</f>
        <v>5460</v>
      </c>
      <c r="L52" s="107">
        <f t="shared" si="48"/>
        <v>-0.58078457778634296</v>
      </c>
      <c r="M52" s="108"/>
      <c r="N52" s="106">
        <f>'Asia-Pacific'!D24</f>
        <v>289</v>
      </c>
      <c r="O52" s="106">
        <f>'Asia-Pacific'!H24</f>
        <v>435</v>
      </c>
      <c r="P52" s="106">
        <f>'Asia-Pacific'!L24</f>
        <v>355</v>
      </c>
      <c r="Q52" s="106">
        <f>'Asia-Pacific'!P24</f>
        <v>345</v>
      </c>
      <c r="R52" s="106">
        <f>'Asia-Pacific'!T24</f>
        <v>395</v>
      </c>
      <c r="S52" s="106">
        <f>'Asia-Pacific'!X24</f>
        <v>475</v>
      </c>
      <c r="T52" s="106">
        <f>'Asia-Pacific'!AB24</f>
        <v>435</v>
      </c>
      <c r="U52" s="106">
        <f>'Asia-Pacific'!AF24</f>
        <v>485</v>
      </c>
      <c r="V52" s="106">
        <f>'Asia-Pacific'!AJ24</f>
        <v>541</v>
      </c>
      <c r="W52" s="106">
        <f>'Asia-Pacific'!AN24</f>
        <v>555</v>
      </c>
      <c r="X52" s="106">
        <f>'Asia-Pacific'!AR24</f>
        <v>565</v>
      </c>
      <c r="Y52" s="106">
        <f>'Asia-Pacific'!AV24</f>
        <v>585</v>
      </c>
      <c r="Z52" s="282">
        <f>(N52+O52+P52)</f>
        <v>1079</v>
      </c>
      <c r="AA52" s="282">
        <f>(Q52+R52+S52)</f>
        <v>1215</v>
      </c>
      <c r="AB52" s="282">
        <f>(T52+U52+V52)</f>
        <v>1461</v>
      </c>
      <c r="AC52" s="282">
        <f>(W52+X52+Y52)</f>
        <v>1705</v>
      </c>
      <c r="AD52" s="270">
        <f t="shared" si="49"/>
        <v>5460</v>
      </c>
      <c r="AE52" s="90"/>
      <c r="AF52" s="90"/>
      <c r="AG52" s="90"/>
      <c r="AH52" s="90"/>
    </row>
    <row r="53" spans="1:34" s="91" customFormat="1">
      <c r="A53" s="536"/>
      <c r="B53" s="84" t="s">
        <v>4</v>
      </c>
      <c r="C53" s="106">
        <v>4891.3900000000003</v>
      </c>
      <c r="D53" s="106">
        <v>4745.66</v>
      </c>
      <c r="E53" s="106">
        <v>7582.4</v>
      </c>
      <c r="F53" s="107">
        <f t="shared" si="45"/>
        <v>0.59775457997412373</v>
      </c>
      <c r="G53" s="106">
        <v>4777.6599999999989</v>
      </c>
      <c r="H53" s="127"/>
      <c r="I53" s="106">
        <f t="shared" si="46"/>
        <v>4777.6599999999989</v>
      </c>
      <c r="J53" s="107">
        <f t="shared" si="47"/>
        <v>-0.36990135049588535</v>
      </c>
      <c r="K53" s="124">
        <f>SUM(N53:Y53)</f>
        <v>6101</v>
      </c>
      <c r="L53" s="107">
        <f t="shared" si="48"/>
        <v>0.27698496753640933</v>
      </c>
      <c r="M53" s="108"/>
      <c r="N53" s="106">
        <f>'Asia-Pacific'!D54</f>
        <v>376</v>
      </c>
      <c r="O53" s="106">
        <f>'Asia-Pacific'!H54</f>
        <v>320</v>
      </c>
      <c r="P53" s="106">
        <f>'Asia-Pacific'!L54</f>
        <v>320</v>
      </c>
      <c r="Q53" s="106">
        <f>'Asia-Pacific'!P54</f>
        <v>375</v>
      </c>
      <c r="R53" s="106">
        <f>'Asia-Pacific'!T54</f>
        <v>320</v>
      </c>
      <c r="S53" s="106">
        <f>'Asia-Pacific'!X54</f>
        <v>540</v>
      </c>
      <c r="T53" s="106">
        <f>'Asia-Pacific'!AB54</f>
        <v>540</v>
      </c>
      <c r="U53" s="106">
        <f>'Asia-Pacific'!AF54</f>
        <v>695</v>
      </c>
      <c r="V53" s="106">
        <f>'Asia-Pacific'!AJ54</f>
        <v>640</v>
      </c>
      <c r="W53" s="106">
        <f>'Asia-Pacific'!AN54</f>
        <v>640</v>
      </c>
      <c r="X53" s="106">
        <f>'Asia-Pacific'!AR54</f>
        <v>640</v>
      </c>
      <c r="Y53" s="106">
        <f>'Asia-Pacific'!AV54</f>
        <v>695</v>
      </c>
      <c r="Z53" s="282">
        <f>(N53+O53+P53)</f>
        <v>1016</v>
      </c>
      <c r="AA53" s="282">
        <f>(Q53+R53+S53)</f>
        <v>1235</v>
      </c>
      <c r="AB53" s="282">
        <f>(T53+U53+V53)</f>
        <v>1875</v>
      </c>
      <c r="AC53" s="282">
        <f>(W53+X53+Y53)</f>
        <v>1975</v>
      </c>
      <c r="AD53" s="270">
        <f t="shared" si="49"/>
        <v>6101</v>
      </c>
      <c r="AE53" s="90"/>
      <c r="AF53" s="90"/>
      <c r="AG53" s="90"/>
      <c r="AH53" s="90"/>
    </row>
    <row r="54" spans="1:34" s="91" customFormat="1">
      <c r="A54" s="536"/>
      <c r="B54" s="84" t="s">
        <v>0</v>
      </c>
      <c r="C54" s="106">
        <v>799.86</v>
      </c>
      <c r="D54" s="106">
        <v>400</v>
      </c>
      <c r="E54" s="106">
        <v>1865.69</v>
      </c>
      <c r="F54" s="107">
        <f t="shared" si="45"/>
        <v>3.6642250000000001</v>
      </c>
      <c r="G54" s="106">
        <v>1220</v>
      </c>
      <c r="H54" s="127"/>
      <c r="I54" s="106">
        <f t="shared" si="46"/>
        <v>1220</v>
      </c>
      <c r="J54" s="107">
        <f t="shared" si="47"/>
        <v>-0.3460864345094844</v>
      </c>
      <c r="K54" s="124">
        <f>SUM(N54:Y54)</f>
        <v>0</v>
      </c>
      <c r="L54" s="107">
        <f t="shared" si="48"/>
        <v>-1</v>
      </c>
      <c r="M54" s="108"/>
      <c r="N54" s="106">
        <f>'Asia-Pacific'!D61</f>
        <v>0</v>
      </c>
      <c r="O54" s="106">
        <f>'Asia-Pacific'!H61</f>
        <v>0</v>
      </c>
      <c r="P54" s="106">
        <f>'Asia-Pacific'!L61</f>
        <v>0</v>
      </c>
      <c r="Q54" s="106">
        <f>'Asia-Pacific'!P61</f>
        <v>0</v>
      </c>
      <c r="R54" s="106">
        <f>'Asia-Pacific'!T61</f>
        <v>0</v>
      </c>
      <c r="S54" s="106">
        <f>'Asia-Pacific'!X61</f>
        <v>0</v>
      </c>
      <c r="T54" s="106">
        <f>'Asia-Pacific'!AB61</f>
        <v>0</v>
      </c>
      <c r="U54" s="106">
        <f>'Asia-Pacific'!AF61</f>
        <v>0</v>
      </c>
      <c r="V54" s="106">
        <f>'Asia-Pacific'!AJ61</f>
        <v>0</v>
      </c>
      <c r="W54" s="106">
        <f>'Asia-Pacific'!AN61</f>
        <v>0</v>
      </c>
      <c r="X54" s="106">
        <f>'Asia-Pacific'!AR61</f>
        <v>0</v>
      </c>
      <c r="Y54" s="106">
        <f>'Asia-Pacific'!AV61</f>
        <v>0</v>
      </c>
      <c r="Z54" s="282">
        <f>(N54+O54+P54)</f>
        <v>0</v>
      </c>
      <c r="AA54" s="282">
        <f>(Q54+R54+S54)</f>
        <v>0</v>
      </c>
      <c r="AB54" s="282">
        <f>(T54+U54+V54)</f>
        <v>0</v>
      </c>
      <c r="AC54" s="282">
        <f>(W54+X54+Y54)</f>
        <v>0</v>
      </c>
      <c r="AD54" s="270">
        <f t="shared" si="49"/>
        <v>0</v>
      </c>
      <c r="AE54" s="90"/>
      <c r="AF54" s="90"/>
      <c r="AG54" s="90"/>
      <c r="AH54" s="90"/>
    </row>
    <row r="55" spans="1:34" s="91" customFormat="1">
      <c r="A55" s="536"/>
      <c r="B55" s="142" t="s">
        <v>82</v>
      </c>
      <c r="C55" s="89">
        <f>SUM(C52:C54)</f>
        <v>8118.83</v>
      </c>
      <c r="D55" s="89">
        <f>SUM(D52:D54)</f>
        <v>10228.219999999999</v>
      </c>
      <c r="E55" s="89">
        <f>SUM(E52:E54)</f>
        <v>31245.799999999992</v>
      </c>
      <c r="F55" s="143">
        <f t="shared" si="45"/>
        <v>2.0548619407873505</v>
      </c>
      <c r="G55" s="89">
        <f>SUM(G52:G54)</f>
        <v>19021.990000000002</v>
      </c>
      <c r="H55" s="89">
        <f>SUM(H52:H54)</f>
        <v>0</v>
      </c>
      <c r="I55" s="89">
        <f>SUM(I52:I54)</f>
        <v>19021.990000000002</v>
      </c>
      <c r="J55" s="143">
        <f t="shared" si="47"/>
        <v>-0.39121449922869611</v>
      </c>
      <c r="K55" s="89">
        <f>SUM(K52:K54)</f>
        <v>11561</v>
      </c>
      <c r="L55" s="143">
        <f t="shared" si="48"/>
        <v>-0.39222972990733362</v>
      </c>
      <c r="M55" s="108"/>
      <c r="N55" s="89">
        <f t="shared" ref="N55:AD55" si="58">SUM(N52:N54)</f>
        <v>665</v>
      </c>
      <c r="O55" s="89">
        <f t="shared" si="58"/>
        <v>755</v>
      </c>
      <c r="P55" s="89">
        <f t="shared" si="58"/>
        <v>675</v>
      </c>
      <c r="Q55" s="89">
        <f t="shared" si="58"/>
        <v>720</v>
      </c>
      <c r="R55" s="89">
        <f t="shared" si="58"/>
        <v>715</v>
      </c>
      <c r="S55" s="89">
        <f t="shared" si="58"/>
        <v>1015</v>
      </c>
      <c r="T55" s="89">
        <f t="shared" si="58"/>
        <v>975</v>
      </c>
      <c r="U55" s="89">
        <f t="shared" si="58"/>
        <v>1180</v>
      </c>
      <c r="V55" s="89">
        <f t="shared" si="58"/>
        <v>1181</v>
      </c>
      <c r="W55" s="89">
        <f t="shared" si="58"/>
        <v>1195</v>
      </c>
      <c r="X55" s="89">
        <f t="shared" si="58"/>
        <v>1205</v>
      </c>
      <c r="Y55" s="89">
        <f t="shared" si="58"/>
        <v>1280</v>
      </c>
      <c r="Z55" s="89">
        <f t="shared" si="58"/>
        <v>2095</v>
      </c>
      <c r="AA55" s="89">
        <f t="shared" si="58"/>
        <v>2450</v>
      </c>
      <c r="AB55" s="89">
        <f t="shared" si="58"/>
        <v>3336</v>
      </c>
      <c r="AC55" s="89">
        <f t="shared" si="58"/>
        <v>3680</v>
      </c>
      <c r="AD55" s="89">
        <f t="shared" si="58"/>
        <v>11561</v>
      </c>
      <c r="AE55" s="90"/>
      <c r="AF55" s="90"/>
      <c r="AG55" s="90"/>
      <c r="AH55" s="90"/>
    </row>
    <row r="56" spans="1:34" s="91" customFormat="1">
      <c r="A56" s="536"/>
      <c r="B56" s="142" t="s">
        <v>104</v>
      </c>
      <c r="C56" s="89"/>
      <c r="D56" s="89"/>
      <c r="E56" s="89"/>
      <c r="F56" s="143"/>
      <c r="G56" s="89"/>
      <c r="H56" s="89"/>
      <c r="I56" s="89"/>
      <c r="J56" s="143"/>
      <c r="K56" s="89"/>
      <c r="L56" s="143"/>
      <c r="M56" s="108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  <c r="AB56" s="89"/>
      <c r="AC56" s="89"/>
      <c r="AD56" s="89"/>
      <c r="AE56" s="90"/>
      <c r="AF56" s="90"/>
      <c r="AG56" s="90"/>
      <c r="AH56" s="90"/>
    </row>
    <row r="57" spans="1:34" s="91" customFormat="1">
      <c r="A57" s="536"/>
      <c r="B57" s="142" t="s">
        <v>97</v>
      </c>
      <c r="C57" s="89"/>
      <c r="D57" s="89"/>
      <c r="E57" s="89"/>
      <c r="F57" s="143"/>
      <c r="G57" s="89"/>
      <c r="H57" s="89"/>
      <c r="I57" s="89">
        <f t="shared" ref="I57" si="59">G57+H57</f>
        <v>0</v>
      </c>
      <c r="J57" s="143">
        <f t="shared" ref="J57" si="60">IF(ISERROR(I57/E57-1),0,(I57/E57-1))</f>
        <v>0</v>
      </c>
      <c r="K57" s="89">
        <f>SUM(N57:Y57)</f>
        <v>250</v>
      </c>
      <c r="L57" s="143">
        <f t="shared" ref="L57" si="61">IF(ISERROR(K57/I57-1),0,(K57/I57-1))</f>
        <v>0</v>
      </c>
      <c r="M57" s="108"/>
      <c r="N57" s="89">
        <f>'Asia-Pacific'!D79</f>
        <v>250</v>
      </c>
      <c r="O57" s="89">
        <f>'Asia-Pacific'!H79</f>
        <v>0</v>
      </c>
      <c r="P57" s="89">
        <f>'Asia-Pacific'!L79</f>
        <v>0</v>
      </c>
      <c r="Q57" s="89">
        <f>'Asia-Pacific'!P79</f>
        <v>0</v>
      </c>
      <c r="R57" s="89">
        <f>'Asia-Pacific'!T79</f>
        <v>0</v>
      </c>
      <c r="S57" s="89">
        <f>'Asia-Pacific'!X79</f>
        <v>0</v>
      </c>
      <c r="T57" s="89">
        <f>'Asia-Pacific'!AB79</f>
        <v>0</v>
      </c>
      <c r="U57" s="89">
        <f>'Asia-Pacific'!AF79</f>
        <v>0</v>
      </c>
      <c r="V57" s="89">
        <f>'Asia-Pacific'!AJ79</f>
        <v>0</v>
      </c>
      <c r="W57" s="89">
        <f>'Asia-Pacific'!AN79</f>
        <v>0</v>
      </c>
      <c r="X57" s="89">
        <f>'Asia-Pacific'!AR79</f>
        <v>0</v>
      </c>
      <c r="Y57" s="89">
        <f>'Asia-Pacific'!AV79</f>
        <v>0</v>
      </c>
      <c r="Z57" s="89">
        <f>(N57+O57+P57)</f>
        <v>250</v>
      </c>
      <c r="AA57" s="89">
        <f>(Q57+R57+S57)</f>
        <v>0</v>
      </c>
      <c r="AB57" s="89">
        <f>(T57+U57+V57)</f>
        <v>0</v>
      </c>
      <c r="AC57" s="89">
        <f>(W57+X57+Y57)</f>
        <v>0</v>
      </c>
      <c r="AD57" s="89">
        <f t="shared" ref="AD57" si="62">+SUM(Z57:AC57)</f>
        <v>250</v>
      </c>
      <c r="AE57" s="90"/>
      <c r="AF57" s="90"/>
      <c r="AG57" s="90"/>
      <c r="AH57" s="90"/>
    </row>
    <row r="58" spans="1:34" s="91" customFormat="1">
      <c r="A58" s="537"/>
      <c r="B58" s="84" t="s">
        <v>81</v>
      </c>
      <c r="C58" s="106">
        <v>0</v>
      </c>
      <c r="D58" s="106">
        <v>0</v>
      </c>
      <c r="E58" s="106">
        <v>0</v>
      </c>
      <c r="F58" s="107">
        <f t="shared" si="45"/>
        <v>0</v>
      </c>
      <c r="G58" s="106"/>
      <c r="H58" s="127"/>
      <c r="I58" s="106">
        <f>G58+H58</f>
        <v>0</v>
      </c>
      <c r="J58" s="107">
        <f t="shared" si="47"/>
        <v>0</v>
      </c>
      <c r="K58" s="124">
        <f>SUM(N58:Y58)</f>
        <v>0</v>
      </c>
      <c r="L58" s="107">
        <f t="shared" si="48"/>
        <v>0</v>
      </c>
      <c r="M58" s="108"/>
      <c r="N58" s="106">
        <f>'Asia-Pacific'!D69</f>
        <v>0</v>
      </c>
      <c r="O58" s="106">
        <f>'Asia-Pacific'!H69</f>
        <v>0</v>
      </c>
      <c r="P58" s="106">
        <f>'Asia-Pacific'!L69</f>
        <v>0</v>
      </c>
      <c r="Q58" s="106">
        <f>'Asia-Pacific'!P69</f>
        <v>0</v>
      </c>
      <c r="R58" s="106">
        <f>'Asia-Pacific'!T69</f>
        <v>0</v>
      </c>
      <c r="S58" s="106">
        <f>'Asia-Pacific'!X69</f>
        <v>0</v>
      </c>
      <c r="T58" s="106">
        <f>'Asia-Pacific'!AB69</f>
        <v>0</v>
      </c>
      <c r="U58" s="106">
        <f>'Asia-Pacific'!AF69</f>
        <v>0</v>
      </c>
      <c r="V58" s="106">
        <f>'Asia-Pacific'!AJ69</f>
        <v>0</v>
      </c>
      <c r="W58" s="106">
        <f>'Asia-Pacific'!AN69</f>
        <v>0</v>
      </c>
      <c r="X58" s="106">
        <f>'Asia-Pacific'!AR69</f>
        <v>0</v>
      </c>
      <c r="Y58" s="106">
        <f>'Asia-Pacific'!AV69</f>
        <v>0</v>
      </c>
      <c r="Z58" s="282">
        <f>(N58+O58+P58)</f>
        <v>0</v>
      </c>
      <c r="AA58" s="282">
        <f>(Q58+R58+S58)</f>
        <v>0</v>
      </c>
      <c r="AB58" s="282">
        <f>(T58+U58+V58)</f>
        <v>0</v>
      </c>
      <c r="AC58" s="282">
        <f>(W58+X58+Y58)</f>
        <v>0</v>
      </c>
      <c r="AD58" s="270">
        <f t="shared" si="49"/>
        <v>0</v>
      </c>
      <c r="AE58" s="90"/>
      <c r="AF58" s="90"/>
      <c r="AG58" s="90"/>
      <c r="AH58" s="90"/>
    </row>
    <row r="59" spans="1:34">
      <c r="A59" s="6" t="s">
        <v>25</v>
      </c>
      <c r="B59" s="30"/>
      <c r="C59" s="89">
        <f>+C55+C58</f>
        <v>8118.83</v>
      </c>
      <c r="D59" s="89">
        <f>+D55+D58</f>
        <v>10228.219999999999</v>
      </c>
      <c r="E59" s="89">
        <f>+E55+E58</f>
        <v>31245.799999999992</v>
      </c>
      <c r="F59" s="18">
        <f t="shared" si="45"/>
        <v>2.0548619407873505</v>
      </c>
      <c r="G59" s="89">
        <f>+G55+G58</f>
        <v>19021.990000000002</v>
      </c>
      <c r="H59" s="89">
        <f>+H55+H58</f>
        <v>0</v>
      </c>
      <c r="I59" s="17">
        <f>+I55+I58</f>
        <v>19021.990000000002</v>
      </c>
      <c r="J59" s="18">
        <f t="shared" si="47"/>
        <v>-0.39121449922869611</v>
      </c>
      <c r="K59" s="89">
        <f>+K55+K58</f>
        <v>11561</v>
      </c>
      <c r="L59" s="18">
        <f t="shared" si="48"/>
        <v>-0.39222972990733362</v>
      </c>
      <c r="M59" s="109"/>
      <c r="N59" s="17">
        <f t="shared" ref="N59:AD59" si="63">+N55+N58</f>
        <v>665</v>
      </c>
      <c r="O59" s="17">
        <f t="shared" si="63"/>
        <v>755</v>
      </c>
      <c r="P59" s="17">
        <f t="shared" si="63"/>
        <v>675</v>
      </c>
      <c r="Q59" s="17">
        <f t="shared" si="63"/>
        <v>720</v>
      </c>
      <c r="R59" s="17">
        <f t="shared" si="63"/>
        <v>715</v>
      </c>
      <c r="S59" s="17">
        <f t="shared" si="63"/>
        <v>1015</v>
      </c>
      <c r="T59" s="17">
        <f t="shared" si="63"/>
        <v>975</v>
      </c>
      <c r="U59" s="17">
        <f t="shared" si="63"/>
        <v>1180</v>
      </c>
      <c r="V59" s="17">
        <f t="shared" si="63"/>
        <v>1181</v>
      </c>
      <c r="W59" s="17">
        <f t="shared" si="63"/>
        <v>1195</v>
      </c>
      <c r="X59" s="17">
        <f t="shared" si="63"/>
        <v>1205</v>
      </c>
      <c r="Y59" s="17">
        <f t="shared" si="63"/>
        <v>1280</v>
      </c>
      <c r="Z59" s="17">
        <f t="shared" si="63"/>
        <v>2095</v>
      </c>
      <c r="AA59" s="17">
        <f t="shared" si="63"/>
        <v>2450</v>
      </c>
      <c r="AB59" s="17">
        <f t="shared" si="63"/>
        <v>3336</v>
      </c>
      <c r="AC59" s="17">
        <f t="shared" si="63"/>
        <v>3680</v>
      </c>
      <c r="AD59" s="17">
        <f t="shared" si="63"/>
        <v>11561</v>
      </c>
      <c r="AE59" s="62"/>
      <c r="AF59" s="62"/>
      <c r="AG59" s="62"/>
      <c r="AH59" s="62"/>
    </row>
    <row r="60" spans="1:34" s="91" customFormat="1">
      <c r="A60" s="535" t="s">
        <v>8</v>
      </c>
      <c r="B60" s="84" t="s">
        <v>12</v>
      </c>
      <c r="C60" s="106">
        <v>2876.9050000000002</v>
      </c>
      <c r="D60" s="106">
        <v>15504.139000000003</v>
      </c>
      <c r="E60" s="106">
        <v>18201.410000000007</v>
      </c>
      <c r="F60" s="107">
        <f t="shared" si="45"/>
        <v>0.1739710279945248</v>
      </c>
      <c r="G60" s="106">
        <v>12481.290000000003</v>
      </c>
      <c r="H60" s="127"/>
      <c r="I60" s="106">
        <f t="shared" si="46"/>
        <v>12481.290000000003</v>
      </c>
      <c r="J60" s="107">
        <f t="shared" si="47"/>
        <v>-0.31426796055909967</v>
      </c>
      <c r="K60" s="124">
        <f>SUM(N60:Y60)</f>
        <v>15500</v>
      </c>
      <c r="L60" s="107">
        <f t="shared" si="48"/>
        <v>0.24185881427320388</v>
      </c>
      <c r="M60" s="108"/>
      <c r="N60" s="106">
        <f>'Rest of world'!D24</f>
        <v>544</v>
      </c>
      <c r="O60" s="106">
        <f>'Rest of world'!H24</f>
        <v>898</v>
      </c>
      <c r="P60" s="106">
        <f>'Rest of world'!L24</f>
        <v>980</v>
      </c>
      <c r="Q60" s="106">
        <f>'Rest of world'!P24</f>
        <v>1409</v>
      </c>
      <c r="R60" s="106">
        <f>'Rest of world'!T24</f>
        <v>1498</v>
      </c>
      <c r="S60" s="106">
        <f>'Rest of world'!X24</f>
        <v>1594</v>
      </c>
      <c r="T60" s="106">
        <f>'Rest of world'!AB24</f>
        <v>1587</v>
      </c>
      <c r="U60" s="106">
        <f>'Rest of world'!AF24</f>
        <v>1531</v>
      </c>
      <c r="V60" s="106">
        <f>'Rest of world'!AJ24</f>
        <v>1580</v>
      </c>
      <c r="W60" s="106">
        <f>'Rest of world'!AN24</f>
        <v>1385</v>
      </c>
      <c r="X60" s="106">
        <f>'Rest of world'!AR24</f>
        <v>1577</v>
      </c>
      <c r="Y60" s="106">
        <f>'Rest of world'!AV24</f>
        <v>917</v>
      </c>
      <c r="Z60" s="282">
        <f>(N60+O60+P60)</f>
        <v>2422</v>
      </c>
      <c r="AA60" s="282">
        <f>(Q60+R60+S60)</f>
        <v>4501</v>
      </c>
      <c r="AB60" s="282">
        <f>(T60+U60+V60)</f>
        <v>4698</v>
      </c>
      <c r="AC60" s="282">
        <f>(W60+X60+Y60)</f>
        <v>3879</v>
      </c>
      <c r="AD60" s="270">
        <f t="shared" si="49"/>
        <v>15500</v>
      </c>
      <c r="AE60" s="90"/>
      <c r="AF60" s="90"/>
      <c r="AG60" s="90"/>
      <c r="AH60" s="90"/>
    </row>
    <row r="61" spans="1:34" s="91" customFormat="1">
      <c r="A61" s="536"/>
      <c r="B61" s="84" t="s">
        <v>4</v>
      </c>
      <c r="C61" s="106">
        <v>3230.24</v>
      </c>
      <c r="D61" s="106">
        <v>783.83999999999992</v>
      </c>
      <c r="E61" s="106">
        <v>2473.5899999999997</v>
      </c>
      <c r="F61" s="107">
        <f t="shared" si="45"/>
        <v>2.1557333129210043</v>
      </c>
      <c r="G61" s="106">
        <v>1798.9699999999998</v>
      </c>
      <c r="H61" s="127"/>
      <c r="I61" s="106">
        <f t="shared" si="46"/>
        <v>1798.9699999999998</v>
      </c>
      <c r="J61" s="107">
        <f t="shared" si="47"/>
        <v>-0.27272911032143565</v>
      </c>
      <c r="K61" s="124">
        <f>SUM(N61:Y61)</f>
        <v>2200</v>
      </c>
      <c r="L61" s="107">
        <f t="shared" si="48"/>
        <v>0.22292200536973938</v>
      </c>
      <c r="M61" s="108"/>
      <c r="N61" s="106">
        <f>'Rest of world'!D54</f>
        <v>0</v>
      </c>
      <c r="O61" s="106">
        <f>'Rest of world'!H54</f>
        <v>180</v>
      </c>
      <c r="P61" s="106">
        <f>'Rest of world'!L54</f>
        <v>258</v>
      </c>
      <c r="Q61" s="106">
        <f>'Rest of world'!P54</f>
        <v>226</v>
      </c>
      <c r="R61" s="106">
        <f>'Rest of world'!T54</f>
        <v>184</v>
      </c>
      <c r="S61" s="106">
        <f>'Rest of world'!X54</f>
        <v>216</v>
      </c>
      <c r="T61" s="106">
        <f>'Rest of world'!AB54</f>
        <v>194</v>
      </c>
      <c r="U61" s="106">
        <f>'Rest of world'!AF54</f>
        <v>150</v>
      </c>
      <c r="V61" s="106">
        <f>'Rest of world'!AJ54</f>
        <v>222</v>
      </c>
      <c r="W61" s="106">
        <f>'Rest of world'!AN54</f>
        <v>174</v>
      </c>
      <c r="X61" s="106">
        <f>'Rest of world'!AR54</f>
        <v>264</v>
      </c>
      <c r="Y61" s="106">
        <f>'Rest of world'!AV54</f>
        <v>132</v>
      </c>
      <c r="Z61" s="282">
        <f>(N61+O61+P61)</f>
        <v>438</v>
      </c>
      <c r="AA61" s="282">
        <f>(Q61+R61+S61)</f>
        <v>626</v>
      </c>
      <c r="AB61" s="282">
        <f>(T61+U61+V61)</f>
        <v>566</v>
      </c>
      <c r="AC61" s="282">
        <f>(W61+X61+Y61)</f>
        <v>570</v>
      </c>
      <c r="AD61" s="270">
        <f t="shared" si="49"/>
        <v>2200</v>
      </c>
      <c r="AE61" s="90"/>
      <c r="AF61" s="90"/>
      <c r="AG61" s="90"/>
      <c r="AH61" s="90"/>
    </row>
    <row r="62" spans="1:34" s="91" customFormat="1">
      <c r="A62" s="536"/>
      <c r="B62" s="84" t="s">
        <v>0</v>
      </c>
      <c r="C62" s="106">
        <v>135</v>
      </c>
      <c r="D62" s="106">
        <v>20</v>
      </c>
      <c r="E62" s="106">
        <v>10</v>
      </c>
      <c r="F62" s="107">
        <f t="shared" si="45"/>
        <v>-0.5</v>
      </c>
      <c r="G62" s="106">
        <v>10</v>
      </c>
      <c r="H62" s="127"/>
      <c r="I62" s="106">
        <f t="shared" si="46"/>
        <v>10</v>
      </c>
      <c r="J62" s="107">
        <f t="shared" si="47"/>
        <v>0</v>
      </c>
      <c r="K62" s="124">
        <f>SUM(N62:Y62)</f>
        <v>0</v>
      </c>
      <c r="L62" s="107">
        <f t="shared" si="48"/>
        <v>-1</v>
      </c>
      <c r="M62" s="108"/>
      <c r="N62" s="106">
        <f>'Rest of world'!D61</f>
        <v>0</v>
      </c>
      <c r="O62" s="106">
        <f>'Rest of world'!H61</f>
        <v>0</v>
      </c>
      <c r="P62" s="106">
        <f>'Rest of world'!L61</f>
        <v>0</v>
      </c>
      <c r="Q62" s="106">
        <f>'Rest of world'!P61</f>
        <v>0</v>
      </c>
      <c r="R62" s="106">
        <f>'Rest of world'!T61</f>
        <v>0</v>
      </c>
      <c r="S62" s="106">
        <f>'Rest of world'!X61</f>
        <v>0</v>
      </c>
      <c r="T62" s="106">
        <f>'Rest of world'!AB61</f>
        <v>0</v>
      </c>
      <c r="U62" s="106">
        <f>'Rest of world'!AF61</f>
        <v>0</v>
      </c>
      <c r="V62" s="106">
        <f>'Rest of world'!AJ61</f>
        <v>0</v>
      </c>
      <c r="W62" s="106">
        <f>'Rest of world'!AN61</f>
        <v>0</v>
      </c>
      <c r="X62" s="106">
        <f>'Rest of world'!AR61</f>
        <v>0</v>
      </c>
      <c r="Y62" s="106">
        <f>'Rest of world'!AV61</f>
        <v>0</v>
      </c>
      <c r="Z62" s="282">
        <f>(N62+O62+P62)</f>
        <v>0</v>
      </c>
      <c r="AA62" s="282">
        <f>(Q62+R62+S62)</f>
        <v>0</v>
      </c>
      <c r="AB62" s="282">
        <f>(T62+U62+V62)</f>
        <v>0</v>
      </c>
      <c r="AC62" s="282">
        <f>(W62+X62+Y62)</f>
        <v>0</v>
      </c>
      <c r="AD62" s="270">
        <f t="shared" si="49"/>
        <v>0</v>
      </c>
      <c r="AE62" s="90"/>
      <c r="AF62" s="90"/>
      <c r="AG62" s="90"/>
      <c r="AH62" s="90"/>
    </row>
    <row r="63" spans="1:34" s="91" customFormat="1">
      <c r="A63" s="536"/>
      <c r="B63" s="142" t="s">
        <v>82</v>
      </c>
      <c r="C63" s="89">
        <f>SUM(C60:C62)</f>
        <v>6242.1450000000004</v>
      </c>
      <c r="D63" s="89">
        <f>SUM(D60:D62)</f>
        <v>16307.979000000003</v>
      </c>
      <c r="E63" s="89">
        <f>SUM(E60:E62)</f>
        <v>20685.000000000007</v>
      </c>
      <c r="F63" s="143">
        <f t="shared" si="45"/>
        <v>0.26839751265316214</v>
      </c>
      <c r="G63" s="89">
        <f>SUM(G60:G62)</f>
        <v>14290.260000000002</v>
      </c>
      <c r="H63" s="89">
        <f>SUM(H60:H62)</f>
        <v>0</v>
      </c>
      <c r="I63" s="89">
        <f>SUM(I60:I62)</f>
        <v>14290.260000000002</v>
      </c>
      <c r="J63" s="143">
        <f t="shared" si="47"/>
        <v>-0.30914865844815098</v>
      </c>
      <c r="K63" s="89">
        <f>SUM(K60:K62)</f>
        <v>17700</v>
      </c>
      <c r="L63" s="143">
        <f>IF(ISERROR(K63/I63-1),0,(K63/I63-1))</f>
        <v>0.2386058756103806</v>
      </c>
      <c r="M63" s="108"/>
      <c r="N63" s="89">
        <f t="shared" ref="N63:AD63" si="64">SUM(N60:N62)</f>
        <v>544</v>
      </c>
      <c r="O63" s="89">
        <f t="shared" si="64"/>
        <v>1078</v>
      </c>
      <c r="P63" s="89">
        <f t="shared" si="64"/>
        <v>1238</v>
      </c>
      <c r="Q63" s="89">
        <f t="shared" si="64"/>
        <v>1635</v>
      </c>
      <c r="R63" s="89">
        <f t="shared" si="64"/>
        <v>1682</v>
      </c>
      <c r="S63" s="89">
        <f t="shared" si="64"/>
        <v>1810</v>
      </c>
      <c r="T63" s="89">
        <f t="shared" si="64"/>
        <v>1781</v>
      </c>
      <c r="U63" s="89">
        <f t="shared" si="64"/>
        <v>1681</v>
      </c>
      <c r="V63" s="89">
        <f t="shared" si="64"/>
        <v>1802</v>
      </c>
      <c r="W63" s="89">
        <f t="shared" si="64"/>
        <v>1559</v>
      </c>
      <c r="X63" s="89">
        <f t="shared" si="64"/>
        <v>1841</v>
      </c>
      <c r="Y63" s="89">
        <f t="shared" si="64"/>
        <v>1049</v>
      </c>
      <c r="Z63" s="89">
        <f t="shared" si="64"/>
        <v>2860</v>
      </c>
      <c r="AA63" s="89">
        <f t="shared" si="64"/>
        <v>5127</v>
      </c>
      <c r="AB63" s="89">
        <f t="shared" si="64"/>
        <v>5264</v>
      </c>
      <c r="AC63" s="89">
        <f t="shared" si="64"/>
        <v>4449</v>
      </c>
      <c r="AD63" s="89">
        <f t="shared" si="64"/>
        <v>17700</v>
      </c>
      <c r="AE63" s="90"/>
      <c r="AF63" s="90"/>
      <c r="AG63" s="90"/>
      <c r="AH63" s="90"/>
    </row>
    <row r="64" spans="1:34" s="91" customFormat="1">
      <c r="A64" s="536"/>
      <c r="B64" s="142" t="s">
        <v>104</v>
      </c>
      <c r="C64" s="89"/>
      <c r="D64" s="89">
        <v>1001.9999999999999</v>
      </c>
      <c r="E64" s="89"/>
      <c r="F64" s="143"/>
      <c r="G64" s="89"/>
      <c r="H64" s="89"/>
      <c r="I64" s="89"/>
      <c r="J64" s="143"/>
      <c r="K64" s="89"/>
      <c r="L64" s="143"/>
      <c r="M64" s="108"/>
      <c r="N64" s="89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  <c r="AA64" s="89"/>
      <c r="AB64" s="89"/>
      <c r="AC64" s="89"/>
      <c r="AD64" s="89"/>
      <c r="AE64" s="90"/>
      <c r="AF64" s="90"/>
      <c r="AG64" s="90"/>
      <c r="AH64" s="90"/>
    </row>
    <row r="65" spans="1:41" s="91" customFormat="1">
      <c r="A65" s="536"/>
      <c r="B65" s="142" t="s">
        <v>97</v>
      </c>
      <c r="C65" s="89"/>
      <c r="D65" s="89"/>
      <c r="E65" s="89"/>
      <c r="F65" s="143">
        <f t="shared" ref="F65" si="65">IF(ISERROR(E65/D65-1),0,(E65/D65-1))</f>
        <v>0</v>
      </c>
      <c r="G65" s="89"/>
      <c r="H65" s="89"/>
      <c r="I65" s="89">
        <f t="shared" ref="I65" si="66">G65+H65</f>
        <v>0</v>
      </c>
      <c r="J65" s="143">
        <f t="shared" ref="J65" si="67">IF(ISERROR(I65/E65-1),0,(I65/E65-1))</f>
        <v>0</v>
      </c>
      <c r="K65" s="89">
        <f>SUM(N65:Y65)</f>
        <v>120</v>
      </c>
      <c r="L65" s="143">
        <f t="shared" ref="L65" si="68">IF(ISERROR(K65/I65-1),0,(K65/I65-1))</f>
        <v>0</v>
      </c>
      <c r="M65" s="108"/>
      <c r="N65" s="89">
        <f>'Rest of world'!D79</f>
        <v>10</v>
      </c>
      <c r="O65" s="89">
        <f>'Rest of world'!H79</f>
        <v>10</v>
      </c>
      <c r="P65" s="89">
        <f>'Rest of world'!L79</f>
        <v>10</v>
      </c>
      <c r="Q65" s="89">
        <f>'Rest of world'!P79</f>
        <v>10</v>
      </c>
      <c r="R65" s="89">
        <f>'Rest of world'!T79</f>
        <v>10</v>
      </c>
      <c r="S65" s="89">
        <f>'Rest of world'!X79</f>
        <v>10</v>
      </c>
      <c r="T65" s="89">
        <f>'Rest of world'!AB79</f>
        <v>10</v>
      </c>
      <c r="U65" s="89">
        <f>'Rest of world'!AF79</f>
        <v>10</v>
      </c>
      <c r="V65" s="89">
        <f>'Rest of world'!AJ79</f>
        <v>10</v>
      </c>
      <c r="W65" s="89">
        <f>'Rest of world'!AN79</f>
        <v>10</v>
      </c>
      <c r="X65" s="89">
        <f>'Rest of world'!AR79</f>
        <v>10</v>
      </c>
      <c r="Y65" s="89">
        <f>'Rest of world'!AV79</f>
        <v>10</v>
      </c>
      <c r="Z65" s="89">
        <f>(N65+O65+P65)</f>
        <v>30</v>
      </c>
      <c r="AA65" s="89">
        <f>(Q65+R65+S65)</f>
        <v>30</v>
      </c>
      <c r="AB65" s="89">
        <f>(T65+U65+V65)</f>
        <v>30</v>
      </c>
      <c r="AC65" s="89">
        <f>(W65+X65+Y65)</f>
        <v>30</v>
      </c>
      <c r="AD65" s="89">
        <f t="shared" ref="AD65" si="69">+SUM(Z65:AC65)</f>
        <v>120</v>
      </c>
      <c r="AE65" s="90"/>
      <c r="AF65" s="90"/>
      <c r="AG65" s="90"/>
      <c r="AH65" s="90"/>
    </row>
    <row r="66" spans="1:41" s="91" customFormat="1">
      <c r="A66" s="537"/>
      <c r="B66" s="84" t="s">
        <v>81</v>
      </c>
      <c r="C66" s="106">
        <v>0</v>
      </c>
      <c r="D66" s="106">
        <v>0</v>
      </c>
      <c r="E66" s="106">
        <v>0</v>
      </c>
      <c r="F66" s="107">
        <f t="shared" si="45"/>
        <v>0</v>
      </c>
      <c r="G66" s="106"/>
      <c r="H66" s="127"/>
      <c r="I66" s="106">
        <f>G66+H66</f>
        <v>0</v>
      </c>
      <c r="J66" s="107">
        <f t="shared" si="47"/>
        <v>0</v>
      </c>
      <c r="K66" s="124">
        <f>SUM(N66:Y66)</f>
        <v>0</v>
      </c>
      <c r="L66" s="107">
        <f t="shared" si="48"/>
        <v>0</v>
      </c>
      <c r="M66" s="108"/>
      <c r="N66" s="106">
        <f>'Rest of world'!D69</f>
        <v>0</v>
      </c>
      <c r="O66" s="106">
        <f>'Rest of world'!H69</f>
        <v>0</v>
      </c>
      <c r="P66" s="106">
        <f>'Rest of world'!L69</f>
        <v>0</v>
      </c>
      <c r="Q66" s="106">
        <f>'Rest of world'!P69</f>
        <v>0</v>
      </c>
      <c r="R66" s="106">
        <f>'Rest of world'!T69</f>
        <v>0</v>
      </c>
      <c r="S66" s="106">
        <f>'Rest of world'!X69</f>
        <v>0</v>
      </c>
      <c r="T66" s="106">
        <f>'Rest of world'!AB69</f>
        <v>0</v>
      </c>
      <c r="U66" s="106">
        <f>'Rest of world'!AF69</f>
        <v>0</v>
      </c>
      <c r="V66" s="106">
        <f>'Rest of world'!AJ69</f>
        <v>0</v>
      </c>
      <c r="W66" s="106">
        <f>'Rest of world'!AN69</f>
        <v>0</v>
      </c>
      <c r="X66" s="106">
        <f>'Rest of world'!AR69</f>
        <v>0</v>
      </c>
      <c r="Y66" s="106">
        <f>'Rest of world'!AV69</f>
        <v>0</v>
      </c>
      <c r="Z66" s="282">
        <f>(N66+O66+P66)</f>
        <v>0</v>
      </c>
      <c r="AA66" s="282">
        <f>(Q66+R66+S66)</f>
        <v>0</v>
      </c>
      <c r="AB66" s="282">
        <f>(T66+U66+V66)</f>
        <v>0</v>
      </c>
      <c r="AC66" s="282">
        <f>(W66+X66+Y66)</f>
        <v>0</v>
      </c>
      <c r="AD66" s="270">
        <f t="shared" si="49"/>
        <v>0</v>
      </c>
      <c r="AE66" s="90"/>
      <c r="AF66" s="90"/>
      <c r="AG66" s="90"/>
      <c r="AH66" s="90"/>
    </row>
    <row r="67" spans="1:41">
      <c r="A67" s="6" t="s">
        <v>26</v>
      </c>
      <c r="B67" s="30"/>
      <c r="C67" s="89">
        <f>+C63+C66+C64</f>
        <v>6242.1450000000004</v>
      </c>
      <c r="D67" s="89">
        <f>+D63+D66+D64</f>
        <v>17309.979000000003</v>
      </c>
      <c r="E67" s="89">
        <f>+E63+E66+E64</f>
        <v>20685.000000000007</v>
      </c>
      <c r="F67" s="18">
        <f t="shared" si="45"/>
        <v>0.19497545317645981</v>
      </c>
      <c r="G67" s="89">
        <f>+G63+G66+G64</f>
        <v>14290.260000000002</v>
      </c>
      <c r="H67" s="89">
        <f>+H63+H66</f>
        <v>0</v>
      </c>
      <c r="I67" s="17">
        <f>+I63+I66+I64</f>
        <v>14290.260000000002</v>
      </c>
      <c r="J67" s="18">
        <f t="shared" si="47"/>
        <v>-0.30914865844815098</v>
      </c>
      <c r="K67" s="89">
        <f>+K63+K66</f>
        <v>17700</v>
      </c>
      <c r="L67" s="18">
        <f>IF(ISERROR(K67/I67-1),0,(K67/I67-1))</f>
        <v>0.2386058756103806</v>
      </c>
      <c r="M67" s="109"/>
      <c r="N67" s="17">
        <f t="shared" ref="N67:Y67" si="70">+N63+N66+N64</f>
        <v>544</v>
      </c>
      <c r="O67" s="17">
        <f t="shared" si="70"/>
        <v>1078</v>
      </c>
      <c r="P67" s="17">
        <f t="shared" si="70"/>
        <v>1238</v>
      </c>
      <c r="Q67" s="17">
        <f t="shared" si="70"/>
        <v>1635</v>
      </c>
      <c r="R67" s="17">
        <f t="shared" si="70"/>
        <v>1682</v>
      </c>
      <c r="S67" s="17">
        <f t="shared" si="70"/>
        <v>1810</v>
      </c>
      <c r="T67" s="17">
        <f t="shared" si="70"/>
        <v>1781</v>
      </c>
      <c r="U67" s="17">
        <f t="shared" si="70"/>
        <v>1681</v>
      </c>
      <c r="V67" s="17">
        <f t="shared" si="70"/>
        <v>1802</v>
      </c>
      <c r="W67" s="17">
        <f t="shared" si="70"/>
        <v>1559</v>
      </c>
      <c r="X67" s="17">
        <f t="shared" si="70"/>
        <v>1841</v>
      </c>
      <c r="Y67" s="17">
        <f t="shared" si="70"/>
        <v>1049</v>
      </c>
      <c r="Z67" s="17">
        <f>+Z63+Z66+Z64</f>
        <v>2860</v>
      </c>
      <c r="AA67" s="17">
        <f>+AA63+AA66+AA64</f>
        <v>5127</v>
      </c>
      <c r="AB67" s="17">
        <f>+AB63+AB66+AB64</f>
        <v>5264</v>
      </c>
      <c r="AC67" s="17">
        <f>+AC63+AC66+AC64</f>
        <v>4449</v>
      </c>
      <c r="AD67" s="17">
        <f>+AD63+AD66+AD64</f>
        <v>17700</v>
      </c>
      <c r="AE67" s="62"/>
      <c r="AF67" s="62"/>
      <c r="AG67" s="62"/>
      <c r="AH67" s="62"/>
    </row>
    <row r="68" spans="1:41">
      <c r="A68" s="72"/>
      <c r="B68" s="73"/>
      <c r="C68" s="74"/>
      <c r="D68" s="74"/>
      <c r="E68" s="74"/>
      <c r="F68" s="74"/>
      <c r="G68" s="75"/>
      <c r="H68" s="75"/>
      <c r="I68" s="75"/>
      <c r="J68" s="75"/>
      <c r="K68" s="76"/>
      <c r="L68" s="74"/>
      <c r="M68" s="77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62"/>
      <c r="AA68" s="62"/>
      <c r="AB68" s="62"/>
      <c r="AC68" s="62"/>
      <c r="AD68" s="62"/>
      <c r="AE68" s="62"/>
      <c r="AF68" s="62"/>
      <c r="AG68" s="62"/>
      <c r="AH68" s="62"/>
    </row>
    <row r="69" spans="1:41">
      <c r="A69" s="126" t="s">
        <v>75</v>
      </c>
      <c r="B69" s="70"/>
      <c r="C69" s="71">
        <f>C67+C59+C51+C43-C32</f>
        <v>0</v>
      </c>
      <c r="D69" s="71">
        <f>D67+D59+D51+D43-D32</f>
        <v>0</v>
      </c>
      <c r="E69" s="71">
        <f>E67+E59+E51+E43-E32</f>
        <v>0</v>
      </c>
      <c r="F69" s="71"/>
      <c r="G69" s="71"/>
      <c r="H69" s="71"/>
      <c r="I69" s="71"/>
      <c r="J69" s="71"/>
      <c r="K69" s="100">
        <f>'Productwise sales'!B71-K14</f>
        <v>-154222</v>
      </c>
      <c r="L69" s="71"/>
      <c r="M69" s="68"/>
      <c r="N69" s="71">
        <f>N67+N59+N51+N43-N32</f>
        <v>0</v>
      </c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</row>
    <row r="70" spans="1:41">
      <c r="A70" s="62"/>
      <c r="B70" s="62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</row>
    <row r="71" spans="1:41">
      <c r="A71" s="62"/>
      <c r="B71" s="62"/>
      <c r="C71" s="63"/>
      <c r="D71" s="63"/>
      <c r="E71" s="63">
        <v>0</v>
      </c>
      <c r="F71" s="63"/>
      <c r="G71" s="63">
        <v>0</v>
      </c>
      <c r="H71" s="63"/>
      <c r="I71" s="63"/>
      <c r="J71" s="63"/>
      <c r="K71" s="63"/>
      <c r="L71" s="63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</row>
    <row r="72" spans="1:41">
      <c r="A72" s="62"/>
      <c r="B72" s="62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</row>
    <row r="73" spans="1:41">
      <c r="A73" s="62"/>
      <c r="B73" s="62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</row>
    <row r="74" spans="1:41">
      <c r="A74" s="62"/>
      <c r="B74" s="62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</row>
    <row r="75" spans="1:41">
      <c r="A75" s="62"/>
      <c r="B75" s="62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</row>
    <row r="76" spans="1:41">
      <c r="A76" s="62"/>
      <c r="B76" s="62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</row>
    <row r="77" spans="1:41">
      <c r="A77" s="62"/>
      <c r="B77" s="62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</row>
    <row r="78" spans="1:41">
      <c r="A78" s="62"/>
      <c r="B78" s="62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</row>
    <row r="79" spans="1:41">
      <c r="A79" s="62"/>
      <c r="B79" s="62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</row>
    <row r="80" spans="1:41">
      <c r="A80" s="62"/>
      <c r="B80" s="62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</row>
    <row r="81" spans="1:41">
      <c r="A81" s="62"/>
      <c r="B81" s="62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</row>
    <row r="82" spans="1:41">
      <c r="A82" s="62"/>
      <c r="B82" s="62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</row>
    <row r="83" spans="1:41">
      <c r="A83" s="62"/>
      <c r="B83" s="62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</row>
    <row r="84" spans="1:41">
      <c r="A84" s="62"/>
      <c r="B84" s="62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</row>
    <row r="85" spans="1:41">
      <c r="A85" s="62"/>
      <c r="B85" s="62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</row>
    <row r="86" spans="1:41">
      <c r="A86" s="62"/>
      <c r="B86" s="62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</row>
    <row r="87" spans="1:41">
      <c r="A87" s="62"/>
      <c r="B87" s="62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</row>
    <row r="88" spans="1:41">
      <c r="A88" s="62"/>
      <c r="B88" s="62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</row>
    <row r="89" spans="1:41">
      <c r="A89" s="62"/>
      <c r="B89" s="62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</row>
    <row r="90" spans="1:41">
      <c r="A90" s="62"/>
      <c r="B90" s="62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</row>
    <row r="91" spans="1:41">
      <c r="A91" s="62"/>
      <c r="B91" s="62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</row>
    <row r="92" spans="1:41">
      <c r="A92" s="62"/>
      <c r="B92" s="62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</row>
    <row r="93" spans="1:41">
      <c r="A93" s="62"/>
      <c r="B93" s="62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</row>
    <row r="94" spans="1:41">
      <c r="A94" s="62"/>
      <c r="B94" s="62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</row>
    <row r="95" spans="1:41">
      <c r="A95" s="62"/>
      <c r="B95" s="62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</row>
  </sheetData>
  <mergeCells count="7">
    <mergeCell ref="A44:A50"/>
    <mergeCell ref="A52:A58"/>
    <mergeCell ref="A60:A66"/>
    <mergeCell ref="A7:A13"/>
    <mergeCell ref="A25:A31"/>
    <mergeCell ref="A36:A42"/>
    <mergeCell ref="A17:A23"/>
  </mergeCells>
  <phoneticPr fontId="7" type="noConversion"/>
  <conditionalFormatting sqref="K69">
    <cfRule type="cellIs" dxfId="1" priority="1" stopIfTrue="1" operator="notEqual">
      <formula>0</formula>
    </cfRule>
  </conditionalFormatting>
  <printOptions horizontalCentered="1"/>
  <pageMargins left="0.55000000000000004" right="0.55000000000000004" top="1" bottom="1" header="0.5" footer="0.5"/>
  <pageSetup scale="43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0"/>
  <sheetViews>
    <sheetView zoomScale="75" zoomScaleNormal="75" workbookViewId="0">
      <pane xSplit="2" ySplit="5" topLeftCell="C6" activePane="bottomRight" state="frozen"/>
      <selection activeCell="E26" sqref="E26"/>
      <selection pane="topRight" activeCell="E26" sqref="E26"/>
      <selection pane="bottomLeft" activeCell="E26" sqref="E26"/>
      <selection pane="bottomRight" activeCell="E26" sqref="E26"/>
    </sheetView>
  </sheetViews>
  <sheetFormatPr defaultRowHeight="18"/>
  <cols>
    <col min="1" max="1" width="28.5703125" style="12" customWidth="1"/>
    <col min="2" max="2" width="25" style="12" customWidth="1"/>
    <col min="3" max="5" width="14.140625" style="13" customWidth="1"/>
    <col min="6" max="6" width="12.5703125" style="13" customWidth="1"/>
    <col min="7" max="7" width="17" style="13" customWidth="1"/>
    <col min="8" max="8" width="16.7109375" style="13" customWidth="1"/>
    <col min="9" max="10" width="14.140625" style="13" customWidth="1"/>
    <col min="11" max="11" width="13.5703125" style="13" customWidth="1"/>
    <col min="12" max="12" width="14.140625" style="13" customWidth="1"/>
    <col min="13" max="13" width="4.5703125" style="12" customWidth="1"/>
    <col min="14" max="25" width="11.5703125" style="12" customWidth="1"/>
    <col min="26" max="29" width="9.140625" style="12"/>
    <col min="30" max="30" width="11.42578125" style="12" customWidth="1"/>
    <col min="31" max="16384" width="9.140625" style="12"/>
  </cols>
  <sheetData>
    <row r="1" spans="1:34">
      <c r="A1" s="61" t="s">
        <v>102</v>
      </c>
      <c r="B1" s="62"/>
      <c r="C1" s="63"/>
      <c r="D1" s="63"/>
      <c r="E1" s="63"/>
      <c r="F1" s="63"/>
      <c r="G1" s="63"/>
      <c r="H1" s="63"/>
      <c r="I1" s="63"/>
      <c r="J1" s="63"/>
      <c r="K1" s="63"/>
      <c r="L1" s="63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</row>
    <row r="2" spans="1:34" ht="19.5" customHeight="1">
      <c r="A2" s="64" t="s">
        <v>114</v>
      </c>
      <c r="B2" s="65"/>
      <c r="C2" s="66"/>
      <c r="D2" s="66"/>
      <c r="E2" s="66"/>
      <c r="F2" s="66"/>
      <c r="G2" s="66"/>
      <c r="H2" s="66"/>
      <c r="I2" s="110" t="s">
        <v>16</v>
      </c>
      <c r="J2" s="110"/>
      <c r="K2" s="111"/>
      <c r="L2" s="66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2"/>
      <c r="AA2" s="62"/>
      <c r="AB2" s="62"/>
      <c r="AC2" s="62"/>
      <c r="AD2" s="62"/>
      <c r="AE2" s="62"/>
      <c r="AF2" s="62"/>
      <c r="AG2" s="62"/>
      <c r="AH2" s="62"/>
    </row>
    <row r="3" spans="1:34" ht="18.75" customHeight="1">
      <c r="A3" s="64" t="s">
        <v>74</v>
      </c>
      <c r="B3" s="65"/>
      <c r="C3" s="66"/>
      <c r="D3" s="66"/>
      <c r="E3" s="66"/>
      <c r="F3" s="66"/>
      <c r="G3" s="66"/>
      <c r="H3" s="66"/>
      <c r="I3" s="66"/>
      <c r="J3" s="66"/>
      <c r="K3" s="67"/>
      <c r="L3" s="66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2"/>
      <c r="AA3" s="62"/>
      <c r="AB3" s="62"/>
      <c r="AC3" s="62"/>
      <c r="AD3" s="62"/>
      <c r="AE3" s="62"/>
      <c r="AF3" s="62"/>
      <c r="AG3" s="62"/>
      <c r="AH3" s="62"/>
    </row>
    <row r="4" spans="1:34" ht="13.5" customHeight="1">
      <c r="A4" s="69"/>
      <c r="B4" s="65"/>
      <c r="C4" s="66"/>
      <c r="D4" s="66"/>
      <c r="E4" s="66"/>
      <c r="F4" s="66"/>
      <c r="G4" s="66"/>
      <c r="H4" s="66"/>
      <c r="I4" s="66"/>
      <c r="J4" s="66"/>
      <c r="K4" s="67"/>
      <c r="L4" s="66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2"/>
      <c r="AA4" s="62"/>
      <c r="AB4" s="62"/>
      <c r="AC4" s="62"/>
      <c r="AD4" s="62"/>
      <c r="AE4" s="62"/>
      <c r="AF4" s="62"/>
      <c r="AG4" s="62"/>
      <c r="AH4" s="62"/>
    </row>
    <row r="5" spans="1:34" ht="35.25" customHeight="1">
      <c r="A5" s="5" t="s">
        <v>1</v>
      </c>
      <c r="B5" s="5" t="s">
        <v>2</v>
      </c>
      <c r="C5" s="14" t="s">
        <v>76</v>
      </c>
      <c r="D5" s="14" t="s">
        <v>96</v>
      </c>
      <c r="E5" s="14" t="s">
        <v>100</v>
      </c>
      <c r="F5" s="14" t="s">
        <v>77</v>
      </c>
      <c r="G5" s="14" t="s">
        <v>115</v>
      </c>
      <c r="H5" s="14" t="s">
        <v>116</v>
      </c>
      <c r="I5" s="14" t="s">
        <v>101</v>
      </c>
      <c r="J5" s="14" t="s">
        <v>80</v>
      </c>
      <c r="K5" s="14" t="s">
        <v>117</v>
      </c>
      <c r="L5" s="14" t="s">
        <v>78</v>
      </c>
      <c r="M5" s="94"/>
      <c r="N5" s="15">
        <v>42095</v>
      </c>
      <c r="O5" s="15">
        <f t="shared" ref="O5:Y5" si="0">N5+31</f>
        <v>42126</v>
      </c>
      <c r="P5" s="15">
        <f t="shared" si="0"/>
        <v>42157</v>
      </c>
      <c r="Q5" s="15">
        <f t="shared" si="0"/>
        <v>42188</v>
      </c>
      <c r="R5" s="15">
        <f t="shared" si="0"/>
        <v>42219</v>
      </c>
      <c r="S5" s="15">
        <f t="shared" si="0"/>
        <v>42250</v>
      </c>
      <c r="T5" s="15">
        <f t="shared" si="0"/>
        <v>42281</v>
      </c>
      <c r="U5" s="15">
        <f t="shared" si="0"/>
        <v>42312</v>
      </c>
      <c r="V5" s="15">
        <f t="shared" si="0"/>
        <v>42343</v>
      </c>
      <c r="W5" s="15">
        <f t="shared" si="0"/>
        <v>42374</v>
      </c>
      <c r="X5" s="15">
        <f t="shared" si="0"/>
        <v>42405</v>
      </c>
      <c r="Y5" s="15">
        <f t="shared" si="0"/>
        <v>42436</v>
      </c>
      <c r="Z5" s="269" t="s">
        <v>19</v>
      </c>
      <c r="AA5" s="269" t="s">
        <v>20</v>
      </c>
      <c r="AB5" s="269" t="s">
        <v>21</v>
      </c>
      <c r="AC5" s="269" t="s">
        <v>22</v>
      </c>
      <c r="AD5" s="274" t="s">
        <v>99</v>
      </c>
      <c r="AE5" s="62"/>
      <c r="AF5" s="62"/>
      <c r="AG5" s="62"/>
      <c r="AH5" s="62"/>
    </row>
    <row r="6" spans="1:34" ht="21.75" customHeight="1">
      <c r="A6" s="83"/>
      <c r="B6" s="5"/>
      <c r="C6" s="14" t="s">
        <v>69</v>
      </c>
      <c r="D6" s="14" t="s">
        <v>69</v>
      </c>
      <c r="E6" s="14" t="s">
        <v>69</v>
      </c>
      <c r="F6" s="14" t="s">
        <v>79</v>
      </c>
      <c r="G6" s="14" t="s">
        <v>69</v>
      </c>
      <c r="H6" s="14" t="s">
        <v>70</v>
      </c>
      <c r="I6" s="14" t="s">
        <v>70</v>
      </c>
      <c r="J6" s="14" t="s">
        <v>79</v>
      </c>
      <c r="K6" s="14" t="s">
        <v>71</v>
      </c>
      <c r="L6" s="14" t="s">
        <v>79</v>
      </c>
      <c r="M6" s="94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269"/>
      <c r="AA6" s="269"/>
      <c r="AB6" s="269"/>
      <c r="AC6" s="269"/>
      <c r="AD6" s="269"/>
      <c r="AE6" s="62"/>
      <c r="AF6" s="62"/>
      <c r="AG6" s="62"/>
      <c r="AH6" s="62"/>
    </row>
    <row r="7" spans="1:34" s="91" customFormat="1" ht="18" customHeight="1">
      <c r="A7" s="538" t="s">
        <v>28</v>
      </c>
      <c r="B7" s="84" t="s">
        <v>12</v>
      </c>
      <c r="C7" s="102">
        <f t="shared" ref="C7:D7" si="1">C17+C25</f>
        <v>661.69006327700004</v>
      </c>
      <c r="D7" s="102">
        <f t="shared" si="1"/>
        <v>682.53751989299985</v>
      </c>
      <c r="E7" s="102">
        <f t="shared" ref="E7:E9" si="2">E17+E25</f>
        <v>881.60369211099999</v>
      </c>
      <c r="F7" s="107">
        <f>IF(ISERROR(E7/D7-1),0,(E7/D7-1))</f>
        <v>0.29165601364919458</v>
      </c>
      <c r="G7" s="102">
        <f t="shared" ref="G7:H9" si="3">G17+G25</f>
        <v>466.25254742199996</v>
      </c>
      <c r="H7" s="102">
        <f t="shared" si="3"/>
        <v>0</v>
      </c>
      <c r="I7" s="102">
        <f>G7+H7</f>
        <v>466.25254742199996</v>
      </c>
      <c r="J7" s="107">
        <f>IF(ISERROR(I7/E7-1),0,(I7/E7-1))</f>
        <v>-0.47113135800786143</v>
      </c>
      <c r="K7" s="102" t="e">
        <f>SUM(K25,K17)</f>
        <v>#REF!</v>
      </c>
      <c r="L7" s="107">
        <f t="shared" ref="L7:L14" si="4">IF(ISERROR(K7/I7-1),0,(K7/I7-1))</f>
        <v>0</v>
      </c>
      <c r="M7" s="108"/>
      <c r="N7" s="102" t="e">
        <f t="shared" ref="N7:AD7" si="5">SUM(N25,N17)</f>
        <v>#REF!</v>
      </c>
      <c r="O7" s="102" t="e">
        <f t="shared" si="5"/>
        <v>#REF!</v>
      </c>
      <c r="P7" s="102" t="e">
        <f t="shared" si="5"/>
        <v>#REF!</v>
      </c>
      <c r="Q7" s="102" t="e">
        <f t="shared" si="5"/>
        <v>#REF!</v>
      </c>
      <c r="R7" s="102" t="e">
        <f t="shared" si="5"/>
        <v>#REF!</v>
      </c>
      <c r="S7" s="102" t="e">
        <f t="shared" ca="1" si="5"/>
        <v>#REF!</v>
      </c>
      <c r="T7" s="102" t="e">
        <f t="shared" si="5"/>
        <v>#REF!</v>
      </c>
      <c r="U7" s="102" t="e">
        <f t="shared" si="5"/>
        <v>#REF!</v>
      </c>
      <c r="V7" s="102" t="e">
        <f t="shared" si="5"/>
        <v>#REF!</v>
      </c>
      <c r="W7" s="102" t="e">
        <f t="shared" si="5"/>
        <v>#REF!</v>
      </c>
      <c r="X7" s="102" t="e">
        <f t="shared" si="5"/>
        <v>#REF!</v>
      </c>
      <c r="Y7" s="102" t="e">
        <f t="shared" si="5"/>
        <v>#REF!</v>
      </c>
      <c r="Z7" s="270" t="e">
        <f t="shared" si="5"/>
        <v>#REF!</v>
      </c>
      <c r="AA7" s="270" t="e">
        <f t="shared" si="5"/>
        <v>#REF!</v>
      </c>
      <c r="AB7" s="270" t="e">
        <f t="shared" si="5"/>
        <v>#REF!</v>
      </c>
      <c r="AC7" s="270" t="e">
        <f t="shared" si="5"/>
        <v>#REF!</v>
      </c>
      <c r="AD7" s="270" t="e">
        <f t="shared" si="5"/>
        <v>#REF!</v>
      </c>
      <c r="AE7" s="90"/>
      <c r="AF7" s="90"/>
      <c r="AG7" s="90"/>
      <c r="AH7" s="90"/>
    </row>
    <row r="8" spans="1:34" s="91" customFormat="1">
      <c r="A8" s="539"/>
      <c r="B8" s="84" t="s">
        <v>4</v>
      </c>
      <c r="C8" s="102">
        <f t="shared" ref="C8:D8" si="6">C18+C26</f>
        <v>334.17307782499995</v>
      </c>
      <c r="D8" s="102">
        <f t="shared" si="6"/>
        <v>300.16133086100029</v>
      </c>
      <c r="E8" s="102">
        <f t="shared" si="2"/>
        <v>420.09308988800001</v>
      </c>
      <c r="F8" s="107">
        <f t="shared" ref="F8:F14" si="7">IF(ISERROR(E8/D8-1),0,(E8/D8-1))</f>
        <v>0.39955766015222705</v>
      </c>
      <c r="G8" s="102">
        <f t="shared" si="3"/>
        <v>384.011865091</v>
      </c>
      <c r="H8" s="102">
        <f t="shared" si="3"/>
        <v>0</v>
      </c>
      <c r="I8" s="102">
        <f>G8+H8</f>
        <v>384.011865091</v>
      </c>
      <c r="J8" s="107">
        <f t="shared" ref="J8:J14" si="8">IF(ISERROR(I8/E8-1),0,(I8/E8-1))</f>
        <v>-8.5888641507099184E-2</v>
      </c>
      <c r="K8" s="102" t="e">
        <f>SUM(K26,K18)</f>
        <v>#REF!</v>
      </c>
      <c r="L8" s="107">
        <f t="shared" si="4"/>
        <v>0</v>
      </c>
      <c r="M8" s="108"/>
      <c r="N8" s="102" t="e">
        <f t="shared" ref="N8:AD8" si="9">SUM(N26,N18)</f>
        <v>#REF!</v>
      </c>
      <c r="O8" s="102" t="e">
        <f t="shared" si="9"/>
        <v>#REF!</v>
      </c>
      <c r="P8" s="102" t="e">
        <f t="shared" si="9"/>
        <v>#REF!</v>
      </c>
      <c r="Q8" s="102" t="e">
        <f t="shared" si="9"/>
        <v>#REF!</v>
      </c>
      <c r="R8" s="102" t="e">
        <f t="shared" si="9"/>
        <v>#REF!</v>
      </c>
      <c r="S8" s="102" t="e">
        <f t="shared" si="9"/>
        <v>#REF!</v>
      </c>
      <c r="T8" s="102" t="e">
        <f t="shared" si="9"/>
        <v>#REF!</v>
      </c>
      <c r="U8" s="102" t="e">
        <f t="shared" si="9"/>
        <v>#REF!</v>
      </c>
      <c r="V8" s="102" t="e">
        <f t="shared" si="9"/>
        <v>#REF!</v>
      </c>
      <c r="W8" s="102" t="e">
        <f t="shared" si="9"/>
        <v>#REF!</v>
      </c>
      <c r="X8" s="102" t="e">
        <f t="shared" si="9"/>
        <v>#REF!</v>
      </c>
      <c r="Y8" s="102" t="e">
        <f t="shared" si="9"/>
        <v>#REF!</v>
      </c>
      <c r="Z8" s="270" t="e">
        <f t="shared" si="9"/>
        <v>#REF!</v>
      </c>
      <c r="AA8" s="270" t="e">
        <f t="shared" si="9"/>
        <v>#REF!</v>
      </c>
      <c r="AB8" s="270" t="e">
        <f t="shared" si="9"/>
        <v>#REF!</v>
      </c>
      <c r="AC8" s="270" t="e">
        <f t="shared" si="9"/>
        <v>#REF!</v>
      </c>
      <c r="AD8" s="270" t="e">
        <f t="shared" si="9"/>
        <v>#REF!</v>
      </c>
      <c r="AE8" s="90"/>
      <c r="AF8" s="90"/>
      <c r="AG8" s="90"/>
      <c r="AH8" s="90"/>
    </row>
    <row r="9" spans="1:34" s="91" customFormat="1">
      <c r="A9" s="539"/>
      <c r="B9" s="84" t="s">
        <v>0</v>
      </c>
      <c r="C9" s="102">
        <f t="shared" ref="C9:D9" si="10">C19+C27</f>
        <v>176.90559601000001</v>
      </c>
      <c r="D9" s="102">
        <f t="shared" si="10"/>
        <v>62.03490101600002</v>
      </c>
      <c r="E9" s="102">
        <f t="shared" si="2"/>
        <v>102.56870028299998</v>
      </c>
      <c r="F9" s="107">
        <f t="shared" si="7"/>
        <v>0.65340314247532216</v>
      </c>
      <c r="G9" s="102">
        <f t="shared" si="3"/>
        <v>72.024740223999999</v>
      </c>
      <c r="H9" s="102">
        <f t="shared" si="3"/>
        <v>0</v>
      </c>
      <c r="I9" s="102">
        <f>G9+H9</f>
        <v>72.024740223999999</v>
      </c>
      <c r="J9" s="107">
        <f t="shared" si="8"/>
        <v>-0.29779026130510911</v>
      </c>
      <c r="K9" s="102" t="e">
        <f>SUM(K27,K19)</f>
        <v>#REF!</v>
      </c>
      <c r="L9" s="107">
        <f t="shared" si="4"/>
        <v>0</v>
      </c>
      <c r="M9" s="108"/>
      <c r="N9" s="102" t="e">
        <f t="shared" ref="N9:AD9" si="11">SUM(N27,N19)</f>
        <v>#REF!</v>
      </c>
      <c r="O9" s="102" t="e">
        <f t="shared" si="11"/>
        <v>#REF!</v>
      </c>
      <c r="P9" s="102" t="e">
        <f t="shared" si="11"/>
        <v>#REF!</v>
      </c>
      <c r="Q9" s="102" t="e">
        <f t="shared" si="11"/>
        <v>#REF!</v>
      </c>
      <c r="R9" s="102" t="e">
        <f t="shared" si="11"/>
        <v>#REF!</v>
      </c>
      <c r="S9" s="102" t="e">
        <f t="shared" si="11"/>
        <v>#REF!</v>
      </c>
      <c r="T9" s="102" t="e">
        <f t="shared" si="11"/>
        <v>#REF!</v>
      </c>
      <c r="U9" s="102" t="e">
        <f t="shared" si="11"/>
        <v>#REF!</v>
      </c>
      <c r="V9" s="102" t="e">
        <f t="shared" si="11"/>
        <v>#REF!</v>
      </c>
      <c r="W9" s="102" t="e">
        <f t="shared" si="11"/>
        <v>#REF!</v>
      </c>
      <c r="X9" s="102" t="e">
        <f t="shared" si="11"/>
        <v>#REF!</v>
      </c>
      <c r="Y9" s="102" t="e">
        <f t="shared" si="11"/>
        <v>#REF!</v>
      </c>
      <c r="Z9" s="270" t="e">
        <f t="shared" si="11"/>
        <v>#REF!</v>
      </c>
      <c r="AA9" s="270" t="e">
        <f t="shared" si="11"/>
        <v>#REF!</v>
      </c>
      <c r="AB9" s="270" t="e">
        <f t="shared" si="11"/>
        <v>#REF!</v>
      </c>
      <c r="AC9" s="270" t="e">
        <f t="shared" si="11"/>
        <v>#REF!</v>
      </c>
      <c r="AD9" s="270" t="e">
        <f t="shared" si="11"/>
        <v>#REF!</v>
      </c>
      <c r="AE9" s="90"/>
      <c r="AF9" s="90"/>
      <c r="AG9" s="90"/>
      <c r="AH9" s="90"/>
    </row>
    <row r="10" spans="1:34" s="91" customFormat="1">
      <c r="A10" s="539"/>
      <c r="B10" s="139" t="s">
        <v>82</v>
      </c>
      <c r="C10" s="144">
        <f>SUM(C7:C9)</f>
        <v>1172.7687371120001</v>
      </c>
      <c r="D10" s="144">
        <f>SUM(D7:D9)</f>
        <v>1044.7337517700003</v>
      </c>
      <c r="E10" s="144">
        <f>SUM(E7:E9)</f>
        <v>1404.265482282</v>
      </c>
      <c r="F10" s="141">
        <f t="shared" si="7"/>
        <v>0.34413718318459297</v>
      </c>
      <c r="G10" s="144">
        <f>SUM(G7:G9)</f>
        <v>922.28915273699999</v>
      </c>
      <c r="H10" s="144">
        <f>SUM(H7:H9)</f>
        <v>0</v>
      </c>
      <c r="I10" s="144">
        <f>SUM(I7:I9)</f>
        <v>922.28915273699999</v>
      </c>
      <c r="J10" s="141">
        <f t="shared" si="8"/>
        <v>-0.34322308397252987</v>
      </c>
      <c r="K10" s="144" t="e">
        <f>SUM(K7:K9)</f>
        <v>#REF!</v>
      </c>
      <c r="L10" s="141">
        <f t="shared" si="4"/>
        <v>0</v>
      </c>
      <c r="M10" s="108"/>
      <c r="N10" s="144" t="e">
        <f>SUM(N7:N9)</f>
        <v>#REF!</v>
      </c>
      <c r="O10" s="144" t="e">
        <f t="shared" ref="O10:Y10" si="12">SUM(O7:O9)</f>
        <v>#REF!</v>
      </c>
      <c r="P10" s="144" t="e">
        <f t="shared" si="12"/>
        <v>#REF!</v>
      </c>
      <c r="Q10" s="144" t="e">
        <f t="shared" si="12"/>
        <v>#REF!</v>
      </c>
      <c r="R10" s="144" t="e">
        <f t="shared" si="12"/>
        <v>#REF!</v>
      </c>
      <c r="S10" s="144" t="e">
        <f t="shared" ca="1" si="12"/>
        <v>#REF!</v>
      </c>
      <c r="T10" s="144" t="e">
        <f t="shared" si="12"/>
        <v>#REF!</v>
      </c>
      <c r="U10" s="144" t="e">
        <f t="shared" si="12"/>
        <v>#REF!</v>
      </c>
      <c r="V10" s="144" t="e">
        <f t="shared" si="12"/>
        <v>#REF!</v>
      </c>
      <c r="W10" s="144" t="e">
        <f t="shared" si="12"/>
        <v>#REF!</v>
      </c>
      <c r="X10" s="144" t="e">
        <f t="shared" si="12"/>
        <v>#REF!</v>
      </c>
      <c r="Y10" s="144" t="e">
        <f t="shared" si="12"/>
        <v>#REF!</v>
      </c>
      <c r="Z10" s="140" t="e">
        <f>SUM(Z7:Z9)</f>
        <v>#REF!</v>
      </c>
      <c r="AA10" s="140" t="e">
        <f>SUM(AA7:AA9)</f>
        <v>#REF!</v>
      </c>
      <c r="AB10" s="140" t="e">
        <f>SUM(AB7:AB9)</f>
        <v>#REF!</v>
      </c>
      <c r="AC10" s="140" t="e">
        <f>SUM(AC7:AC9)</f>
        <v>#REF!</v>
      </c>
      <c r="AD10" s="140" t="e">
        <f>SUM(AD7:AD9)</f>
        <v>#REF!</v>
      </c>
      <c r="AE10" s="90"/>
      <c r="AF10" s="90"/>
      <c r="AG10" s="90"/>
      <c r="AH10" s="90"/>
    </row>
    <row r="11" spans="1:34" s="260" customFormat="1">
      <c r="A11" s="539"/>
      <c r="B11" s="261" t="s">
        <v>97</v>
      </c>
      <c r="C11" s="97">
        <f>+C21</f>
        <v>0.13195359000000001</v>
      </c>
      <c r="D11" s="97">
        <f>+D21</f>
        <v>0.60804437900000008</v>
      </c>
      <c r="E11" s="97">
        <f>+E21</f>
        <v>4.0581800000000001E-2</v>
      </c>
      <c r="F11" s="143">
        <f t="shared" si="7"/>
        <v>-0.93325849000242134</v>
      </c>
      <c r="G11" s="97">
        <f t="shared" ref="G11:I12" si="13">+G21</f>
        <v>3.0081800000000002E-2</v>
      </c>
      <c r="H11" s="97">
        <f t="shared" si="13"/>
        <v>0</v>
      </c>
      <c r="I11" s="97">
        <f t="shared" si="13"/>
        <v>3.0081800000000002E-2</v>
      </c>
      <c r="J11" s="143">
        <f t="shared" si="8"/>
        <v>-0.25873667506123432</v>
      </c>
      <c r="K11" s="97">
        <f>+K21</f>
        <v>0</v>
      </c>
      <c r="L11" s="143">
        <f t="shared" si="4"/>
        <v>-1</v>
      </c>
      <c r="M11" s="108"/>
      <c r="N11" s="97">
        <f t="shared" ref="N11:Y11" si="14">+N21</f>
        <v>0</v>
      </c>
      <c r="O11" s="97">
        <f t="shared" si="14"/>
        <v>0</v>
      </c>
      <c r="P11" s="97">
        <f t="shared" si="14"/>
        <v>0</v>
      </c>
      <c r="Q11" s="97">
        <f t="shared" si="14"/>
        <v>0</v>
      </c>
      <c r="R11" s="97">
        <f t="shared" si="14"/>
        <v>0</v>
      </c>
      <c r="S11" s="97">
        <f t="shared" si="14"/>
        <v>0</v>
      </c>
      <c r="T11" s="97">
        <f t="shared" si="14"/>
        <v>0</v>
      </c>
      <c r="U11" s="97">
        <f t="shared" si="14"/>
        <v>0</v>
      </c>
      <c r="V11" s="97">
        <f t="shared" si="14"/>
        <v>0</v>
      </c>
      <c r="W11" s="97">
        <f t="shared" si="14"/>
        <v>0</v>
      </c>
      <c r="X11" s="97">
        <f t="shared" si="14"/>
        <v>0</v>
      </c>
      <c r="Y11" s="97">
        <f t="shared" si="14"/>
        <v>0</v>
      </c>
      <c r="Z11" s="271">
        <f>+Z21</f>
        <v>0</v>
      </c>
      <c r="AA11" s="271">
        <f>+AA21</f>
        <v>0</v>
      </c>
      <c r="AB11" s="271">
        <f>+AB21</f>
        <v>0</v>
      </c>
      <c r="AC11" s="271">
        <f>+AC21</f>
        <v>0</v>
      </c>
      <c r="AD11" s="271">
        <f>+AD21</f>
        <v>0</v>
      </c>
    </row>
    <row r="12" spans="1:34" s="260" customFormat="1">
      <c r="A12" s="539"/>
      <c r="B12" s="261" t="s">
        <v>104</v>
      </c>
      <c r="C12" s="97">
        <f>+C22+C29</f>
        <v>0</v>
      </c>
      <c r="D12" s="97">
        <f>+D22+D29</f>
        <v>28.620078964000044</v>
      </c>
      <c r="E12" s="97">
        <f>+E22+E29</f>
        <v>22.778006009999999</v>
      </c>
      <c r="F12" s="143">
        <f t="shared" si="7"/>
        <v>-0.20412497678111008</v>
      </c>
      <c r="G12" s="97">
        <f>+G22+G29</f>
        <v>12.635402899999997</v>
      </c>
      <c r="H12" s="97">
        <f t="shared" si="13"/>
        <v>0</v>
      </c>
      <c r="I12" s="97">
        <f>+I22+I29</f>
        <v>12.635402899999997</v>
      </c>
      <c r="J12" s="143">
        <f t="shared" si="8"/>
        <v>-0.44528055289594692</v>
      </c>
      <c r="K12" s="97">
        <f>+K22+K29</f>
        <v>0</v>
      </c>
      <c r="L12" s="143">
        <f t="shared" si="4"/>
        <v>-1</v>
      </c>
      <c r="M12" s="108"/>
      <c r="N12" s="97" t="e">
        <f t="shared" ref="N12:AD12" si="15">+N22+N29</f>
        <v>#REF!</v>
      </c>
      <c r="O12" s="97">
        <f t="shared" si="15"/>
        <v>575</v>
      </c>
      <c r="P12" s="97" t="e">
        <f t="shared" si="15"/>
        <v>#REF!</v>
      </c>
      <c r="Q12" s="97" t="e">
        <f t="shared" si="15"/>
        <v>#REF!</v>
      </c>
      <c r="R12" s="97" t="e">
        <f t="shared" si="15"/>
        <v>#REF!</v>
      </c>
      <c r="S12" s="97">
        <f t="shared" si="15"/>
        <v>625</v>
      </c>
      <c r="T12" s="97" t="e">
        <f t="shared" si="15"/>
        <v>#REF!</v>
      </c>
      <c r="U12" s="97" t="e">
        <f t="shared" si="15"/>
        <v>#REF!</v>
      </c>
      <c r="V12" s="97" t="e">
        <f t="shared" si="15"/>
        <v>#REF!</v>
      </c>
      <c r="W12" s="97">
        <f t="shared" si="15"/>
        <v>575</v>
      </c>
      <c r="X12" s="97" t="e">
        <f t="shared" si="15"/>
        <v>#REF!</v>
      </c>
      <c r="Y12" s="97" t="e">
        <f t="shared" si="15"/>
        <v>#REF!</v>
      </c>
      <c r="Z12" s="271">
        <f t="shared" si="15"/>
        <v>1272</v>
      </c>
      <c r="AA12" s="271">
        <f t="shared" si="15"/>
        <v>1775</v>
      </c>
      <c r="AB12" s="271">
        <f t="shared" si="15"/>
        <v>1778</v>
      </c>
      <c r="AC12" s="271">
        <f t="shared" si="15"/>
        <v>1501</v>
      </c>
      <c r="AD12" s="271">
        <f t="shared" si="15"/>
        <v>6326</v>
      </c>
    </row>
    <row r="13" spans="1:34" s="91" customFormat="1">
      <c r="A13" s="540"/>
      <c r="B13" s="84" t="s">
        <v>81</v>
      </c>
      <c r="C13" s="102">
        <f>C23+C30</f>
        <v>8.3642679090000005</v>
      </c>
      <c r="D13" s="102">
        <f>D23+D30</f>
        <v>7.0233797699999574</v>
      </c>
      <c r="E13" s="102">
        <f>E23+E30</f>
        <v>2.1875735769999998</v>
      </c>
      <c r="F13" s="107">
        <f t="shared" si="7"/>
        <v>-0.68852978926981567</v>
      </c>
      <c r="G13" s="102">
        <f>G23+G30</f>
        <v>1.8003066219999997</v>
      </c>
      <c r="H13" s="102">
        <f>H23+H30</f>
        <v>0</v>
      </c>
      <c r="I13" s="102">
        <f>G13+H13</f>
        <v>1.8003066219999997</v>
      </c>
      <c r="J13" s="107">
        <f t="shared" si="8"/>
        <v>-0.17703036783388615</v>
      </c>
      <c r="K13" s="102" t="e">
        <f>SUM(K30,K23)</f>
        <v>#REF!</v>
      </c>
      <c r="L13" s="107">
        <f t="shared" si="4"/>
        <v>0</v>
      </c>
      <c r="M13" s="108"/>
      <c r="N13" s="102" t="e">
        <f t="shared" ref="N13:AD13" si="16">SUM(N30,N23)</f>
        <v>#REF!</v>
      </c>
      <c r="O13" s="102" t="e">
        <f t="shared" si="16"/>
        <v>#REF!</v>
      </c>
      <c r="P13" s="102" t="e">
        <f t="shared" si="16"/>
        <v>#REF!</v>
      </c>
      <c r="Q13" s="102" t="e">
        <f t="shared" si="16"/>
        <v>#REF!</v>
      </c>
      <c r="R13" s="102" t="e">
        <f t="shared" si="16"/>
        <v>#REF!</v>
      </c>
      <c r="S13" s="102" t="e">
        <f t="shared" si="16"/>
        <v>#REF!</v>
      </c>
      <c r="T13" s="102" t="e">
        <f t="shared" si="16"/>
        <v>#REF!</v>
      </c>
      <c r="U13" s="102" t="e">
        <f t="shared" si="16"/>
        <v>#REF!</v>
      </c>
      <c r="V13" s="102" t="e">
        <f t="shared" si="16"/>
        <v>#REF!</v>
      </c>
      <c r="W13" s="102" t="e">
        <f t="shared" si="16"/>
        <v>#REF!</v>
      </c>
      <c r="X13" s="102" t="e">
        <f t="shared" si="16"/>
        <v>#REF!</v>
      </c>
      <c r="Y13" s="102" t="e">
        <f t="shared" si="16"/>
        <v>#REF!</v>
      </c>
      <c r="Z13" s="270" t="e">
        <f t="shared" si="16"/>
        <v>#REF!</v>
      </c>
      <c r="AA13" s="270" t="e">
        <f t="shared" si="16"/>
        <v>#REF!</v>
      </c>
      <c r="AB13" s="270" t="e">
        <f t="shared" si="16"/>
        <v>#REF!</v>
      </c>
      <c r="AC13" s="270" t="e">
        <f t="shared" si="16"/>
        <v>#REF!</v>
      </c>
      <c r="AD13" s="270" t="e">
        <f t="shared" si="16"/>
        <v>#REF!</v>
      </c>
      <c r="AE13" s="90"/>
      <c r="AF13" s="90"/>
      <c r="AG13" s="90"/>
      <c r="AH13" s="90"/>
    </row>
    <row r="14" spans="1:34">
      <c r="A14" s="9" t="s">
        <v>9</v>
      </c>
      <c r="B14" s="7"/>
      <c r="C14" s="96">
        <f>+C10+C13+C11+C12</f>
        <v>1181.2649586110001</v>
      </c>
      <c r="D14" s="96">
        <f>+D10+D13+D11+D12</f>
        <v>1080.9852548830002</v>
      </c>
      <c r="E14" s="96">
        <f>+E10+E13+E11+E12</f>
        <v>1429.2716436689998</v>
      </c>
      <c r="F14" s="10">
        <f t="shared" si="7"/>
        <v>0.32219346860905729</v>
      </c>
      <c r="G14" s="96">
        <f>+G10+G13+G11+G12</f>
        <v>936.75494405899997</v>
      </c>
      <c r="H14" s="96">
        <f>+H10+H13+H11+H12</f>
        <v>0</v>
      </c>
      <c r="I14" s="96">
        <f>+I10+I13+I11+I12</f>
        <v>936.75494405899997</v>
      </c>
      <c r="J14" s="10">
        <f t="shared" si="8"/>
        <v>-0.34459278737643528</v>
      </c>
      <c r="K14" s="96" t="e">
        <f>+K10+K13+K11+K12</f>
        <v>#REF!</v>
      </c>
      <c r="L14" s="10">
        <f t="shared" si="4"/>
        <v>0</v>
      </c>
      <c r="M14" s="94"/>
      <c r="N14" s="96" t="e">
        <f>+N10+N13+N11+N12</f>
        <v>#REF!</v>
      </c>
      <c r="O14" s="96" t="e">
        <f>+O10+O13+O11+O12</f>
        <v>#REF!</v>
      </c>
      <c r="P14" s="96" t="e">
        <f t="shared" ref="P14:Y14" si="17">+P10+P13+P11+P12</f>
        <v>#REF!</v>
      </c>
      <c r="Q14" s="96" t="e">
        <f t="shared" si="17"/>
        <v>#REF!</v>
      </c>
      <c r="R14" s="96" t="e">
        <f t="shared" si="17"/>
        <v>#REF!</v>
      </c>
      <c r="S14" s="96" t="e">
        <f t="shared" ca="1" si="17"/>
        <v>#REF!</v>
      </c>
      <c r="T14" s="96" t="e">
        <f t="shared" si="17"/>
        <v>#REF!</v>
      </c>
      <c r="U14" s="96" t="e">
        <f t="shared" si="17"/>
        <v>#REF!</v>
      </c>
      <c r="V14" s="96" t="e">
        <f t="shared" si="17"/>
        <v>#REF!</v>
      </c>
      <c r="W14" s="96" t="e">
        <f t="shared" si="17"/>
        <v>#REF!</v>
      </c>
      <c r="X14" s="96" t="e">
        <f t="shared" si="17"/>
        <v>#REF!</v>
      </c>
      <c r="Y14" s="96" t="e">
        <f t="shared" si="17"/>
        <v>#REF!</v>
      </c>
      <c r="Z14" s="19" t="e">
        <f>+Z10+Z13+Z11+Z12</f>
        <v>#REF!</v>
      </c>
      <c r="AA14" s="19" t="e">
        <f>+AA10+AA13+AA11+AA12</f>
        <v>#REF!</v>
      </c>
      <c r="AB14" s="19" t="e">
        <f>+AB10+AB13+AB11+AB12</f>
        <v>#REF!</v>
      </c>
      <c r="AC14" s="19" t="e">
        <f>+AC10+AC13+AC11+AC12</f>
        <v>#REF!</v>
      </c>
      <c r="AD14" s="19" t="e">
        <f>+AD10+AD13+AD11+AD12</f>
        <v>#REF!</v>
      </c>
      <c r="AE14" s="62"/>
      <c r="AF14" s="62"/>
      <c r="AG14" s="62"/>
      <c r="AH14" s="62"/>
    </row>
    <row r="15" spans="1:34" ht="13.5" customHeight="1">
      <c r="A15" s="69"/>
      <c r="B15" s="65"/>
      <c r="C15" s="66"/>
      <c r="G15" s="66"/>
      <c r="H15" s="66"/>
      <c r="I15" s="66"/>
      <c r="J15" s="66"/>
      <c r="K15" s="98"/>
      <c r="L15" s="66"/>
      <c r="M15" s="68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62"/>
      <c r="AA15" s="62"/>
      <c r="AB15" s="62"/>
      <c r="AC15" s="62"/>
      <c r="AD15" s="62"/>
      <c r="AE15" s="62"/>
      <c r="AF15" s="62"/>
      <c r="AG15" s="62"/>
      <c r="AH15" s="62"/>
    </row>
    <row r="16" spans="1:34" ht="13.5" customHeight="1">
      <c r="A16" s="69"/>
      <c r="B16" s="65"/>
      <c r="C16" s="66"/>
      <c r="D16" s="66"/>
      <c r="E16" s="66"/>
      <c r="F16" s="66"/>
      <c r="G16" s="66"/>
      <c r="H16" s="66"/>
      <c r="I16" s="66"/>
      <c r="J16" s="66"/>
      <c r="K16" s="98"/>
      <c r="L16" s="66"/>
      <c r="M16" s="68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62"/>
      <c r="AA16" s="62"/>
      <c r="AB16" s="62"/>
      <c r="AC16" s="62"/>
      <c r="AD16" s="62"/>
      <c r="AE16" s="62"/>
      <c r="AF16" s="62"/>
      <c r="AG16" s="62"/>
      <c r="AH16" s="62"/>
    </row>
    <row r="17" spans="1:34" s="91" customFormat="1">
      <c r="A17" s="535" t="s">
        <v>3</v>
      </c>
      <c r="B17" s="84" t="s">
        <v>12</v>
      </c>
      <c r="C17" s="102">
        <v>365.83487163700005</v>
      </c>
      <c r="D17" s="102">
        <v>231.93654729399987</v>
      </c>
      <c r="E17" s="102">
        <v>289.97386804899998</v>
      </c>
      <c r="F17" s="107">
        <f t="shared" ref="F17:F32" si="18">IF(ISERROR(E17/D17-1),0,(E17/D17-1))</f>
        <v>0.25022930379933928</v>
      </c>
      <c r="G17" s="102">
        <v>88.935217641999984</v>
      </c>
      <c r="H17" s="128"/>
      <c r="I17" s="102">
        <f t="shared" ref="I17:I27" si="19">G17+H17</f>
        <v>88.935217641999984</v>
      </c>
      <c r="J17" s="107">
        <f t="shared" ref="J17:J32" si="20">IF(ISERROR(I17/E17-1),0,(I17/E17-1))</f>
        <v>-0.69329919885411306</v>
      </c>
      <c r="K17" s="123" t="e">
        <f>SUM(N17:Y17)</f>
        <v>#REF!</v>
      </c>
      <c r="L17" s="107">
        <f t="shared" ref="L17:L32" si="21">IF(ISERROR(K17/I17-1),0,(K17/I17-1))</f>
        <v>0</v>
      </c>
      <c r="M17" s="108"/>
      <c r="N17" s="102" t="e">
        <f>Domestic!#REF!</f>
        <v>#REF!</v>
      </c>
      <c r="O17" s="102" t="e">
        <f>Domestic!#REF!</f>
        <v>#REF!</v>
      </c>
      <c r="P17" s="102" t="e">
        <f>Domestic!#REF!</f>
        <v>#REF!</v>
      </c>
      <c r="Q17" s="102" t="e">
        <f>Domestic!#REF!</f>
        <v>#REF!</v>
      </c>
      <c r="R17" s="102" t="e">
        <f>Domestic!#REF!</f>
        <v>#REF!</v>
      </c>
      <c r="S17" s="102" t="e">
        <f>Domestic!#REF!</f>
        <v>#REF!</v>
      </c>
      <c r="T17" s="102" t="e">
        <f>Domestic!#REF!</f>
        <v>#REF!</v>
      </c>
      <c r="U17" s="102" t="e">
        <f>Domestic!#REF!</f>
        <v>#REF!</v>
      </c>
      <c r="V17" s="102" t="e">
        <f>Domestic!#REF!</f>
        <v>#REF!</v>
      </c>
      <c r="W17" s="102" t="e">
        <f>Domestic!#REF!</f>
        <v>#REF!</v>
      </c>
      <c r="X17" s="102" t="e">
        <f>Domestic!#REF!</f>
        <v>#REF!</v>
      </c>
      <c r="Y17" s="102" t="e">
        <f>Domestic!#REF!</f>
        <v>#REF!</v>
      </c>
      <c r="Z17" s="281">
        <f>+Domestic!BA24</f>
        <v>8378</v>
      </c>
      <c r="AA17" s="281">
        <f>+Domestic!BD24</f>
        <v>10869</v>
      </c>
      <c r="AB17" s="281">
        <f>+Domestic!BG24</f>
        <v>7977</v>
      </c>
      <c r="AC17" s="281">
        <f>+Domestic!BH24</f>
        <v>27.904475818280588</v>
      </c>
      <c r="AD17" s="281">
        <f>+SUM(Z17:AC17)</f>
        <v>27251.904475818279</v>
      </c>
      <c r="AE17" s="90"/>
      <c r="AF17" s="90"/>
      <c r="AG17" s="90"/>
      <c r="AH17" s="90"/>
    </row>
    <row r="18" spans="1:34" s="91" customFormat="1">
      <c r="A18" s="536"/>
      <c r="B18" s="84" t="s">
        <v>4</v>
      </c>
      <c r="C18" s="102">
        <v>185.18230503999999</v>
      </c>
      <c r="D18" s="102">
        <v>122.79763698900028</v>
      </c>
      <c r="E18" s="102">
        <v>144.796539701</v>
      </c>
      <c r="F18" s="107">
        <f t="shared" si="18"/>
        <v>0.17914760618700099</v>
      </c>
      <c r="G18" s="102">
        <v>192.93343672099999</v>
      </c>
      <c r="H18" s="128"/>
      <c r="I18" s="102">
        <f t="shared" si="19"/>
        <v>192.93343672099999</v>
      </c>
      <c r="J18" s="107">
        <f t="shared" si="20"/>
        <v>0.33244507858683003</v>
      </c>
      <c r="K18" s="123" t="e">
        <f>SUM(N18:Y18)</f>
        <v>#REF!</v>
      </c>
      <c r="L18" s="107">
        <f t="shared" si="21"/>
        <v>0</v>
      </c>
      <c r="M18" s="108"/>
      <c r="N18" s="102" t="e">
        <f>Domestic!#REF!</f>
        <v>#REF!</v>
      </c>
      <c r="O18" s="102" t="e">
        <f>Domestic!#REF!</f>
        <v>#REF!</v>
      </c>
      <c r="P18" s="102" t="e">
        <f>Domestic!#REF!</f>
        <v>#REF!</v>
      </c>
      <c r="Q18" s="102" t="e">
        <f>Domestic!#REF!</f>
        <v>#REF!</v>
      </c>
      <c r="R18" s="102" t="e">
        <f>Domestic!#REF!</f>
        <v>#REF!</v>
      </c>
      <c r="S18" s="102" t="e">
        <f>Domestic!#REF!</f>
        <v>#REF!</v>
      </c>
      <c r="T18" s="102" t="e">
        <f>Domestic!#REF!</f>
        <v>#REF!</v>
      </c>
      <c r="U18" s="102" t="e">
        <f>Domestic!#REF!</f>
        <v>#REF!</v>
      </c>
      <c r="V18" s="102" t="e">
        <f>Domestic!#REF!</f>
        <v>#REF!</v>
      </c>
      <c r="W18" s="102" t="e">
        <f>Domestic!#REF!</f>
        <v>#REF!</v>
      </c>
      <c r="X18" s="102" t="e">
        <f>Domestic!#REF!</f>
        <v>#REF!</v>
      </c>
      <c r="Y18" s="102" t="e">
        <f>Domestic!#REF!</f>
        <v>#REF!</v>
      </c>
      <c r="Z18" s="281">
        <f>+Domestic!BA54</f>
        <v>7272</v>
      </c>
      <c r="AA18" s="281">
        <f>+Domestic!BD54</f>
        <v>5438</v>
      </c>
      <c r="AB18" s="281">
        <f>+Domestic!BG54</f>
        <v>4543</v>
      </c>
      <c r="AC18" s="281">
        <f>+Domestic!BH54</f>
        <v>32.122999327524496</v>
      </c>
      <c r="AD18" s="281">
        <f>+SUM(Z18:AC18)</f>
        <v>17285.122999327523</v>
      </c>
      <c r="AE18" s="90"/>
      <c r="AF18" s="90"/>
      <c r="AG18" s="90"/>
      <c r="AH18" s="90"/>
    </row>
    <row r="19" spans="1:34" s="91" customFormat="1">
      <c r="A19" s="536"/>
      <c r="B19" s="84" t="s">
        <v>0</v>
      </c>
      <c r="C19" s="102">
        <v>56.702391591999998</v>
      </c>
      <c r="D19" s="102">
        <v>58.230840827000023</v>
      </c>
      <c r="E19" s="102">
        <v>89.118097278999983</v>
      </c>
      <c r="F19" s="107">
        <f t="shared" si="18"/>
        <v>0.53042779416089769</v>
      </c>
      <c r="G19" s="102">
        <v>61.833662582999992</v>
      </c>
      <c r="H19" s="128"/>
      <c r="I19" s="102">
        <f t="shared" si="19"/>
        <v>61.833662582999992</v>
      </c>
      <c r="J19" s="107">
        <f t="shared" si="20"/>
        <v>-0.30616042677146971</v>
      </c>
      <c r="K19" s="123" t="e">
        <f>SUM(N19:Y19)</f>
        <v>#REF!</v>
      </c>
      <c r="L19" s="107">
        <f t="shared" si="21"/>
        <v>0</v>
      </c>
      <c r="M19" s="108"/>
      <c r="N19" s="102" t="e">
        <f>Domestic!#REF!</f>
        <v>#REF!</v>
      </c>
      <c r="O19" s="102" t="e">
        <f>Domestic!#REF!</f>
        <v>#REF!</v>
      </c>
      <c r="P19" s="102" t="e">
        <f>Domestic!#REF!</f>
        <v>#REF!</v>
      </c>
      <c r="Q19" s="102" t="e">
        <f>Domestic!#REF!</f>
        <v>#REF!</v>
      </c>
      <c r="R19" s="102" t="e">
        <f>Domestic!#REF!</f>
        <v>#REF!</v>
      </c>
      <c r="S19" s="102" t="e">
        <f>Domestic!#REF!</f>
        <v>#REF!</v>
      </c>
      <c r="T19" s="102" t="e">
        <f>Domestic!#REF!</f>
        <v>#REF!</v>
      </c>
      <c r="U19" s="102" t="e">
        <f>Domestic!#REF!</f>
        <v>#REF!</v>
      </c>
      <c r="V19" s="102" t="e">
        <f>Domestic!#REF!</f>
        <v>#REF!</v>
      </c>
      <c r="W19" s="102" t="e">
        <f>Domestic!#REF!</f>
        <v>#REF!</v>
      </c>
      <c r="X19" s="102" t="e">
        <f>Domestic!#REF!</f>
        <v>#REF!</v>
      </c>
      <c r="Y19" s="102" t="e">
        <f>Domestic!#REF!</f>
        <v>#REF!</v>
      </c>
      <c r="Z19" s="281">
        <f>+Domestic!BA61</f>
        <v>1601</v>
      </c>
      <c r="AA19" s="281">
        <f>+Domestic!BD61</f>
        <v>2636</v>
      </c>
      <c r="AB19" s="281">
        <f>+Domestic!BG61</f>
        <v>1326</v>
      </c>
      <c r="AC19" s="281">
        <f>+Domestic!BH61</f>
        <v>6.1863137256511891</v>
      </c>
      <c r="AD19" s="281">
        <f>+SUM(Z19:AC19)</f>
        <v>5569.1863137256514</v>
      </c>
      <c r="AE19" s="90"/>
      <c r="AF19" s="90"/>
      <c r="AG19" s="90"/>
      <c r="AH19" s="90"/>
    </row>
    <row r="20" spans="1:34" s="91" customFormat="1">
      <c r="A20" s="536"/>
      <c r="B20" s="142" t="s">
        <v>82</v>
      </c>
      <c r="C20" s="97">
        <f>SUM(C17:C19)</f>
        <v>607.71956826900009</v>
      </c>
      <c r="D20" s="97">
        <f>SUM(D17:D19)</f>
        <v>412.96502511000017</v>
      </c>
      <c r="E20" s="97">
        <f>SUM(E17:E19)</f>
        <v>523.88850502900004</v>
      </c>
      <c r="F20" s="143">
        <f t="shared" si="18"/>
        <v>0.26860260112694423</v>
      </c>
      <c r="G20" s="97">
        <f>SUM(G17:G19)</f>
        <v>343.70231694599994</v>
      </c>
      <c r="H20" s="97">
        <f>SUM(H17:H19)</f>
        <v>0</v>
      </c>
      <c r="I20" s="97">
        <f>SUM(I17:I19)</f>
        <v>343.70231694599994</v>
      </c>
      <c r="J20" s="143">
        <f t="shared" si="20"/>
        <v>-0.34393995354608098</v>
      </c>
      <c r="K20" s="97" t="e">
        <f>SUM(K17:K19)</f>
        <v>#REF!</v>
      </c>
      <c r="L20" s="143">
        <f t="shared" si="21"/>
        <v>0</v>
      </c>
      <c r="M20" s="108"/>
      <c r="N20" s="97" t="e">
        <f t="shared" ref="N20:AD20" si="22">SUM(N17:N19)</f>
        <v>#REF!</v>
      </c>
      <c r="O20" s="97" t="e">
        <f t="shared" si="22"/>
        <v>#REF!</v>
      </c>
      <c r="P20" s="97" t="e">
        <f t="shared" si="22"/>
        <v>#REF!</v>
      </c>
      <c r="Q20" s="97" t="e">
        <f t="shared" si="22"/>
        <v>#REF!</v>
      </c>
      <c r="R20" s="97" t="e">
        <f t="shared" si="22"/>
        <v>#REF!</v>
      </c>
      <c r="S20" s="97" t="e">
        <f t="shared" si="22"/>
        <v>#REF!</v>
      </c>
      <c r="T20" s="97" t="e">
        <f t="shared" si="22"/>
        <v>#REF!</v>
      </c>
      <c r="U20" s="97" t="e">
        <f t="shared" si="22"/>
        <v>#REF!</v>
      </c>
      <c r="V20" s="97" t="e">
        <f t="shared" si="22"/>
        <v>#REF!</v>
      </c>
      <c r="W20" s="97" t="e">
        <f t="shared" si="22"/>
        <v>#REF!</v>
      </c>
      <c r="X20" s="97" t="e">
        <f t="shared" si="22"/>
        <v>#REF!</v>
      </c>
      <c r="Y20" s="97" t="e">
        <f t="shared" si="22"/>
        <v>#REF!</v>
      </c>
      <c r="Z20" s="97">
        <f t="shared" si="22"/>
        <v>17251</v>
      </c>
      <c r="AA20" s="97">
        <f t="shared" si="22"/>
        <v>18943</v>
      </c>
      <c r="AB20" s="97">
        <f t="shared" si="22"/>
        <v>13846</v>
      </c>
      <c r="AC20" s="97">
        <f t="shared" si="22"/>
        <v>66.213788871456273</v>
      </c>
      <c r="AD20" s="97">
        <f t="shared" si="22"/>
        <v>50106.213788871457</v>
      </c>
      <c r="AE20" s="90"/>
      <c r="AF20" s="90"/>
      <c r="AG20" s="90"/>
      <c r="AH20" s="90"/>
    </row>
    <row r="21" spans="1:34" s="91" customFormat="1">
      <c r="A21" s="536"/>
      <c r="B21" s="84" t="s">
        <v>97</v>
      </c>
      <c r="C21" s="102">
        <v>0.13195359000000001</v>
      </c>
      <c r="D21" s="102">
        <v>0.60804437900000008</v>
      </c>
      <c r="E21" s="102">
        <v>4.0581800000000001E-2</v>
      </c>
      <c r="F21" s="107">
        <f t="shared" si="18"/>
        <v>-0.93325849000242134</v>
      </c>
      <c r="G21" s="102">
        <v>3.0081800000000002E-2</v>
      </c>
      <c r="H21" s="128"/>
      <c r="I21" s="102">
        <f>G21+H21</f>
        <v>3.0081800000000002E-2</v>
      </c>
      <c r="J21" s="107">
        <f t="shared" si="20"/>
        <v>-0.25873667506123432</v>
      </c>
      <c r="K21" s="123"/>
      <c r="L21" s="107">
        <f t="shared" si="21"/>
        <v>-1</v>
      </c>
      <c r="M21" s="108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270"/>
      <c r="AA21" s="270"/>
      <c r="AB21" s="270"/>
      <c r="AC21" s="270"/>
      <c r="AD21" s="281">
        <f>+SUM(Z21:AC21)</f>
        <v>0</v>
      </c>
      <c r="AE21" s="90"/>
      <c r="AF21" s="90"/>
      <c r="AG21" s="90"/>
      <c r="AH21" s="90"/>
    </row>
    <row r="22" spans="1:34" s="91" customFormat="1">
      <c r="A22" s="536"/>
      <c r="B22" s="84" t="s">
        <v>104</v>
      </c>
      <c r="C22" s="102"/>
      <c r="D22" s="102">
        <v>23.588406835000043</v>
      </c>
      <c r="E22" s="102">
        <v>22.778006009999999</v>
      </c>
      <c r="F22" s="107">
        <f t="shared" si="18"/>
        <v>-3.4355894854144475E-2</v>
      </c>
      <c r="G22" s="102">
        <v>12.635402899999997</v>
      </c>
      <c r="H22" s="128"/>
      <c r="I22" s="102">
        <f>G22+H22</f>
        <v>12.635402899999997</v>
      </c>
      <c r="J22" s="107">
        <f t="shared" si="20"/>
        <v>-0.44528055289594692</v>
      </c>
      <c r="K22" s="123"/>
      <c r="L22" s="107">
        <f t="shared" si="21"/>
        <v>-1</v>
      </c>
      <c r="M22" s="108"/>
      <c r="N22" s="102" t="e">
        <f>Domestic!#REF!</f>
        <v>#REF!</v>
      </c>
      <c r="O22" s="102">
        <f>Domestic!H65</f>
        <v>575</v>
      </c>
      <c r="P22" s="102" t="e">
        <f>Domestic!#REF!</f>
        <v>#REF!</v>
      </c>
      <c r="Q22" s="102" t="e">
        <f>Domestic!#REF!</f>
        <v>#REF!</v>
      </c>
      <c r="R22" s="102" t="e">
        <f>Domestic!#REF!</f>
        <v>#REF!</v>
      </c>
      <c r="S22" s="102">
        <f>Domestic!L65</f>
        <v>625</v>
      </c>
      <c r="T22" s="102" t="e">
        <f>Domestic!#REF!</f>
        <v>#REF!</v>
      </c>
      <c r="U22" s="102" t="e">
        <f>Domestic!#REF!</f>
        <v>#REF!</v>
      </c>
      <c r="V22" s="102" t="e">
        <f>Domestic!#REF!</f>
        <v>#REF!</v>
      </c>
      <c r="W22" s="102">
        <f>Domestic!P65</f>
        <v>575</v>
      </c>
      <c r="X22" s="102" t="e">
        <f>Domestic!#REF!</f>
        <v>#REF!</v>
      </c>
      <c r="Y22" s="102" t="e">
        <f>Domestic!#REF!</f>
        <v>#REF!</v>
      </c>
      <c r="Z22" s="281">
        <f>+Domestic!BA65</f>
        <v>1272</v>
      </c>
      <c r="AA22" s="281">
        <f>+Domestic!BC65</f>
        <v>1775</v>
      </c>
      <c r="AB22" s="281">
        <f>+Domestic!BD65</f>
        <v>1778</v>
      </c>
      <c r="AC22" s="281">
        <f>+Domestic!BG65</f>
        <v>1501</v>
      </c>
      <c r="AD22" s="281">
        <f>+SUM(Z22:AC22)</f>
        <v>6326</v>
      </c>
      <c r="AE22" s="90"/>
      <c r="AF22" s="90"/>
      <c r="AG22" s="90"/>
      <c r="AH22" s="90"/>
    </row>
    <row r="23" spans="1:34" s="91" customFormat="1">
      <c r="A23" s="537"/>
      <c r="B23" s="84" t="s">
        <v>81</v>
      </c>
      <c r="C23" s="102">
        <v>8.3642679090000005</v>
      </c>
      <c r="D23" s="102">
        <v>7.0233797699999574</v>
      </c>
      <c r="E23" s="102">
        <v>2.1875735769999998</v>
      </c>
      <c r="F23" s="107">
        <f t="shared" si="18"/>
        <v>-0.68852978926981567</v>
      </c>
      <c r="G23" s="102">
        <v>1.8003066219999997</v>
      </c>
      <c r="H23" s="128"/>
      <c r="I23" s="102">
        <f>G23+H23</f>
        <v>1.8003066219999997</v>
      </c>
      <c r="J23" s="107">
        <f t="shared" si="20"/>
        <v>-0.17703036783388615</v>
      </c>
      <c r="K23" s="123" t="e">
        <f>SUM(N23:Y23)</f>
        <v>#REF!</v>
      </c>
      <c r="L23" s="107">
        <f t="shared" si="21"/>
        <v>0</v>
      </c>
      <c r="M23" s="108"/>
      <c r="N23" s="102" t="e">
        <f>Domestic!#REF!</f>
        <v>#REF!</v>
      </c>
      <c r="O23" s="102" t="e">
        <f>Domestic!#REF!</f>
        <v>#REF!</v>
      </c>
      <c r="P23" s="102" t="e">
        <f>Domestic!#REF!</f>
        <v>#REF!</v>
      </c>
      <c r="Q23" s="102" t="e">
        <f>Domestic!#REF!</f>
        <v>#REF!</v>
      </c>
      <c r="R23" s="102" t="e">
        <f>Domestic!#REF!</f>
        <v>#REF!</v>
      </c>
      <c r="S23" s="102" t="e">
        <f>Domestic!#REF!</f>
        <v>#REF!</v>
      </c>
      <c r="T23" s="102" t="e">
        <f>Domestic!#REF!</f>
        <v>#REF!</v>
      </c>
      <c r="U23" s="102" t="e">
        <f>Domestic!#REF!</f>
        <v>#REF!</v>
      </c>
      <c r="V23" s="102" t="e">
        <f>Domestic!#REF!</f>
        <v>#REF!</v>
      </c>
      <c r="W23" s="102" t="e">
        <f>Domestic!#REF!</f>
        <v>#REF!</v>
      </c>
      <c r="X23" s="102" t="e">
        <f>Domestic!#REF!</f>
        <v>#REF!</v>
      </c>
      <c r="Y23" s="102" t="e">
        <f>Domestic!#REF!</f>
        <v>#REF!</v>
      </c>
      <c r="Z23" s="281">
        <f>+Domestic!BA69</f>
        <v>0</v>
      </c>
      <c r="AA23" s="281">
        <f>+Domestic!BD69</f>
        <v>0</v>
      </c>
      <c r="AB23" s="281">
        <f>+Domestic!BG69</f>
        <v>0</v>
      </c>
      <c r="AC23" s="281">
        <f>+Domestic!BH69</f>
        <v>0</v>
      </c>
      <c r="AD23" s="281">
        <f>+SUM(Z23:AC23)</f>
        <v>0</v>
      </c>
      <c r="AE23" s="90"/>
      <c r="AF23" s="90"/>
      <c r="AG23" s="90"/>
      <c r="AH23" s="90"/>
    </row>
    <row r="24" spans="1:34">
      <c r="A24" s="6" t="s">
        <v>13</v>
      </c>
      <c r="B24" s="16"/>
      <c r="C24" s="95">
        <f>+C20+C23+C21+C22</f>
        <v>616.21578976800004</v>
      </c>
      <c r="D24" s="95">
        <f>+D20+D23+D21+D22</f>
        <v>444.18485609400017</v>
      </c>
      <c r="E24" s="95">
        <f>+E20+E23+E21+E22</f>
        <v>548.89466641600006</v>
      </c>
      <c r="F24" s="18">
        <f t="shared" si="18"/>
        <v>0.23573475971868962</v>
      </c>
      <c r="G24" s="92">
        <f>+G20+G23+G21+G22</f>
        <v>358.16810826799991</v>
      </c>
      <c r="H24" s="92">
        <f>+H20+H23+H21</f>
        <v>0</v>
      </c>
      <c r="I24" s="92">
        <f>+I20+I23+I21+I22</f>
        <v>358.16810826799991</v>
      </c>
      <c r="J24" s="18">
        <f t="shared" si="20"/>
        <v>-0.34747387762636961</v>
      </c>
      <c r="K24" s="95" t="e">
        <f>+K20+K23+K21</f>
        <v>#REF!</v>
      </c>
      <c r="L24" s="18">
        <f t="shared" si="21"/>
        <v>0</v>
      </c>
      <c r="M24" s="94"/>
      <c r="N24" s="95" t="e">
        <f t="shared" ref="N24:AD24" si="23">+N20+N23+N21</f>
        <v>#REF!</v>
      </c>
      <c r="O24" s="95" t="e">
        <f t="shared" si="23"/>
        <v>#REF!</v>
      </c>
      <c r="P24" s="95" t="e">
        <f t="shared" si="23"/>
        <v>#REF!</v>
      </c>
      <c r="Q24" s="95" t="e">
        <f t="shared" si="23"/>
        <v>#REF!</v>
      </c>
      <c r="R24" s="95" t="e">
        <f t="shared" si="23"/>
        <v>#REF!</v>
      </c>
      <c r="S24" s="95" t="e">
        <f t="shared" si="23"/>
        <v>#REF!</v>
      </c>
      <c r="T24" s="95" t="e">
        <f t="shared" si="23"/>
        <v>#REF!</v>
      </c>
      <c r="U24" s="95" t="e">
        <f t="shared" si="23"/>
        <v>#REF!</v>
      </c>
      <c r="V24" s="95" t="e">
        <f t="shared" si="23"/>
        <v>#REF!</v>
      </c>
      <c r="W24" s="95" t="e">
        <f t="shared" si="23"/>
        <v>#REF!</v>
      </c>
      <c r="X24" s="95" t="e">
        <f t="shared" si="23"/>
        <v>#REF!</v>
      </c>
      <c r="Y24" s="95" t="e">
        <f t="shared" si="23"/>
        <v>#REF!</v>
      </c>
      <c r="Z24" s="95">
        <f t="shared" si="23"/>
        <v>17251</v>
      </c>
      <c r="AA24" s="95">
        <f t="shared" si="23"/>
        <v>18943</v>
      </c>
      <c r="AB24" s="95">
        <f t="shared" si="23"/>
        <v>13846</v>
      </c>
      <c r="AC24" s="95">
        <f t="shared" si="23"/>
        <v>66.213788871456273</v>
      </c>
      <c r="AD24" s="95">
        <f t="shared" si="23"/>
        <v>50106.213788871457</v>
      </c>
      <c r="AE24" s="62"/>
      <c r="AF24" s="62"/>
      <c r="AG24" s="62"/>
      <c r="AH24" s="62"/>
    </row>
    <row r="25" spans="1:34" s="91" customFormat="1">
      <c r="A25" s="535" t="s">
        <v>15</v>
      </c>
      <c r="B25" s="84" t="s">
        <v>12</v>
      </c>
      <c r="C25" s="102">
        <f t="shared" ref="C25:D25" si="24">C35+C42+C49+C56</f>
        <v>295.85519163999999</v>
      </c>
      <c r="D25" s="102">
        <f t="shared" si="24"/>
        <v>450.60097259899993</v>
      </c>
      <c r="E25" s="102">
        <f t="shared" ref="E25:E27" si="25">E35+E42+E49+E56</f>
        <v>591.62982406200001</v>
      </c>
      <c r="F25" s="107">
        <f t="shared" si="18"/>
        <v>0.31297946528958098</v>
      </c>
      <c r="G25" s="102">
        <f t="shared" ref="G25:H27" si="26">G35+G42+G49+G56</f>
        <v>377.31732977999997</v>
      </c>
      <c r="H25" s="102">
        <f t="shared" si="26"/>
        <v>0</v>
      </c>
      <c r="I25" s="102">
        <f>G25+H25</f>
        <v>377.31732977999997</v>
      </c>
      <c r="J25" s="107">
        <f t="shared" si="20"/>
        <v>-0.36224085664001471</v>
      </c>
      <c r="K25" s="102" t="e">
        <f>K35+K42+K49+K56</f>
        <v>#REF!</v>
      </c>
      <c r="L25" s="107">
        <f t="shared" si="21"/>
        <v>0</v>
      </c>
      <c r="M25" s="108"/>
      <c r="N25" s="102" t="e">
        <f t="shared" ref="N25:Y25" si="27">SUM(N35,N42,N49,N56)</f>
        <v>#REF!</v>
      </c>
      <c r="O25" s="102" t="e">
        <f t="shared" si="27"/>
        <v>#REF!</v>
      </c>
      <c r="P25" s="102" t="e">
        <f t="shared" si="27"/>
        <v>#REF!</v>
      </c>
      <c r="Q25" s="102" t="e">
        <f t="shared" si="27"/>
        <v>#REF!</v>
      </c>
      <c r="R25" s="102">
        <f t="shared" si="27"/>
        <v>12.318168661500003</v>
      </c>
      <c r="S25" s="102">
        <f t="shared" ca="1" si="27"/>
        <v>10.937270937499999</v>
      </c>
      <c r="T25" s="102" t="e">
        <f t="shared" si="27"/>
        <v>#REF!</v>
      </c>
      <c r="U25" s="102" t="e">
        <f t="shared" si="27"/>
        <v>#REF!</v>
      </c>
      <c r="V25" s="102" t="e">
        <f t="shared" si="27"/>
        <v>#REF!</v>
      </c>
      <c r="W25" s="102" t="e">
        <f t="shared" si="27"/>
        <v>#REF!</v>
      </c>
      <c r="X25" s="102" t="e">
        <f t="shared" si="27"/>
        <v>#REF!</v>
      </c>
      <c r="Y25" s="102" t="e">
        <f t="shared" si="27"/>
        <v>#REF!</v>
      </c>
      <c r="Z25" s="102" t="e">
        <f t="shared" ref="Z25:AD27" si="28">SUM(Z35,Z42,Z49,Z56)</f>
        <v>#REF!</v>
      </c>
      <c r="AA25" s="102" t="e">
        <f t="shared" si="28"/>
        <v>#REF!</v>
      </c>
      <c r="AB25" s="102" t="e">
        <f t="shared" si="28"/>
        <v>#REF!</v>
      </c>
      <c r="AC25" s="102" t="e">
        <f t="shared" si="28"/>
        <v>#REF!</v>
      </c>
      <c r="AD25" s="102" t="e">
        <f t="shared" si="28"/>
        <v>#REF!</v>
      </c>
      <c r="AE25" s="90"/>
      <c r="AF25" s="90"/>
      <c r="AG25" s="90"/>
      <c r="AH25" s="90"/>
    </row>
    <row r="26" spans="1:34" s="91" customFormat="1">
      <c r="A26" s="536"/>
      <c r="B26" s="84" t="s">
        <v>4</v>
      </c>
      <c r="C26" s="102">
        <f t="shared" ref="C26:D26" si="29">C36+C43+C50+C57</f>
        <v>148.99077278499999</v>
      </c>
      <c r="D26" s="102">
        <f t="shared" si="29"/>
        <v>177.363693872</v>
      </c>
      <c r="E26" s="102">
        <f t="shared" si="25"/>
        <v>275.29655018699998</v>
      </c>
      <c r="F26" s="107">
        <f t="shared" si="18"/>
        <v>0.5521584162860087</v>
      </c>
      <c r="G26" s="102">
        <f t="shared" si="26"/>
        <v>191.07842836999998</v>
      </c>
      <c r="H26" s="102">
        <f t="shared" si="26"/>
        <v>0</v>
      </c>
      <c r="I26" s="102">
        <f t="shared" si="19"/>
        <v>191.07842836999998</v>
      </c>
      <c r="J26" s="107">
        <f t="shared" si="20"/>
        <v>-0.30591782483214325</v>
      </c>
      <c r="K26" s="102" t="e">
        <f>K36+K43+K50+K57</f>
        <v>#REF!</v>
      </c>
      <c r="L26" s="107">
        <f t="shared" si="21"/>
        <v>0</v>
      </c>
      <c r="M26" s="108"/>
      <c r="N26" s="102" t="e">
        <f t="shared" ref="N26:Y26" si="30">SUM(N36,N43,N50,N57)</f>
        <v>#REF!</v>
      </c>
      <c r="O26" s="102" t="e">
        <f t="shared" si="30"/>
        <v>#REF!</v>
      </c>
      <c r="P26" s="102" t="e">
        <f t="shared" si="30"/>
        <v>#REF!</v>
      </c>
      <c r="Q26" s="102" t="e">
        <f t="shared" si="30"/>
        <v>#REF!</v>
      </c>
      <c r="R26" s="102">
        <f t="shared" si="30"/>
        <v>6.9486770938714297</v>
      </c>
      <c r="S26" s="102">
        <f t="shared" si="30"/>
        <v>16.097312355428574</v>
      </c>
      <c r="T26" s="102" t="e">
        <f t="shared" si="30"/>
        <v>#REF!</v>
      </c>
      <c r="U26" s="102" t="e">
        <f t="shared" si="30"/>
        <v>#REF!</v>
      </c>
      <c r="V26" s="102" t="e">
        <f t="shared" si="30"/>
        <v>#REF!</v>
      </c>
      <c r="W26" s="102" t="e">
        <f t="shared" si="30"/>
        <v>#REF!</v>
      </c>
      <c r="X26" s="102" t="e">
        <f t="shared" si="30"/>
        <v>#REF!</v>
      </c>
      <c r="Y26" s="102" t="e">
        <f t="shared" si="30"/>
        <v>#REF!</v>
      </c>
      <c r="Z26" s="102" t="e">
        <f t="shared" si="28"/>
        <v>#REF!</v>
      </c>
      <c r="AA26" s="102" t="e">
        <f t="shared" si="28"/>
        <v>#REF!</v>
      </c>
      <c r="AB26" s="102" t="e">
        <f t="shared" si="28"/>
        <v>#REF!</v>
      </c>
      <c r="AC26" s="102" t="e">
        <f t="shared" si="28"/>
        <v>#REF!</v>
      </c>
      <c r="AD26" s="102" t="e">
        <f t="shared" si="28"/>
        <v>#REF!</v>
      </c>
      <c r="AE26" s="90"/>
      <c r="AF26" s="90"/>
      <c r="AG26" s="90"/>
      <c r="AH26" s="90"/>
    </row>
    <row r="27" spans="1:34" s="91" customFormat="1">
      <c r="A27" s="536"/>
      <c r="B27" s="84" t="s">
        <v>0</v>
      </c>
      <c r="C27" s="102">
        <f t="shared" ref="C27:D27" si="31">C37+C44+C51+C58</f>
        <v>120.203204418</v>
      </c>
      <c r="D27" s="102">
        <f t="shared" si="31"/>
        <v>3.8040601889999999</v>
      </c>
      <c r="E27" s="102">
        <f t="shared" si="25"/>
        <v>13.450603004</v>
      </c>
      <c r="F27" s="107">
        <f t="shared" si="18"/>
        <v>2.5358544123182907</v>
      </c>
      <c r="G27" s="102">
        <f t="shared" si="26"/>
        <v>10.191077641</v>
      </c>
      <c r="H27" s="102">
        <f t="shared" si="26"/>
        <v>0</v>
      </c>
      <c r="I27" s="102">
        <f t="shared" si="19"/>
        <v>10.191077641</v>
      </c>
      <c r="J27" s="107">
        <f t="shared" si="20"/>
        <v>-0.24233302864047568</v>
      </c>
      <c r="K27" s="102" t="e">
        <f>K37+K44+K51+K58</f>
        <v>#REF!</v>
      </c>
      <c r="L27" s="107">
        <f t="shared" si="21"/>
        <v>0</v>
      </c>
      <c r="M27" s="108"/>
      <c r="N27" s="102" t="e">
        <f t="shared" ref="N27:Y27" si="32">SUM(N37,N44,N51,N58)</f>
        <v>#REF!</v>
      </c>
      <c r="O27" s="102" t="e">
        <f t="shared" si="32"/>
        <v>#REF!</v>
      </c>
      <c r="P27" s="102" t="e">
        <f t="shared" si="32"/>
        <v>#REF!</v>
      </c>
      <c r="Q27" s="102" t="e">
        <f t="shared" si="32"/>
        <v>#REF!</v>
      </c>
      <c r="R27" s="102">
        <f t="shared" si="32"/>
        <v>1.8111258000000002E-2</v>
      </c>
      <c r="S27" s="102">
        <f t="shared" si="32"/>
        <v>0</v>
      </c>
      <c r="T27" s="102" t="e">
        <f t="shared" si="32"/>
        <v>#REF!</v>
      </c>
      <c r="U27" s="102" t="e">
        <f t="shared" si="32"/>
        <v>#REF!</v>
      </c>
      <c r="V27" s="102" t="e">
        <f t="shared" si="32"/>
        <v>#REF!</v>
      </c>
      <c r="W27" s="102" t="e">
        <f t="shared" si="32"/>
        <v>#REF!</v>
      </c>
      <c r="X27" s="102" t="e">
        <f t="shared" si="32"/>
        <v>#REF!</v>
      </c>
      <c r="Y27" s="102" t="e">
        <f t="shared" si="32"/>
        <v>#REF!</v>
      </c>
      <c r="Z27" s="102" t="e">
        <f t="shared" si="28"/>
        <v>#REF!</v>
      </c>
      <c r="AA27" s="102" t="e">
        <f t="shared" si="28"/>
        <v>#REF!</v>
      </c>
      <c r="AB27" s="102" t="e">
        <f t="shared" si="28"/>
        <v>#REF!</v>
      </c>
      <c r="AC27" s="102" t="e">
        <f t="shared" si="28"/>
        <v>#REF!</v>
      </c>
      <c r="AD27" s="102" t="e">
        <f t="shared" si="28"/>
        <v>#REF!</v>
      </c>
      <c r="AE27" s="90"/>
      <c r="AF27" s="90"/>
      <c r="AG27" s="90"/>
      <c r="AH27" s="90"/>
    </row>
    <row r="28" spans="1:34" s="91" customFormat="1">
      <c r="A28" s="536"/>
      <c r="B28" s="142" t="s">
        <v>82</v>
      </c>
      <c r="C28" s="97">
        <f>SUM(C25:C27)</f>
        <v>565.04916884299996</v>
      </c>
      <c r="D28" s="97">
        <f>SUM(D25:D27)</f>
        <v>631.76872665999986</v>
      </c>
      <c r="E28" s="97">
        <f>SUM(E25:E27)</f>
        <v>880.37697725299995</v>
      </c>
      <c r="F28" s="143">
        <f t="shared" si="18"/>
        <v>0.39351148624802712</v>
      </c>
      <c r="G28" s="97">
        <f>SUM(G25:G27)</f>
        <v>578.58683579099988</v>
      </c>
      <c r="H28" s="97">
        <f>SUM(H25:H27)</f>
        <v>0</v>
      </c>
      <c r="I28" s="97">
        <f>SUM(I25:I27)</f>
        <v>578.58683579099988</v>
      </c>
      <c r="J28" s="143">
        <f t="shared" si="20"/>
        <v>-0.34279649429686598</v>
      </c>
      <c r="K28" s="97" t="e">
        <f>SUM(K25:K27)</f>
        <v>#REF!</v>
      </c>
      <c r="L28" s="143">
        <f>IF(ISERROR(K28/I28-1),0,(K28/I28-1))</f>
        <v>0</v>
      </c>
      <c r="M28" s="108"/>
      <c r="N28" s="97" t="e">
        <f t="shared" ref="N28:AD28" si="33">SUM(N25:N27)</f>
        <v>#REF!</v>
      </c>
      <c r="O28" s="97" t="e">
        <f t="shared" si="33"/>
        <v>#REF!</v>
      </c>
      <c r="P28" s="97" t="e">
        <f t="shared" si="33"/>
        <v>#REF!</v>
      </c>
      <c r="Q28" s="97" t="e">
        <f t="shared" si="33"/>
        <v>#REF!</v>
      </c>
      <c r="R28" s="97">
        <f t="shared" si="33"/>
        <v>19.284957013371436</v>
      </c>
      <c r="S28" s="97">
        <f t="shared" ca="1" si="33"/>
        <v>27.034583292928573</v>
      </c>
      <c r="T28" s="97" t="e">
        <f t="shared" si="33"/>
        <v>#REF!</v>
      </c>
      <c r="U28" s="97" t="e">
        <f t="shared" si="33"/>
        <v>#REF!</v>
      </c>
      <c r="V28" s="97" t="e">
        <f t="shared" si="33"/>
        <v>#REF!</v>
      </c>
      <c r="W28" s="97" t="e">
        <f t="shared" si="33"/>
        <v>#REF!</v>
      </c>
      <c r="X28" s="97" t="e">
        <f t="shared" si="33"/>
        <v>#REF!</v>
      </c>
      <c r="Y28" s="97" t="e">
        <f t="shared" si="33"/>
        <v>#REF!</v>
      </c>
      <c r="Z28" s="97" t="e">
        <f t="shared" si="33"/>
        <v>#REF!</v>
      </c>
      <c r="AA28" s="97" t="e">
        <f t="shared" si="33"/>
        <v>#REF!</v>
      </c>
      <c r="AB28" s="97" t="e">
        <f t="shared" si="33"/>
        <v>#REF!</v>
      </c>
      <c r="AC28" s="97" t="e">
        <f t="shared" si="33"/>
        <v>#REF!</v>
      </c>
      <c r="AD28" s="97" t="e">
        <f t="shared" si="33"/>
        <v>#REF!</v>
      </c>
      <c r="AE28" s="90"/>
      <c r="AF28" s="90"/>
      <c r="AG28" s="90"/>
      <c r="AH28" s="90"/>
    </row>
    <row r="29" spans="1:34" s="91" customFormat="1">
      <c r="A29" s="536"/>
      <c r="B29" s="142" t="s">
        <v>104</v>
      </c>
      <c r="C29" s="102">
        <f t="shared" ref="C29:D29" si="34">C39+C46+C53+C60</f>
        <v>0</v>
      </c>
      <c r="D29" s="102">
        <f t="shared" si="34"/>
        <v>5.0316721290000013</v>
      </c>
      <c r="E29" s="102">
        <f t="shared" ref="E29:E30" si="35">E39+E46+E53+E60</f>
        <v>0</v>
      </c>
      <c r="F29" s="107">
        <f>IF(ISERROR(E29/D29-1),0,(E29/D29-1))</f>
        <v>-1</v>
      </c>
      <c r="G29" s="102">
        <f>G39+G46+G53+G60</f>
        <v>0</v>
      </c>
      <c r="H29" s="102">
        <f>H39+H46+H53+H60</f>
        <v>0</v>
      </c>
      <c r="I29" s="102">
        <f>G29+H29</f>
        <v>0</v>
      </c>
      <c r="J29" s="107">
        <f>IF(ISERROR(I29/E29-1),0,(I29/E29-1))</f>
        <v>0</v>
      </c>
      <c r="K29" s="102">
        <f>K39+K46+K53+K60</f>
        <v>0</v>
      </c>
      <c r="L29" s="107">
        <f>IF(ISERROR(K29/I29-1),0,(K29/I29-1))</f>
        <v>0</v>
      </c>
      <c r="M29" s="108"/>
      <c r="N29" s="102" t="e">
        <f t="shared" ref="N29:AD30" si="36">SUM(N39,N46,N53,N60)</f>
        <v>#REF!</v>
      </c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  <c r="AC29" s="97"/>
      <c r="AD29" s="97"/>
      <c r="AE29" s="90"/>
      <c r="AF29" s="90"/>
      <c r="AG29" s="90"/>
      <c r="AH29" s="90"/>
    </row>
    <row r="30" spans="1:34" s="91" customFormat="1">
      <c r="A30" s="537"/>
      <c r="B30" s="84" t="s">
        <v>81</v>
      </c>
      <c r="C30" s="102">
        <f t="shared" ref="C30:D30" si="37">C40+C47+C54+C61</f>
        <v>0</v>
      </c>
      <c r="D30" s="102">
        <f t="shared" si="37"/>
        <v>0</v>
      </c>
      <c r="E30" s="102">
        <f t="shared" si="35"/>
        <v>0</v>
      </c>
      <c r="F30" s="107">
        <f t="shared" si="18"/>
        <v>0</v>
      </c>
      <c r="G30" s="102">
        <f>G40+G47+G54+G61</f>
        <v>0</v>
      </c>
      <c r="H30" s="102">
        <f>H40+H47+H54+H61</f>
        <v>0</v>
      </c>
      <c r="I30" s="102">
        <f>G30+H30</f>
        <v>0</v>
      </c>
      <c r="J30" s="107">
        <f t="shared" si="20"/>
        <v>0</v>
      </c>
      <c r="K30" s="102" t="e">
        <f>K40+K47+K54+K61</f>
        <v>#REF!</v>
      </c>
      <c r="L30" s="107">
        <f t="shared" si="21"/>
        <v>0</v>
      </c>
      <c r="M30" s="108"/>
      <c r="N30" s="102" t="e">
        <f t="shared" si="36"/>
        <v>#REF!</v>
      </c>
      <c r="O30" s="102" t="e">
        <f t="shared" si="36"/>
        <v>#REF!</v>
      </c>
      <c r="P30" s="102" t="e">
        <f t="shared" si="36"/>
        <v>#REF!</v>
      </c>
      <c r="Q30" s="102" t="e">
        <f t="shared" si="36"/>
        <v>#REF!</v>
      </c>
      <c r="R30" s="102">
        <f t="shared" si="36"/>
        <v>0</v>
      </c>
      <c r="S30" s="102">
        <f t="shared" si="36"/>
        <v>0</v>
      </c>
      <c r="T30" s="102" t="e">
        <f t="shared" si="36"/>
        <v>#REF!</v>
      </c>
      <c r="U30" s="102" t="e">
        <f t="shared" si="36"/>
        <v>#REF!</v>
      </c>
      <c r="V30" s="102" t="e">
        <f t="shared" si="36"/>
        <v>#REF!</v>
      </c>
      <c r="W30" s="102" t="e">
        <f t="shared" si="36"/>
        <v>#REF!</v>
      </c>
      <c r="X30" s="102" t="e">
        <f t="shared" si="36"/>
        <v>#REF!</v>
      </c>
      <c r="Y30" s="102" t="e">
        <f t="shared" si="36"/>
        <v>#REF!</v>
      </c>
      <c r="Z30" s="102" t="e">
        <f t="shared" si="36"/>
        <v>#REF!</v>
      </c>
      <c r="AA30" s="102" t="e">
        <f t="shared" si="36"/>
        <v>#REF!</v>
      </c>
      <c r="AB30" s="102" t="e">
        <f t="shared" si="36"/>
        <v>#REF!</v>
      </c>
      <c r="AC30" s="102" t="e">
        <f t="shared" si="36"/>
        <v>#REF!</v>
      </c>
      <c r="AD30" s="102" t="e">
        <f t="shared" si="36"/>
        <v>#REF!</v>
      </c>
      <c r="AE30" s="90"/>
      <c r="AF30" s="90"/>
      <c r="AG30" s="90"/>
      <c r="AH30" s="90"/>
    </row>
    <row r="31" spans="1:34">
      <c r="A31" s="8" t="s">
        <v>14</v>
      </c>
      <c r="B31" s="16"/>
      <c r="C31" s="95">
        <f>+C28+C30+C29</f>
        <v>565.04916884299996</v>
      </c>
      <c r="D31" s="95">
        <f>+D28+D30+D29</f>
        <v>636.80039878899981</v>
      </c>
      <c r="E31" s="95">
        <f>+E28+E30+E29</f>
        <v>880.37697725299995</v>
      </c>
      <c r="F31" s="18">
        <f t="shared" si="18"/>
        <v>0.38250066885512091</v>
      </c>
      <c r="G31" s="92">
        <f>+G28+G30+G29</f>
        <v>578.58683579099988</v>
      </c>
      <c r="H31" s="92">
        <f>+H28+H30+H29</f>
        <v>0</v>
      </c>
      <c r="I31" s="92">
        <f>+I28+I30+I29</f>
        <v>578.58683579099988</v>
      </c>
      <c r="J31" s="18">
        <f t="shared" si="20"/>
        <v>-0.34279649429686598</v>
      </c>
      <c r="K31" s="95" t="e">
        <f>+K28+K30+K29</f>
        <v>#REF!</v>
      </c>
      <c r="L31" s="18">
        <f>IF(ISERROR(K31/I31-1),0,(K31/I31-1))</f>
        <v>0</v>
      </c>
      <c r="M31" s="94"/>
      <c r="N31" s="95" t="e">
        <f t="shared" ref="N31:Y31" si="38">+N28+N30+N29</f>
        <v>#REF!</v>
      </c>
      <c r="O31" s="95" t="e">
        <f t="shared" si="38"/>
        <v>#REF!</v>
      </c>
      <c r="P31" s="95" t="e">
        <f t="shared" si="38"/>
        <v>#REF!</v>
      </c>
      <c r="Q31" s="95" t="e">
        <f t="shared" si="38"/>
        <v>#REF!</v>
      </c>
      <c r="R31" s="95">
        <f t="shared" si="38"/>
        <v>19.284957013371436</v>
      </c>
      <c r="S31" s="95">
        <f t="shared" ca="1" si="38"/>
        <v>27.034583292928573</v>
      </c>
      <c r="T31" s="95" t="e">
        <f t="shared" si="38"/>
        <v>#REF!</v>
      </c>
      <c r="U31" s="95" t="e">
        <f t="shared" si="38"/>
        <v>#REF!</v>
      </c>
      <c r="V31" s="95" t="e">
        <f t="shared" si="38"/>
        <v>#REF!</v>
      </c>
      <c r="W31" s="95" t="e">
        <f t="shared" si="38"/>
        <v>#REF!</v>
      </c>
      <c r="X31" s="95" t="e">
        <f t="shared" si="38"/>
        <v>#REF!</v>
      </c>
      <c r="Y31" s="95" t="e">
        <f t="shared" si="38"/>
        <v>#REF!</v>
      </c>
      <c r="Z31" s="95" t="e">
        <f>+Z28+Z30+Z29</f>
        <v>#REF!</v>
      </c>
      <c r="AA31" s="95" t="e">
        <f>+AA28+AA30+AA29</f>
        <v>#REF!</v>
      </c>
      <c r="AB31" s="95" t="e">
        <f>+AB28+AB30+AB29</f>
        <v>#REF!</v>
      </c>
      <c r="AC31" s="95" t="e">
        <f>+AC28+AC30+AC29</f>
        <v>#REF!</v>
      </c>
      <c r="AD31" s="95" t="e">
        <f>+AD28+AD30+AD29</f>
        <v>#REF!</v>
      </c>
      <c r="AE31" s="62"/>
      <c r="AF31" s="62"/>
      <c r="AG31" s="62"/>
      <c r="AH31" s="62"/>
    </row>
    <row r="32" spans="1:34">
      <c r="A32" s="9" t="s">
        <v>9</v>
      </c>
      <c r="B32" s="7"/>
      <c r="C32" s="96">
        <f>C24+C31</f>
        <v>1181.2649586110001</v>
      </c>
      <c r="D32" s="96">
        <f>D24+D31</f>
        <v>1080.9852548829999</v>
      </c>
      <c r="E32" s="96">
        <f>E24+E31</f>
        <v>1429.271643669</v>
      </c>
      <c r="F32" s="10">
        <f t="shared" si="18"/>
        <v>0.32219346860905773</v>
      </c>
      <c r="G32" s="96">
        <f>G24+G31</f>
        <v>936.75494405899985</v>
      </c>
      <c r="H32" s="96">
        <f>H24+H31</f>
        <v>0</v>
      </c>
      <c r="I32" s="96">
        <f>I24+I31</f>
        <v>936.75494405899985</v>
      </c>
      <c r="J32" s="10">
        <f t="shared" si="20"/>
        <v>-0.34459278737643551</v>
      </c>
      <c r="K32" s="96" t="e">
        <f>K24+K31</f>
        <v>#REF!</v>
      </c>
      <c r="L32" s="10">
        <f t="shared" si="21"/>
        <v>0</v>
      </c>
      <c r="M32" s="94"/>
      <c r="N32" s="96" t="e">
        <f t="shared" ref="N32:AD32" si="39">N24+N31</f>
        <v>#REF!</v>
      </c>
      <c r="O32" s="96" t="e">
        <f t="shared" si="39"/>
        <v>#REF!</v>
      </c>
      <c r="P32" s="96" t="e">
        <f t="shared" si="39"/>
        <v>#REF!</v>
      </c>
      <c r="Q32" s="96" t="e">
        <f t="shared" si="39"/>
        <v>#REF!</v>
      </c>
      <c r="R32" s="96" t="e">
        <f t="shared" si="39"/>
        <v>#REF!</v>
      </c>
      <c r="S32" s="96" t="e">
        <f t="shared" ca="1" si="39"/>
        <v>#REF!</v>
      </c>
      <c r="T32" s="96" t="e">
        <f t="shared" si="39"/>
        <v>#REF!</v>
      </c>
      <c r="U32" s="96" t="e">
        <f t="shared" si="39"/>
        <v>#REF!</v>
      </c>
      <c r="V32" s="96" t="e">
        <f t="shared" si="39"/>
        <v>#REF!</v>
      </c>
      <c r="W32" s="96" t="e">
        <f t="shared" si="39"/>
        <v>#REF!</v>
      </c>
      <c r="X32" s="96" t="e">
        <f t="shared" si="39"/>
        <v>#REF!</v>
      </c>
      <c r="Y32" s="96" t="e">
        <f t="shared" si="39"/>
        <v>#REF!</v>
      </c>
      <c r="Z32" s="96" t="e">
        <f t="shared" si="39"/>
        <v>#REF!</v>
      </c>
      <c r="AA32" s="96" t="e">
        <f t="shared" si="39"/>
        <v>#REF!</v>
      </c>
      <c r="AB32" s="96" t="e">
        <f t="shared" si="39"/>
        <v>#REF!</v>
      </c>
      <c r="AC32" s="96" t="e">
        <f t="shared" si="39"/>
        <v>#REF!</v>
      </c>
      <c r="AD32" s="96" t="e">
        <f t="shared" si="39"/>
        <v>#REF!</v>
      </c>
      <c r="AE32" s="62"/>
      <c r="AF32" s="62"/>
      <c r="AG32" s="62"/>
      <c r="AH32" s="62"/>
    </row>
    <row r="33" spans="1:34">
      <c r="A33" s="72"/>
      <c r="B33" s="73"/>
      <c r="C33" s="103"/>
      <c r="D33" s="103"/>
      <c r="E33" s="103"/>
      <c r="F33" s="75"/>
      <c r="G33" s="75"/>
      <c r="H33" s="75"/>
      <c r="I33" s="75"/>
      <c r="J33" s="75"/>
      <c r="K33" s="99"/>
      <c r="L33" s="74"/>
      <c r="M33" s="77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62"/>
      <c r="AA33" s="62"/>
      <c r="AB33" s="62"/>
      <c r="AC33" s="62"/>
      <c r="AD33" s="62"/>
      <c r="AE33" s="62"/>
      <c r="AF33" s="62"/>
      <c r="AG33" s="62"/>
      <c r="AH33" s="62"/>
    </row>
    <row r="34" spans="1:34" s="11" customFormat="1">
      <c r="A34" s="93" t="s">
        <v>27</v>
      </c>
      <c r="B34" s="93"/>
      <c r="C34" s="69"/>
      <c r="D34" s="69"/>
      <c r="E34" s="69"/>
      <c r="F34" s="80"/>
      <c r="G34" s="80"/>
      <c r="H34" s="80"/>
      <c r="I34" s="80"/>
      <c r="J34" s="80"/>
      <c r="K34" s="98"/>
      <c r="L34" s="79"/>
      <c r="M34" s="81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61"/>
      <c r="AA34" s="61"/>
      <c r="AB34" s="61"/>
      <c r="AC34" s="61"/>
      <c r="AD34" s="61"/>
      <c r="AE34" s="61"/>
      <c r="AF34" s="61"/>
      <c r="AG34" s="61"/>
      <c r="AH34" s="61"/>
    </row>
    <row r="35" spans="1:34" s="91" customFormat="1">
      <c r="A35" s="535" t="s">
        <v>5</v>
      </c>
      <c r="B35" s="84" t="s">
        <v>12</v>
      </c>
      <c r="C35" s="102">
        <v>163.45263333</v>
      </c>
      <c r="D35" s="102">
        <v>143.29341499899999</v>
      </c>
      <c r="E35" s="102">
        <v>106.38719711300003</v>
      </c>
      <c r="F35" s="107">
        <f t="shared" ref="F35:F62" si="40">IF(ISERROR(E35/D35-1),0,(E35/D35-1))</f>
        <v>-0.25755697068324823</v>
      </c>
      <c r="G35" s="102">
        <v>61.858001157000011</v>
      </c>
      <c r="H35" s="128"/>
      <c r="I35" s="102">
        <f t="shared" ref="I35:I58" si="41">G35+H35</f>
        <v>61.858001157000011</v>
      </c>
      <c r="J35" s="107">
        <f t="shared" ref="J35:J62" si="42">IF(ISERROR(I35/E35-1),0,(I35/E35-1))</f>
        <v>-0.41855784496985071</v>
      </c>
      <c r="K35" s="123" t="e">
        <f>SUM(N35:Y35)</f>
        <v>#REF!</v>
      </c>
      <c r="L35" s="107">
        <f t="shared" ref="L35:L62" si="43">IF(ISERROR(K35/I35-1),0,(K35/I35-1))</f>
        <v>0</v>
      </c>
      <c r="M35" s="108"/>
      <c r="N35" s="102" t="e">
        <f>'North America'!#REF!</f>
        <v>#REF!</v>
      </c>
      <c r="O35" s="102" t="e">
        <f>'North America'!#REF!</f>
        <v>#REF!</v>
      </c>
      <c r="P35" s="102" t="e">
        <f>'North America'!#REF!</f>
        <v>#REF!</v>
      </c>
      <c r="Q35" s="102" t="e">
        <f>'North America'!#REF!</f>
        <v>#REF!</v>
      </c>
      <c r="R35" s="102">
        <f>'North America'!W24</f>
        <v>8.9467981428000005</v>
      </c>
      <c r="S35" s="102">
        <f>'North America'!AA24</f>
        <v>4.1133418326000006</v>
      </c>
      <c r="T35" s="102" t="e">
        <f>'North America'!#REF!</f>
        <v>#REF!</v>
      </c>
      <c r="U35" s="102" t="e">
        <f>'North America'!#REF!</f>
        <v>#REF!</v>
      </c>
      <c r="V35" s="102" t="e">
        <f>'North America'!#REF!</f>
        <v>#REF!</v>
      </c>
      <c r="W35" s="102" t="e">
        <f>'North America'!#REF!</f>
        <v>#REF!</v>
      </c>
      <c r="X35" s="102" t="e">
        <f>'North America'!#REF!</f>
        <v>#REF!</v>
      </c>
      <c r="Y35" s="102" t="e">
        <f>'North America'!#REF!</f>
        <v>#REF!</v>
      </c>
      <c r="Z35" s="281" t="e">
        <f>(N35+O35+P35)</f>
        <v>#REF!</v>
      </c>
      <c r="AA35" s="281" t="e">
        <f>(Q35+R35+S35)</f>
        <v>#REF!</v>
      </c>
      <c r="AB35" s="281" t="e">
        <f>(T35+U35+V35)</f>
        <v>#REF!</v>
      </c>
      <c r="AC35" s="281" t="e">
        <f>(W35+X35+Y35)</f>
        <v>#REF!</v>
      </c>
      <c r="AD35" s="281" t="e">
        <f>+SUM(Z35:AC35)</f>
        <v>#REF!</v>
      </c>
      <c r="AE35" s="90"/>
      <c r="AF35" s="90"/>
      <c r="AG35" s="90"/>
      <c r="AH35" s="90"/>
    </row>
    <row r="36" spans="1:34" s="91" customFormat="1">
      <c r="A36" s="536"/>
      <c r="B36" s="84" t="s">
        <v>4</v>
      </c>
      <c r="C36" s="102">
        <v>39.798640224999993</v>
      </c>
      <c r="D36" s="102">
        <v>6.266129810999999</v>
      </c>
      <c r="E36" s="102">
        <v>24.223405171</v>
      </c>
      <c r="F36" s="107">
        <f t="shared" si="40"/>
        <v>2.865768169768292</v>
      </c>
      <c r="G36" s="102">
        <v>20.711212263999997</v>
      </c>
      <c r="H36" s="128"/>
      <c r="I36" s="102">
        <f t="shared" si="41"/>
        <v>20.711212263999997</v>
      </c>
      <c r="J36" s="107">
        <f t="shared" si="42"/>
        <v>-0.14499170872990075</v>
      </c>
      <c r="K36" s="123" t="e">
        <f>SUM(N36:Y36)</f>
        <v>#REF!</v>
      </c>
      <c r="L36" s="107">
        <f t="shared" si="43"/>
        <v>0</v>
      </c>
      <c r="M36" s="108"/>
      <c r="N36" s="102" t="e">
        <f>'North America'!#REF!</f>
        <v>#REF!</v>
      </c>
      <c r="O36" s="102" t="e">
        <f>'North America'!#REF!</f>
        <v>#REF!</v>
      </c>
      <c r="P36" s="102" t="e">
        <f>'North America'!#REF!</f>
        <v>#REF!</v>
      </c>
      <c r="Q36" s="102" t="e">
        <f>'North America'!#REF!</f>
        <v>#REF!</v>
      </c>
      <c r="R36" s="102">
        <f>'North America'!W54</f>
        <v>0.10295440320000002</v>
      </c>
      <c r="S36" s="102">
        <f>'North America'!AA54</f>
        <v>0</v>
      </c>
      <c r="T36" s="102" t="e">
        <f>'North America'!#REF!</f>
        <v>#REF!</v>
      </c>
      <c r="U36" s="102" t="e">
        <f>'North America'!#REF!</f>
        <v>#REF!</v>
      </c>
      <c r="V36" s="102" t="e">
        <f>'North America'!#REF!</f>
        <v>#REF!</v>
      </c>
      <c r="W36" s="102" t="e">
        <f>'North America'!#REF!</f>
        <v>#REF!</v>
      </c>
      <c r="X36" s="102" t="e">
        <f>'North America'!#REF!</f>
        <v>#REF!</v>
      </c>
      <c r="Y36" s="102" t="e">
        <f>'North America'!#REF!</f>
        <v>#REF!</v>
      </c>
      <c r="Z36" s="281" t="e">
        <f>(N36+O36+P36)</f>
        <v>#REF!</v>
      </c>
      <c r="AA36" s="281" t="e">
        <f>(Q36+R36+S36)</f>
        <v>#REF!</v>
      </c>
      <c r="AB36" s="281" t="e">
        <f>(T36+U36+V36)</f>
        <v>#REF!</v>
      </c>
      <c r="AC36" s="281" t="e">
        <f>(W36+X36+Y36)</f>
        <v>#REF!</v>
      </c>
      <c r="AD36" s="281" t="e">
        <f>+SUM(Z36:AC36)</f>
        <v>#REF!</v>
      </c>
      <c r="AE36" s="90"/>
      <c r="AF36" s="90"/>
      <c r="AG36" s="90"/>
      <c r="AH36" s="90"/>
    </row>
    <row r="37" spans="1:34" s="91" customFormat="1">
      <c r="A37" s="536"/>
      <c r="B37" s="84" t="s">
        <v>0</v>
      </c>
      <c r="C37" s="102">
        <v>1.4059863000000001</v>
      </c>
      <c r="D37" s="102">
        <v>1.48329299</v>
      </c>
      <c r="E37" s="102">
        <v>3.6208825940000002</v>
      </c>
      <c r="F37" s="107">
        <f t="shared" si="40"/>
        <v>1.4411108381224129</v>
      </c>
      <c r="G37" s="102">
        <v>3.6208825940000002</v>
      </c>
      <c r="H37" s="128"/>
      <c r="I37" s="102">
        <f t="shared" si="41"/>
        <v>3.6208825940000002</v>
      </c>
      <c r="J37" s="107">
        <f t="shared" si="42"/>
        <v>0</v>
      </c>
      <c r="K37" s="123" t="e">
        <f>SUM(N37:Y37)</f>
        <v>#REF!</v>
      </c>
      <c r="L37" s="107">
        <f t="shared" si="43"/>
        <v>0</v>
      </c>
      <c r="M37" s="108"/>
      <c r="N37" s="102" t="e">
        <f>'North America'!#REF!</f>
        <v>#REF!</v>
      </c>
      <c r="O37" s="102" t="e">
        <f>'North America'!#REF!</f>
        <v>#REF!</v>
      </c>
      <c r="P37" s="102" t="e">
        <f>'North America'!#REF!</f>
        <v>#REF!</v>
      </c>
      <c r="Q37" s="102" t="e">
        <f>'North America'!#REF!</f>
        <v>#REF!</v>
      </c>
      <c r="R37" s="102">
        <f>'North America'!W61</f>
        <v>0</v>
      </c>
      <c r="S37" s="102">
        <f>'North America'!AA61</f>
        <v>0</v>
      </c>
      <c r="T37" s="102" t="e">
        <f>'North America'!#REF!</f>
        <v>#REF!</v>
      </c>
      <c r="U37" s="102" t="e">
        <f>'North America'!#REF!</f>
        <v>#REF!</v>
      </c>
      <c r="V37" s="102" t="e">
        <f>'North America'!#REF!</f>
        <v>#REF!</v>
      </c>
      <c r="W37" s="102" t="e">
        <f>'North America'!#REF!</f>
        <v>#REF!</v>
      </c>
      <c r="X37" s="102" t="e">
        <f>'North America'!#REF!</f>
        <v>#REF!</v>
      </c>
      <c r="Y37" s="102" t="e">
        <f>'North America'!#REF!</f>
        <v>#REF!</v>
      </c>
      <c r="Z37" s="281" t="e">
        <f>(N37+O37+P37)</f>
        <v>#REF!</v>
      </c>
      <c r="AA37" s="281" t="e">
        <f>(Q37+R37+S37)</f>
        <v>#REF!</v>
      </c>
      <c r="AB37" s="281" t="e">
        <f>(T37+U37+V37)</f>
        <v>#REF!</v>
      </c>
      <c r="AC37" s="281" t="e">
        <f>(W37+X37+Y37)</f>
        <v>#REF!</v>
      </c>
      <c r="AD37" s="281" t="e">
        <f>+SUM(Z37:AC37)</f>
        <v>#REF!</v>
      </c>
      <c r="AE37" s="90"/>
      <c r="AF37" s="90"/>
      <c r="AG37" s="90"/>
      <c r="AH37" s="90"/>
    </row>
    <row r="38" spans="1:34" s="91" customFormat="1">
      <c r="A38" s="536"/>
      <c r="B38" s="142" t="s">
        <v>82</v>
      </c>
      <c r="C38" s="97">
        <f>SUM(C35:C37)</f>
        <v>204.65725985499998</v>
      </c>
      <c r="D38" s="97">
        <f>SUM(D35:D37)</f>
        <v>151.04283779999997</v>
      </c>
      <c r="E38" s="97">
        <f>SUM(E35:E37)</f>
        <v>134.23148487800003</v>
      </c>
      <c r="F38" s="143">
        <f t="shared" si="40"/>
        <v>-0.11130188737754199</v>
      </c>
      <c r="G38" s="97">
        <f>SUM(G35:G37)</f>
        <v>86.190096014999995</v>
      </c>
      <c r="H38" s="97">
        <f>SUM(H35:H37)</f>
        <v>0</v>
      </c>
      <c r="I38" s="97">
        <f>SUM(I35:I37)</f>
        <v>86.190096014999995</v>
      </c>
      <c r="J38" s="143">
        <f t="shared" si="42"/>
        <v>-0.35789955617837177</v>
      </c>
      <c r="K38" s="97" t="e">
        <f>SUM(K35:K37)</f>
        <v>#REF!</v>
      </c>
      <c r="L38" s="143">
        <f t="shared" si="43"/>
        <v>0</v>
      </c>
      <c r="M38" s="108"/>
      <c r="N38" s="97" t="e">
        <f t="shared" ref="N38:AD38" si="44">SUM(N35:N37)</f>
        <v>#REF!</v>
      </c>
      <c r="O38" s="97" t="e">
        <f t="shared" si="44"/>
        <v>#REF!</v>
      </c>
      <c r="P38" s="97" t="e">
        <f t="shared" si="44"/>
        <v>#REF!</v>
      </c>
      <c r="Q38" s="97" t="e">
        <f t="shared" si="44"/>
        <v>#REF!</v>
      </c>
      <c r="R38" s="97">
        <f t="shared" si="44"/>
        <v>9.0497525460000006</v>
      </c>
      <c r="S38" s="97">
        <f t="shared" si="44"/>
        <v>4.1133418326000006</v>
      </c>
      <c r="T38" s="97" t="e">
        <f t="shared" si="44"/>
        <v>#REF!</v>
      </c>
      <c r="U38" s="97" t="e">
        <f t="shared" si="44"/>
        <v>#REF!</v>
      </c>
      <c r="V38" s="97" t="e">
        <f t="shared" si="44"/>
        <v>#REF!</v>
      </c>
      <c r="W38" s="97" t="e">
        <f t="shared" si="44"/>
        <v>#REF!</v>
      </c>
      <c r="X38" s="97" t="e">
        <f t="shared" si="44"/>
        <v>#REF!</v>
      </c>
      <c r="Y38" s="97" t="e">
        <f t="shared" si="44"/>
        <v>#REF!</v>
      </c>
      <c r="Z38" s="97" t="e">
        <f t="shared" si="44"/>
        <v>#REF!</v>
      </c>
      <c r="AA38" s="97" t="e">
        <f t="shared" si="44"/>
        <v>#REF!</v>
      </c>
      <c r="AB38" s="97" t="e">
        <f t="shared" si="44"/>
        <v>#REF!</v>
      </c>
      <c r="AC38" s="97" t="e">
        <f t="shared" si="44"/>
        <v>#REF!</v>
      </c>
      <c r="AD38" s="97" t="e">
        <f t="shared" si="44"/>
        <v>#REF!</v>
      </c>
      <c r="AE38" s="90"/>
      <c r="AF38" s="90"/>
      <c r="AG38" s="90"/>
      <c r="AH38" s="90"/>
    </row>
    <row r="39" spans="1:34" s="91" customFormat="1">
      <c r="A39" s="536"/>
      <c r="B39" s="142" t="s">
        <v>104</v>
      </c>
      <c r="C39" s="97"/>
      <c r="D39" s="97"/>
      <c r="E39" s="97"/>
      <c r="F39" s="143"/>
      <c r="G39" s="97"/>
      <c r="H39" s="97"/>
      <c r="I39" s="97"/>
      <c r="J39" s="143"/>
      <c r="K39" s="97"/>
      <c r="L39" s="143"/>
      <c r="M39" s="108"/>
      <c r="N39" s="102" t="e">
        <f>'North America'!#REF!</f>
        <v>#REF!</v>
      </c>
      <c r="O39" s="102" t="e">
        <f>'North America'!#REF!</f>
        <v>#REF!</v>
      </c>
      <c r="P39" s="102" t="e">
        <f>'North America'!#REF!</f>
        <v>#REF!</v>
      </c>
      <c r="Q39" s="102" t="e">
        <f>'North America'!#REF!</f>
        <v>#REF!</v>
      </c>
      <c r="R39" s="102">
        <f>'North America'!W65</f>
        <v>0</v>
      </c>
      <c r="S39" s="102">
        <f>'North America'!AA65</f>
        <v>0</v>
      </c>
      <c r="T39" s="102" t="e">
        <f>'North America'!#REF!</f>
        <v>#REF!</v>
      </c>
      <c r="U39" s="102" t="e">
        <f>'North America'!#REF!</f>
        <v>#REF!</v>
      </c>
      <c r="V39" s="102" t="e">
        <f>'North America'!#REF!</f>
        <v>#REF!</v>
      </c>
      <c r="W39" s="102" t="e">
        <f>'North America'!#REF!</f>
        <v>#REF!</v>
      </c>
      <c r="X39" s="102" t="e">
        <f>'North America'!#REF!</f>
        <v>#REF!</v>
      </c>
      <c r="Y39" s="102" t="e">
        <f>'North America'!#REF!</f>
        <v>#REF!</v>
      </c>
      <c r="Z39" s="281" t="e">
        <f>(N39+O39+P39)</f>
        <v>#REF!</v>
      </c>
      <c r="AA39" s="281" t="e">
        <f>(Q39+R39+S39)</f>
        <v>#REF!</v>
      </c>
      <c r="AB39" s="281" t="e">
        <f>(T39+U39+V39)</f>
        <v>#REF!</v>
      </c>
      <c r="AC39" s="281" t="e">
        <f>(W39+X39+Y39)</f>
        <v>#REF!</v>
      </c>
      <c r="AD39" s="281" t="e">
        <f>+SUM(Z39:AC39)</f>
        <v>#REF!</v>
      </c>
      <c r="AE39" s="90"/>
      <c r="AF39" s="90"/>
      <c r="AG39" s="90"/>
      <c r="AH39" s="90"/>
    </row>
    <row r="40" spans="1:34" s="91" customFormat="1">
      <c r="A40" s="537"/>
      <c r="B40" s="84" t="s">
        <v>81</v>
      </c>
      <c r="C40" s="102">
        <v>0</v>
      </c>
      <c r="D40" s="102">
        <v>0</v>
      </c>
      <c r="E40" s="102">
        <v>0</v>
      </c>
      <c r="F40" s="107">
        <f t="shared" si="40"/>
        <v>0</v>
      </c>
      <c r="G40" s="102"/>
      <c r="H40" s="128"/>
      <c r="I40" s="102">
        <f>G40+H40</f>
        <v>0</v>
      </c>
      <c r="J40" s="107">
        <f t="shared" si="42"/>
        <v>0</v>
      </c>
      <c r="K40" s="123" t="e">
        <f>SUM(N40:Y40)</f>
        <v>#REF!</v>
      </c>
      <c r="L40" s="107">
        <f t="shared" si="43"/>
        <v>0</v>
      </c>
      <c r="M40" s="108"/>
      <c r="N40" s="102" t="e">
        <f>'North America'!#REF!</f>
        <v>#REF!</v>
      </c>
      <c r="O40" s="102" t="e">
        <f>'North America'!#REF!</f>
        <v>#REF!</v>
      </c>
      <c r="P40" s="102" t="e">
        <f>'North America'!#REF!</f>
        <v>#REF!</v>
      </c>
      <c r="Q40" s="102" t="e">
        <f>'North America'!#REF!</f>
        <v>#REF!</v>
      </c>
      <c r="R40" s="102">
        <f>'North America'!W69</f>
        <v>0</v>
      </c>
      <c r="S40" s="102">
        <f>'North America'!AA69</f>
        <v>0</v>
      </c>
      <c r="T40" s="102" t="e">
        <f>'North America'!#REF!</f>
        <v>#REF!</v>
      </c>
      <c r="U40" s="102" t="e">
        <f>'North America'!#REF!</f>
        <v>#REF!</v>
      </c>
      <c r="V40" s="102" t="e">
        <f>'North America'!#REF!</f>
        <v>#REF!</v>
      </c>
      <c r="W40" s="102" t="e">
        <f>'North America'!#REF!</f>
        <v>#REF!</v>
      </c>
      <c r="X40" s="102" t="e">
        <f>'North America'!#REF!</f>
        <v>#REF!</v>
      </c>
      <c r="Y40" s="102" t="e">
        <f>'North America'!#REF!</f>
        <v>#REF!</v>
      </c>
      <c r="Z40" s="281" t="e">
        <f>(N40+O40+P40)</f>
        <v>#REF!</v>
      </c>
      <c r="AA40" s="281" t="e">
        <f>(Q40+R40+S40)</f>
        <v>#REF!</v>
      </c>
      <c r="AB40" s="281" t="e">
        <f>(T40+U40+V40)</f>
        <v>#REF!</v>
      </c>
      <c r="AC40" s="281" t="e">
        <f>(W40+X40+Y40)</f>
        <v>#REF!</v>
      </c>
      <c r="AD40" s="281" t="e">
        <f>+SUM(Z40:AC40)</f>
        <v>#REF!</v>
      </c>
      <c r="AE40" s="90"/>
      <c r="AF40" s="90"/>
      <c r="AG40" s="90"/>
      <c r="AH40" s="90"/>
    </row>
    <row r="41" spans="1:34">
      <c r="A41" s="8" t="s">
        <v>23</v>
      </c>
      <c r="B41" s="30"/>
      <c r="C41" s="95">
        <f>+C38+C40</f>
        <v>204.65725985499998</v>
      </c>
      <c r="D41" s="95">
        <f>+D38+D40</f>
        <v>151.04283779999997</v>
      </c>
      <c r="E41" s="95">
        <f>+E38+E40</f>
        <v>134.23148487800003</v>
      </c>
      <c r="F41" s="18">
        <f t="shared" si="40"/>
        <v>-0.11130188737754199</v>
      </c>
      <c r="G41" s="92">
        <f>+G38+G40</f>
        <v>86.190096014999995</v>
      </c>
      <c r="H41" s="92">
        <f>+H38+H40</f>
        <v>0</v>
      </c>
      <c r="I41" s="92">
        <f>+I38+I40</f>
        <v>86.190096014999995</v>
      </c>
      <c r="J41" s="18">
        <f t="shared" si="42"/>
        <v>-0.35789955617837177</v>
      </c>
      <c r="K41" s="95" t="e">
        <f>+K38+K40</f>
        <v>#REF!</v>
      </c>
      <c r="L41" s="18">
        <f t="shared" si="43"/>
        <v>0</v>
      </c>
      <c r="M41" s="94"/>
      <c r="N41" s="95" t="e">
        <f t="shared" ref="N41:AD41" si="45">+N38+N40</f>
        <v>#REF!</v>
      </c>
      <c r="O41" s="95" t="e">
        <f t="shared" si="45"/>
        <v>#REF!</v>
      </c>
      <c r="P41" s="95" t="e">
        <f t="shared" si="45"/>
        <v>#REF!</v>
      </c>
      <c r="Q41" s="95" t="e">
        <f t="shared" si="45"/>
        <v>#REF!</v>
      </c>
      <c r="R41" s="95">
        <f t="shared" si="45"/>
        <v>9.0497525460000006</v>
      </c>
      <c r="S41" s="95">
        <f t="shared" si="45"/>
        <v>4.1133418326000006</v>
      </c>
      <c r="T41" s="95" t="e">
        <f t="shared" si="45"/>
        <v>#REF!</v>
      </c>
      <c r="U41" s="95" t="e">
        <f t="shared" si="45"/>
        <v>#REF!</v>
      </c>
      <c r="V41" s="95" t="e">
        <f t="shared" si="45"/>
        <v>#REF!</v>
      </c>
      <c r="W41" s="95" t="e">
        <f t="shared" si="45"/>
        <v>#REF!</v>
      </c>
      <c r="X41" s="95" t="e">
        <f t="shared" si="45"/>
        <v>#REF!</v>
      </c>
      <c r="Y41" s="95" t="e">
        <f t="shared" si="45"/>
        <v>#REF!</v>
      </c>
      <c r="Z41" s="95" t="e">
        <f t="shared" si="45"/>
        <v>#REF!</v>
      </c>
      <c r="AA41" s="95" t="e">
        <f t="shared" si="45"/>
        <v>#REF!</v>
      </c>
      <c r="AB41" s="95" t="e">
        <f t="shared" si="45"/>
        <v>#REF!</v>
      </c>
      <c r="AC41" s="95" t="e">
        <f t="shared" si="45"/>
        <v>#REF!</v>
      </c>
      <c r="AD41" s="95" t="e">
        <f t="shared" si="45"/>
        <v>#REF!</v>
      </c>
      <c r="AE41" s="62"/>
      <c r="AF41" s="62"/>
      <c r="AG41" s="62"/>
      <c r="AH41" s="62"/>
    </row>
    <row r="42" spans="1:34" s="91" customFormat="1">
      <c r="A42" s="535" t="s">
        <v>6</v>
      </c>
      <c r="B42" s="84" t="s">
        <v>12</v>
      </c>
      <c r="C42" s="102">
        <v>65.354954660000004</v>
      </c>
      <c r="D42" s="102">
        <v>91.414032057000014</v>
      </c>
      <c r="E42" s="102">
        <v>101.91468818600001</v>
      </c>
      <c r="F42" s="107">
        <f t="shared" si="40"/>
        <v>0.1148691934128061</v>
      </c>
      <c r="G42" s="102">
        <v>81.579202887000008</v>
      </c>
      <c r="H42" s="128"/>
      <c r="I42" s="102">
        <f t="shared" si="41"/>
        <v>81.579202887000008</v>
      </c>
      <c r="J42" s="107">
        <f t="shared" si="42"/>
        <v>-0.1995343915676473</v>
      </c>
      <c r="K42" s="123" t="e">
        <f>SUM(N42:Y42)</f>
        <v>#REF!</v>
      </c>
      <c r="L42" s="107">
        <f t="shared" si="43"/>
        <v>0</v>
      </c>
      <c r="M42" s="108"/>
      <c r="N42" s="102" t="e">
        <f>Europe!#REF!</f>
        <v>#REF!</v>
      </c>
      <c r="O42" s="102" t="e">
        <f>Europe!#REF!</f>
        <v>#REF!</v>
      </c>
      <c r="P42" s="102" t="e">
        <f>Europe!#REF!</f>
        <v>#REF!</v>
      </c>
      <c r="Q42" s="102" t="e">
        <f>Europe!#REF!</f>
        <v>#REF!</v>
      </c>
      <c r="R42" s="102">
        <f>Europe!W24</f>
        <v>0.79457622750000012</v>
      </c>
      <c r="S42" s="102">
        <f>Europe!AA24</f>
        <v>0.51271738830000002</v>
      </c>
      <c r="T42" s="102" t="e">
        <f>Europe!#REF!</f>
        <v>#REF!</v>
      </c>
      <c r="U42" s="102" t="e">
        <f>Europe!#REF!</f>
        <v>#REF!</v>
      </c>
      <c r="V42" s="102" t="e">
        <f>Europe!#REF!</f>
        <v>#REF!</v>
      </c>
      <c r="W42" s="102" t="e">
        <f>Europe!#REF!</f>
        <v>#REF!</v>
      </c>
      <c r="X42" s="102" t="e">
        <f>Europe!#REF!</f>
        <v>#REF!</v>
      </c>
      <c r="Y42" s="102" t="e">
        <f>Europe!#REF!</f>
        <v>#REF!</v>
      </c>
      <c r="Z42" s="281" t="e">
        <f>(N42+O42+P42)</f>
        <v>#REF!</v>
      </c>
      <c r="AA42" s="281" t="e">
        <f>(Q42+R42+S42)</f>
        <v>#REF!</v>
      </c>
      <c r="AB42" s="281" t="e">
        <f>(T42+U42+V42)</f>
        <v>#REF!</v>
      </c>
      <c r="AC42" s="281" t="e">
        <f>(W42+X42+Y42)</f>
        <v>#REF!</v>
      </c>
      <c r="AD42" s="281" t="e">
        <f>+SUM(Z42:AC42)</f>
        <v>#REF!</v>
      </c>
      <c r="AE42" s="90"/>
      <c r="AF42" s="90"/>
      <c r="AG42" s="90"/>
      <c r="AH42" s="90"/>
    </row>
    <row r="43" spans="1:34" s="91" customFormat="1">
      <c r="A43" s="536"/>
      <c r="B43" s="84" t="s">
        <v>4</v>
      </c>
      <c r="C43" s="102">
        <v>22.061488996999991</v>
      </c>
      <c r="D43" s="102">
        <v>89.040014500000012</v>
      </c>
      <c r="E43" s="102">
        <v>123.52107865099998</v>
      </c>
      <c r="F43" s="107">
        <f t="shared" si="40"/>
        <v>0.38725357744635103</v>
      </c>
      <c r="G43" s="102">
        <v>89.383816665999987</v>
      </c>
      <c r="H43" s="128"/>
      <c r="I43" s="102">
        <f t="shared" si="41"/>
        <v>89.383816665999987</v>
      </c>
      <c r="J43" s="107">
        <f t="shared" si="42"/>
        <v>-0.27636790706347703</v>
      </c>
      <c r="K43" s="123" t="e">
        <f>SUM(N43:Y43)</f>
        <v>#REF!</v>
      </c>
      <c r="L43" s="107">
        <f t="shared" si="43"/>
        <v>0</v>
      </c>
      <c r="M43" s="108"/>
      <c r="N43" s="102" t="e">
        <f>Europe!#REF!</f>
        <v>#REF!</v>
      </c>
      <c r="O43" s="102" t="e">
        <f>Europe!#REF!</f>
        <v>#REF!</v>
      </c>
      <c r="P43" s="102" t="e">
        <f>Europe!#REF!</f>
        <v>#REF!</v>
      </c>
      <c r="Q43" s="102" t="e">
        <f>Europe!#REF!</f>
        <v>#REF!</v>
      </c>
      <c r="R43" s="102">
        <f>Europe!W54</f>
        <v>5.1871143930857153</v>
      </c>
      <c r="S43" s="102">
        <f>Europe!AA54</f>
        <v>15.089153641714288</v>
      </c>
      <c r="T43" s="102" t="e">
        <f>Europe!#REF!</f>
        <v>#REF!</v>
      </c>
      <c r="U43" s="102" t="e">
        <f>Europe!#REF!</f>
        <v>#REF!</v>
      </c>
      <c r="V43" s="102" t="e">
        <f>Europe!#REF!</f>
        <v>#REF!</v>
      </c>
      <c r="W43" s="102" t="e">
        <f>Europe!#REF!</f>
        <v>#REF!</v>
      </c>
      <c r="X43" s="102" t="e">
        <f>Europe!#REF!</f>
        <v>#REF!</v>
      </c>
      <c r="Y43" s="102" t="e">
        <f>Europe!#REF!</f>
        <v>#REF!</v>
      </c>
      <c r="Z43" s="281" t="e">
        <f>(N43+O43+P43)</f>
        <v>#REF!</v>
      </c>
      <c r="AA43" s="281" t="e">
        <f>(Q43+R43+S43)</f>
        <v>#REF!</v>
      </c>
      <c r="AB43" s="281" t="e">
        <f>(T43+U43+V43)</f>
        <v>#REF!</v>
      </c>
      <c r="AC43" s="281" t="e">
        <f>(W43+X43+Y43)</f>
        <v>#REF!</v>
      </c>
      <c r="AD43" s="281" t="e">
        <f>+SUM(Z43:AC43)</f>
        <v>#REF!</v>
      </c>
      <c r="AE43" s="90"/>
      <c r="AF43" s="90"/>
      <c r="AG43" s="90"/>
      <c r="AH43" s="90"/>
    </row>
    <row r="44" spans="1:34" s="91" customFormat="1">
      <c r="A44" s="536"/>
      <c r="B44" s="84" t="s">
        <v>0</v>
      </c>
      <c r="C44" s="102">
        <v>114.458935176</v>
      </c>
      <c r="D44" s="102"/>
      <c r="E44" s="102"/>
      <c r="F44" s="107">
        <f t="shared" si="40"/>
        <v>0</v>
      </c>
      <c r="G44" s="102">
        <v>0</v>
      </c>
      <c r="H44" s="128">
        <v>0</v>
      </c>
      <c r="I44" s="102">
        <f t="shared" si="41"/>
        <v>0</v>
      </c>
      <c r="J44" s="107">
        <f t="shared" si="42"/>
        <v>0</v>
      </c>
      <c r="K44" s="123" t="e">
        <f>SUM(N44:Y44)</f>
        <v>#REF!</v>
      </c>
      <c r="L44" s="107">
        <f t="shared" si="43"/>
        <v>0</v>
      </c>
      <c r="M44" s="108"/>
      <c r="N44" s="102" t="e">
        <f>Europe!#REF!</f>
        <v>#REF!</v>
      </c>
      <c r="O44" s="102" t="e">
        <f>Europe!#REF!</f>
        <v>#REF!</v>
      </c>
      <c r="P44" s="102" t="e">
        <f>Europe!#REF!</f>
        <v>#REF!</v>
      </c>
      <c r="Q44" s="102" t="e">
        <f>Europe!#REF!</f>
        <v>#REF!</v>
      </c>
      <c r="R44" s="102">
        <f>Europe!W61</f>
        <v>0</v>
      </c>
      <c r="S44" s="102">
        <f>Europe!AA61</f>
        <v>0</v>
      </c>
      <c r="T44" s="102" t="e">
        <f>Europe!#REF!</f>
        <v>#REF!</v>
      </c>
      <c r="U44" s="102" t="e">
        <f>Europe!#REF!</f>
        <v>#REF!</v>
      </c>
      <c r="V44" s="102" t="e">
        <f>Europe!#REF!</f>
        <v>#REF!</v>
      </c>
      <c r="W44" s="102" t="e">
        <f>Europe!#REF!</f>
        <v>#REF!</v>
      </c>
      <c r="X44" s="102" t="e">
        <f>Europe!#REF!</f>
        <v>#REF!</v>
      </c>
      <c r="Y44" s="102" t="e">
        <f>Europe!#REF!</f>
        <v>#REF!</v>
      </c>
      <c r="Z44" s="281" t="e">
        <f>(N44+O44+P44)</f>
        <v>#REF!</v>
      </c>
      <c r="AA44" s="281" t="e">
        <f>(Q44+R44+S44)</f>
        <v>#REF!</v>
      </c>
      <c r="AB44" s="281" t="e">
        <f>(T44+U44+V44)</f>
        <v>#REF!</v>
      </c>
      <c r="AC44" s="281" t="e">
        <f>(W44+X44+Y44)</f>
        <v>#REF!</v>
      </c>
      <c r="AD44" s="281" t="e">
        <f>+SUM(Z44:AC44)</f>
        <v>#REF!</v>
      </c>
      <c r="AE44" s="90"/>
      <c r="AF44" s="90"/>
      <c r="AG44" s="90"/>
      <c r="AH44" s="90"/>
    </row>
    <row r="45" spans="1:34" s="91" customFormat="1">
      <c r="A45" s="536"/>
      <c r="B45" s="142" t="s">
        <v>82</v>
      </c>
      <c r="C45" s="97">
        <f>SUM(C42:C44)</f>
        <v>201.87537883300001</v>
      </c>
      <c r="D45" s="97">
        <f>SUM(D42:D44)</f>
        <v>180.45404655700003</v>
      </c>
      <c r="E45" s="97">
        <f>SUM(E42:E44)</f>
        <v>225.43576683699999</v>
      </c>
      <c r="F45" s="143">
        <f t="shared" si="40"/>
        <v>0.24926966803036787</v>
      </c>
      <c r="G45" s="97">
        <f>SUM(G42:G44)</f>
        <v>170.96301955299998</v>
      </c>
      <c r="H45" s="97">
        <f>SUM(H42:H44)</f>
        <v>0</v>
      </c>
      <c r="I45" s="97">
        <f>SUM(I42:I44)</f>
        <v>170.96301955299998</v>
      </c>
      <c r="J45" s="143">
        <f t="shared" si="42"/>
        <v>-0.24163311815283606</v>
      </c>
      <c r="K45" s="97" t="e">
        <f>SUM(K42:K44)</f>
        <v>#REF!</v>
      </c>
      <c r="L45" s="143">
        <f t="shared" si="43"/>
        <v>0</v>
      </c>
      <c r="M45" s="108"/>
      <c r="N45" s="97" t="e">
        <f t="shared" ref="N45:AD45" si="46">SUM(N42:N44)</f>
        <v>#REF!</v>
      </c>
      <c r="O45" s="97" t="e">
        <f t="shared" si="46"/>
        <v>#REF!</v>
      </c>
      <c r="P45" s="97" t="e">
        <f t="shared" si="46"/>
        <v>#REF!</v>
      </c>
      <c r="Q45" s="97" t="e">
        <f t="shared" si="46"/>
        <v>#REF!</v>
      </c>
      <c r="R45" s="97">
        <f t="shared" si="46"/>
        <v>5.9816906205857157</v>
      </c>
      <c r="S45" s="97">
        <f t="shared" si="46"/>
        <v>15.601871030014289</v>
      </c>
      <c r="T45" s="97" t="e">
        <f t="shared" si="46"/>
        <v>#REF!</v>
      </c>
      <c r="U45" s="97" t="e">
        <f t="shared" si="46"/>
        <v>#REF!</v>
      </c>
      <c r="V45" s="97" t="e">
        <f t="shared" si="46"/>
        <v>#REF!</v>
      </c>
      <c r="W45" s="97" t="e">
        <f t="shared" si="46"/>
        <v>#REF!</v>
      </c>
      <c r="X45" s="97" t="e">
        <f t="shared" si="46"/>
        <v>#REF!</v>
      </c>
      <c r="Y45" s="97" t="e">
        <f t="shared" si="46"/>
        <v>#REF!</v>
      </c>
      <c r="Z45" s="97" t="e">
        <f t="shared" si="46"/>
        <v>#REF!</v>
      </c>
      <c r="AA45" s="97" t="e">
        <f t="shared" si="46"/>
        <v>#REF!</v>
      </c>
      <c r="AB45" s="97" t="e">
        <f t="shared" si="46"/>
        <v>#REF!</v>
      </c>
      <c r="AC45" s="97" t="e">
        <f t="shared" si="46"/>
        <v>#REF!</v>
      </c>
      <c r="AD45" s="97" t="e">
        <f t="shared" si="46"/>
        <v>#REF!</v>
      </c>
      <c r="AE45" s="90"/>
      <c r="AF45" s="90"/>
      <c r="AG45" s="90"/>
      <c r="AH45" s="90"/>
    </row>
    <row r="46" spans="1:34" s="91" customFormat="1">
      <c r="A46" s="536"/>
      <c r="B46" s="142" t="s">
        <v>104</v>
      </c>
      <c r="C46" s="97"/>
      <c r="D46" s="97"/>
      <c r="E46" s="97"/>
      <c r="F46" s="143"/>
      <c r="G46" s="97"/>
      <c r="H46" s="97"/>
      <c r="I46" s="97"/>
      <c r="J46" s="143"/>
      <c r="K46" s="97"/>
      <c r="L46" s="143"/>
      <c r="M46" s="108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  <c r="AB46" s="97"/>
      <c r="AC46" s="97"/>
      <c r="AD46" s="97"/>
      <c r="AE46" s="90"/>
      <c r="AF46" s="90"/>
      <c r="AG46" s="90"/>
      <c r="AH46" s="90"/>
    </row>
    <row r="47" spans="1:34" s="91" customFormat="1">
      <c r="A47" s="537"/>
      <c r="B47" s="84" t="s">
        <v>81</v>
      </c>
      <c r="C47" s="102">
        <v>0</v>
      </c>
      <c r="D47" s="102">
        <v>0</v>
      </c>
      <c r="E47" s="102">
        <v>0</v>
      </c>
      <c r="F47" s="107">
        <f t="shared" si="40"/>
        <v>0</v>
      </c>
      <c r="G47" s="102"/>
      <c r="H47" s="128">
        <v>0</v>
      </c>
      <c r="I47" s="102">
        <f>G47+H47</f>
        <v>0</v>
      </c>
      <c r="J47" s="107">
        <f t="shared" si="42"/>
        <v>0</v>
      </c>
      <c r="K47" s="123" t="e">
        <f>SUM(N47:Y47)</f>
        <v>#REF!</v>
      </c>
      <c r="L47" s="107">
        <f t="shared" si="43"/>
        <v>0</v>
      </c>
      <c r="M47" s="108"/>
      <c r="N47" s="102" t="e">
        <f>Europe!#REF!</f>
        <v>#REF!</v>
      </c>
      <c r="O47" s="102" t="e">
        <f>Europe!#REF!</f>
        <v>#REF!</v>
      </c>
      <c r="P47" s="102" t="e">
        <f>Europe!#REF!</f>
        <v>#REF!</v>
      </c>
      <c r="Q47" s="102" t="e">
        <f>Europe!#REF!</f>
        <v>#REF!</v>
      </c>
      <c r="R47" s="102">
        <f>Europe!W69</f>
        <v>0</v>
      </c>
      <c r="S47" s="102">
        <f>Europe!AA69</f>
        <v>0</v>
      </c>
      <c r="T47" s="102" t="e">
        <f>Europe!#REF!</f>
        <v>#REF!</v>
      </c>
      <c r="U47" s="102" t="e">
        <f>Europe!#REF!</f>
        <v>#REF!</v>
      </c>
      <c r="V47" s="102" t="e">
        <f>Europe!#REF!</f>
        <v>#REF!</v>
      </c>
      <c r="W47" s="102" t="e">
        <f>Europe!#REF!</f>
        <v>#REF!</v>
      </c>
      <c r="X47" s="102" t="e">
        <f>Europe!#REF!</f>
        <v>#REF!</v>
      </c>
      <c r="Y47" s="102" t="e">
        <f>Europe!#REF!</f>
        <v>#REF!</v>
      </c>
      <c r="Z47" s="281" t="e">
        <f>(N47+O47+P47)</f>
        <v>#REF!</v>
      </c>
      <c r="AA47" s="281" t="e">
        <f>(Q47+R47+S47)</f>
        <v>#REF!</v>
      </c>
      <c r="AB47" s="281" t="e">
        <f>(T47+U47+V47)</f>
        <v>#REF!</v>
      </c>
      <c r="AC47" s="281" t="e">
        <f>(W47+X47+Y47)</f>
        <v>#REF!</v>
      </c>
      <c r="AD47" s="281" t="e">
        <f>+SUM(Z47:AC47)</f>
        <v>#REF!</v>
      </c>
      <c r="AE47" s="90"/>
      <c r="AF47" s="90"/>
      <c r="AG47" s="90"/>
      <c r="AH47" s="90"/>
    </row>
    <row r="48" spans="1:34">
      <c r="A48" s="8" t="s">
        <v>24</v>
      </c>
      <c r="B48" s="30"/>
      <c r="C48" s="95">
        <f>+C45+C47</f>
        <v>201.87537883300001</v>
      </c>
      <c r="D48" s="95">
        <f>+D45+D47</f>
        <v>180.45404655700003</v>
      </c>
      <c r="E48" s="95">
        <f>+E45+E47</f>
        <v>225.43576683699999</v>
      </c>
      <c r="F48" s="18">
        <f t="shared" si="40"/>
        <v>0.24926966803036787</v>
      </c>
      <c r="G48" s="92">
        <f>+G45+G47</f>
        <v>170.96301955299998</v>
      </c>
      <c r="H48" s="92">
        <f>+H45+H47</f>
        <v>0</v>
      </c>
      <c r="I48" s="92">
        <f>+I45+I47</f>
        <v>170.96301955299998</v>
      </c>
      <c r="J48" s="18">
        <f t="shared" si="42"/>
        <v>-0.24163311815283606</v>
      </c>
      <c r="K48" s="95" t="e">
        <f>+K45+K47</f>
        <v>#REF!</v>
      </c>
      <c r="L48" s="18">
        <f t="shared" si="43"/>
        <v>0</v>
      </c>
      <c r="M48" s="94"/>
      <c r="N48" s="95" t="e">
        <f t="shared" ref="N48:AD48" si="47">+N45+N47</f>
        <v>#REF!</v>
      </c>
      <c r="O48" s="95" t="e">
        <f t="shared" si="47"/>
        <v>#REF!</v>
      </c>
      <c r="P48" s="95" t="e">
        <f t="shared" si="47"/>
        <v>#REF!</v>
      </c>
      <c r="Q48" s="95" t="e">
        <f t="shared" si="47"/>
        <v>#REF!</v>
      </c>
      <c r="R48" s="95">
        <f t="shared" si="47"/>
        <v>5.9816906205857157</v>
      </c>
      <c r="S48" s="95">
        <f t="shared" si="47"/>
        <v>15.601871030014289</v>
      </c>
      <c r="T48" s="95" t="e">
        <f t="shared" si="47"/>
        <v>#REF!</v>
      </c>
      <c r="U48" s="95" t="e">
        <f t="shared" si="47"/>
        <v>#REF!</v>
      </c>
      <c r="V48" s="95" t="e">
        <f t="shared" si="47"/>
        <v>#REF!</v>
      </c>
      <c r="W48" s="95" t="e">
        <f t="shared" si="47"/>
        <v>#REF!</v>
      </c>
      <c r="X48" s="95" t="e">
        <f t="shared" si="47"/>
        <v>#REF!</v>
      </c>
      <c r="Y48" s="95" t="e">
        <f t="shared" si="47"/>
        <v>#REF!</v>
      </c>
      <c r="Z48" s="95" t="e">
        <f t="shared" si="47"/>
        <v>#REF!</v>
      </c>
      <c r="AA48" s="95" t="e">
        <f t="shared" si="47"/>
        <v>#REF!</v>
      </c>
      <c r="AB48" s="95" t="e">
        <f t="shared" si="47"/>
        <v>#REF!</v>
      </c>
      <c r="AC48" s="95" t="e">
        <f t="shared" si="47"/>
        <v>#REF!</v>
      </c>
      <c r="AD48" s="95" t="e">
        <f t="shared" si="47"/>
        <v>#REF!</v>
      </c>
      <c r="AE48" s="62"/>
      <c r="AF48" s="62"/>
      <c r="AG48" s="62"/>
      <c r="AH48" s="62"/>
    </row>
    <row r="49" spans="1:41" s="91" customFormat="1">
      <c r="A49" s="535" t="s">
        <v>7</v>
      </c>
      <c r="B49" s="84" t="s">
        <v>12</v>
      </c>
      <c r="C49" s="102">
        <v>35.864748759999998</v>
      </c>
      <c r="D49" s="102">
        <v>53.209037158000001</v>
      </c>
      <c r="E49" s="102">
        <v>196.92474774899998</v>
      </c>
      <c r="F49" s="107">
        <f t="shared" si="40"/>
        <v>2.7009643148446307</v>
      </c>
      <c r="G49" s="102">
        <v>113.081461929</v>
      </c>
      <c r="H49" s="128"/>
      <c r="I49" s="102">
        <f t="shared" si="41"/>
        <v>113.081461929</v>
      </c>
      <c r="J49" s="107">
        <f t="shared" si="42"/>
        <v>-0.4257630733485388</v>
      </c>
      <c r="K49" s="123" t="e">
        <f>SUM(N49:Y49)</f>
        <v>#REF!</v>
      </c>
      <c r="L49" s="107">
        <f t="shared" si="43"/>
        <v>0</v>
      </c>
      <c r="M49" s="108"/>
      <c r="N49" s="102" t="e">
        <f>'Asia-Pacific'!#REF!</f>
        <v>#REF!</v>
      </c>
      <c r="O49" s="102" t="e">
        <f>'Asia-Pacific'!#REF!</f>
        <v>#REF!</v>
      </c>
      <c r="P49" s="102" t="e">
        <f>'Asia-Pacific'!#REF!</f>
        <v>#REF!</v>
      </c>
      <c r="Q49" s="102" t="e">
        <f>'Asia-Pacific'!#REF!</f>
        <v>#REF!</v>
      </c>
      <c r="R49" s="102">
        <f>'Asia-Pacific'!W24</f>
        <v>0.10271144730000002</v>
      </c>
      <c r="S49" s="102">
        <f ca="1">'Asia-Pacific'!AA24</f>
        <v>1.2228745230000002</v>
      </c>
      <c r="T49" s="102" t="e">
        <f>'Asia-Pacific'!#REF!</f>
        <v>#REF!</v>
      </c>
      <c r="U49" s="102" t="e">
        <f>'Asia-Pacific'!#REF!</f>
        <v>#REF!</v>
      </c>
      <c r="V49" s="102" t="e">
        <f>'Asia-Pacific'!#REF!</f>
        <v>#REF!</v>
      </c>
      <c r="W49" s="102" t="e">
        <f>'Asia-Pacific'!#REF!</f>
        <v>#REF!</v>
      </c>
      <c r="X49" s="102" t="e">
        <f>'Asia-Pacific'!#REF!</f>
        <v>#REF!</v>
      </c>
      <c r="Y49" s="102" t="e">
        <f>'Asia-Pacific'!#REF!</f>
        <v>#REF!</v>
      </c>
      <c r="Z49" s="281" t="e">
        <f>(N49+O49+P49)</f>
        <v>#REF!</v>
      </c>
      <c r="AA49" s="281" t="e">
        <f ca="1">(Q49+R49+S49)</f>
        <v>#REF!</v>
      </c>
      <c r="AB49" s="281" t="e">
        <f>(T49+U49+V49)</f>
        <v>#REF!</v>
      </c>
      <c r="AC49" s="281" t="e">
        <f>(W49+X49+Y49)</f>
        <v>#REF!</v>
      </c>
      <c r="AD49" s="281" t="e">
        <f>+SUM(Z49:AC49)</f>
        <v>#REF!</v>
      </c>
      <c r="AE49" s="90"/>
      <c r="AF49" s="90"/>
      <c r="AG49" s="90"/>
      <c r="AH49" s="90"/>
    </row>
    <row r="50" spans="1:41" s="91" customFormat="1">
      <c r="A50" s="536"/>
      <c r="B50" s="84" t="s">
        <v>4</v>
      </c>
      <c r="C50" s="102">
        <v>67.802877211000009</v>
      </c>
      <c r="D50" s="102">
        <v>75.908796858999992</v>
      </c>
      <c r="E50" s="102">
        <v>98.842989242000016</v>
      </c>
      <c r="F50" s="107">
        <f t="shared" si="40"/>
        <v>0.30212825564341528</v>
      </c>
      <c r="G50" s="102">
        <v>64.710268868000014</v>
      </c>
      <c r="H50" s="128"/>
      <c r="I50" s="102">
        <f t="shared" si="41"/>
        <v>64.710268868000014</v>
      </c>
      <c r="J50" s="107">
        <f t="shared" si="42"/>
        <v>-0.34532262364538491</v>
      </c>
      <c r="K50" s="123" t="e">
        <f>SUM(N50:Y50)</f>
        <v>#REF!</v>
      </c>
      <c r="L50" s="107">
        <f t="shared" si="43"/>
        <v>0</v>
      </c>
      <c r="M50" s="108"/>
      <c r="N50" s="102" t="e">
        <f>'Asia-Pacific'!#REF!</f>
        <v>#REF!</v>
      </c>
      <c r="O50" s="102" t="e">
        <f>'Asia-Pacific'!#REF!</f>
        <v>#REF!</v>
      </c>
      <c r="P50" s="102" t="e">
        <f>'Asia-Pacific'!#REF!</f>
        <v>#REF!</v>
      </c>
      <c r="Q50" s="102" t="e">
        <f>'Asia-Pacific'!#REF!</f>
        <v>#REF!</v>
      </c>
      <c r="R50" s="102">
        <f>'Asia-Pacific'!W54</f>
        <v>1.5942203946000002</v>
      </c>
      <c r="S50" s="102">
        <f>'Asia-Pacific'!AA54</f>
        <v>0.92191684371428573</v>
      </c>
      <c r="T50" s="102" t="e">
        <f>'Asia-Pacific'!#REF!</f>
        <v>#REF!</v>
      </c>
      <c r="U50" s="102" t="e">
        <f>'Asia-Pacific'!#REF!</f>
        <v>#REF!</v>
      </c>
      <c r="V50" s="102" t="e">
        <f>'Asia-Pacific'!#REF!</f>
        <v>#REF!</v>
      </c>
      <c r="W50" s="102" t="e">
        <f>'Asia-Pacific'!#REF!</f>
        <v>#REF!</v>
      </c>
      <c r="X50" s="102" t="e">
        <f>'Asia-Pacific'!#REF!</f>
        <v>#REF!</v>
      </c>
      <c r="Y50" s="102" t="e">
        <f>'Asia-Pacific'!#REF!</f>
        <v>#REF!</v>
      </c>
      <c r="Z50" s="281" t="e">
        <f>(N50+O50+P50)</f>
        <v>#REF!</v>
      </c>
      <c r="AA50" s="281" t="e">
        <f>(Q50+R50+S50)</f>
        <v>#REF!</v>
      </c>
      <c r="AB50" s="281" t="e">
        <f>(T50+U50+V50)</f>
        <v>#REF!</v>
      </c>
      <c r="AC50" s="281" t="e">
        <f>(W50+X50+Y50)</f>
        <v>#REF!</v>
      </c>
      <c r="AD50" s="281" t="e">
        <f>+SUM(Z50:AC50)</f>
        <v>#REF!</v>
      </c>
      <c r="AE50" s="90"/>
      <c r="AF50" s="90"/>
      <c r="AG50" s="90"/>
      <c r="AH50" s="90"/>
    </row>
    <row r="51" spans="1:41" s="91" customFormat="1">
      <c r="A51" s="536"/>
      <c r="B51" s="84" t="s">
        <v>0</v>
      </c>
      <c r="C51" s="102">
        <v>3.8142423499999993</v>
      </c>
      <c r="D51" s="102">
        <v>2.2110921010000002</v>
      </c>
      <c r="E51" s="102">
        <v>9.7631053209999994</v>
      </c>
      <c r="F51" s="107">
        <f t="shared" si="40"/>
        <v>3.4155127308285733</v>
      </c>
      <c r="G51" s="102">
        <v>6.508371822</v>
      </c>
      <c r="H51" s="128"/>
      <c r="I51" s="102">
        <f t="shared" si="41"/>
        <v>6.508371822</v>
      </c>
      <c r="J51" s="107">
        <f t="shared" si="42"/>
        <v>-0.33337072498841269</v>
      </c>
      <c r="K51" s="123" t="e">
        <f>SUM(N51:Y51)</f>
        <v>#REF!</v>
      </c>
      <c r="L51" s="107">
        <f t="shared" si="43"/>
        <v>0</v>
      </c>
      <c r="M51" s="108"/>
      <c r="N51" s="102" t="e">
        <f>'Asia-Pacific'!#REF!</f>
        <v>#REF!</v>
      </c>
      <c r="O51" s="102" t="e">
        <f>'Asia-Pacific'!#REF!</f>
        <v>#REF!</v>
      </c>
      <c r="P51" s="102" t="e">
        <f>'Asia-Pacific'!#REF!</f>
        <v>#REF!</v>
      </c>
      <c r="Q51" s="102" t="e">
        <f>'Asia-Pacific'!#REF!</f>
        <v>#REF!</v>
      </c>
      <c r="R51" s="102">
        <f>'Asia-Pacific'!W61</f>
        <v>0</v>
      </c>
      <c r="S51" s="102">
        <f>'Asia-Pacific'!AA61</f>
        <v>0</v>
      </c>
      <c r="T51" s="102" t="e">
        <f>'Asia-Pacific'!#REF!</f>
        <v>#REF!</v>
      </c>
      <c r="U51" s="102" t="e">
        <f>'Asia-Pacific'!#REF!</f>
        <v>#REF!</v>
      </c>
      <c r="V51" s="102" t="e">
        <f>'Asia-Pacific'!#REF!</f>
        <v>#REF!</v>
      </c>
      <c r="W51" s="102" t="e">
        <f>'Asia-Pacific'!#REF!</f>
        <v>#REF!</v>
      </c>
      <c r="X51" s="102" t="e">
        <f>'Asia-Pacific'!#REF!</f>
        <v>#REF!</v>
      </c>
      <c r="Y51" s="102" t="e">
        <f>'Asia-Pacific'!#REF!</f>
        <v>#REF!</v>
      </c>
      <c r="Z51" s="281" t="e">
        <f>(N51+O51+P51)</f>
        <v>#REF!</v>
      </c>
      <c r="AA51" s="281" t="e">
        <f>(Q51+R51+S51)</f>
        <v>#REF!</v>
      </c>
      <c r="AB51" s="281" t="e">
        <f>(T51+U51+V51)</f>
        <v>#REF!</v>
      </c>
      <c r="AC51" s="281" t="e">
        <f>(W51+X51+Y51)</f>
        <v>#REF!</v>
      </c>
      <c r="AD51" s="281" t="e">
        <f>+SUM(Z51:AC51)</f>
        <v>#REF!</v>
      </c>
      <c r="AE51" s="90"/>
      <c r="AF51" s="90"/>
      <c r="AG51" s="90"/>
      <c r="AH51" s="90"/>
    </row>
    <row r="52" spans="1:41" s="91" customFormat="1">
      <c r="A52" s="536"/>
      <c r="B52" s="142" t="s">
        <v>82</v>
      </c>
      <c r="C52" s="97">
        <f>SUM(C49:C51)</f>
        <v>107.48186832100001</v>
      </c>
      <c r="D52" s="97">
        <f>SUM(D49:D51)</f>
        <v>131.328926118</v>
      </c>
      <c r="E52" s="97">
        <f>SUM(E49:E51)</f>
        <v>305.530842312</v>
      </c>
      <c r="F52" s="143">
        <f t="shared" si="40"/>
        <v>1.3264550418807075</v>
      </c>
      <c r="G52" s="97">
        <f>SUM(G49:G51)</f>
        <v>184.300102619</v>
      </c>
      <c r="H52" s="97">
        <f>SUM(H49:H51)</f>
        <v>0</v>
      </c>
      <c r="I52" s="97">
        <f>SUM(I49:I51)</f>
        <v>184.300102619</v>
      </c>
      <c r="J52" s="143">
        <f t="shared" si="42"/>
        <v>-0.39678724012157951</v>
      </c>
      <c r="K52" s="97" t="e">
        <f>SUM(K49:K51)</f>
        <v>#REF!</v>
      </c>
      <c r="L52" s="143">
        <f t="shared" si="43"/>
        <v>0</v>
      </c>
      <c r="M52" s="108"/>
      <c r="N52" s="97" t="e">
        <f t="shared" ref="N52:AD52" si="48">SUM(N49:N51)</f>
        <v>#REF!</v>
      </c>
      <c r="O52" s="97" t="e">
        <f t="shared" si="48"/>
        <v>#REF!</v>
      </c>
      <c r="P52" s="97" t="e">
        <f t="shared" si="48"/>
        <v>#REF!</v>
      </c>
      <c r="Q52" s="97" t="e">
        <f t="shared" si="48"/>
        <v>#REF!</v>
      </c>
      <c r="R52" s="97">
        <f t="shared" si="48"/>
        <v>1.6969318419000001</v>
      </c>
      <c r="S52" s="97">
        <f t="shared" ca="1" si="48"/>
        <v>2.1447913667142862</v>
      </c>
      <c r="T52" s="97" t="e">
        <f t="shared" si="48"/>
        <v>#REF!</v>
      </c>
      <c r="U52" s="97" t="e">
        <f t="shared" si="48"/>
        <v>#REF!</v>
      </c>
      <c r="V52" s="97" t="e">
        <f t="shared" si="48"/>
        <v>#REF!</v>
      </c>
      <c r="W52" s="97" t="e">
        <f t="shared" si="48"/>
        <v>#REF!</v>
      </c>
      <c r="X52" s="97" t="e">
        <f t="shared" si="48"/>
        <v>#REF!</v>
      </c>
      <c r="Y52" s="97" t="e">
        <f t="shared" si="48"/>
        <v>#REF!</v>
      </c>
      <c r="Z52" s="97" t="e">
        <f t="shared" si="48"/>
        <v>#REF!</v>
      </c>
      <c r="AA52" s="97" t="e">
        <f t="shared" ca="1" si="48"/>
        <v>#REF!</v>
      </c>
      <c r="AB52" s="97" t="e">
        <f t="shared" si="48"/>
        <v>#REF!</v>
      </c>
      <c r="AC52" s="97" t="e">
        <f t="shared" si="48"/>
        <v>#REF!</v>
      </c>
      <c r="AD52" s="97" t="e">
        <f t="shared" si="48"/>
        <v>#REF!</v>
      </c>
      <c r="AE52" s="90"/>
      <c r="AF52" s="90"/>
      <c r="AG52" s="90"/>
      <c r="AH52" s="90"/>
    </row>
    <row r="53" spans="1:41" s="91" customFormat="1">
      <c r="A53" s="536"/>
      <c r="B53" s="142" t="s">
        <v>104</v>
      </c>
      <c r="C53" s="97"/>
      <c r="D53" s="97"/>
      <c r="E53" s="97"/>
      <c r="F53" s="143"/>
      <c r="G53" s="97"/>
      <c r="H53" s="97"/>
      <c r="I53" s="97"/>
      <c r="J53" s="143"/>
      <c r="K53" s="97"/>
      <c r="L53" s="143"/>
      <c r="M53" s="108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0"/>
      <c r="AF53" s="90"/>
      <c r="AG53" s="90"/>
      <c r="AH53" s="90"/>
    </row>
    <row r="54" spans="1:41" s="91" customFormat="1">
      <c r="A54" s="537"/>
      <c r="B54" s="84" t="s">
        <v>81</v>
      </c>
      <c r="C54" s="102">
        <v>0</v>
      </c>
      <c r="D54" s="102">
        <v>0</v>
      </c>
      <c r="E54" s="102">
        <v>0</v>
      </c>
      <c r="F54" s="107">
        <f t="shared" si="40"/>
        <v>0</v>
      </c>
      <c r="G54" s="102"/>
      <c r="H54" s="128"/>
      <c r="I54" s="102">
        <f>G54+H54</f>
        <v>0</v>
      </c>
      <c r="J54" s="107">
        <f t="shared" si="42"/>
        <v>0</v>
      </c>
      <c r="K54" s="123" t="e">
        <f>SUM(N54:Y54)</f>
        <v>#REF!</v>
      </c>
      <c r="L54" s="107">
        <f t="shared" si="43"/>
        <v>0</v>
      </c>
      <c r="M54" s="108"/>
      <c r="N54" s="102" t="e">
        <f>'Asia-Pacific'!#REF!</f>
        <v>#REF!</v>
      </c>
      <c r="O54" s="102">
        <f>'Asia-Pacific'!H69</f>
        <v>0</v>
      </c>
      <c r="P54" s="102">
        <f>'Asia-Pacific'!L69</f>
        <v>0</v>
      </c>
      <c r="Q54" s="102">
        <f>'Asia-Pacific'!P69</f>
        <v>0</v>
      </c>
      <c r="R54" s="102">
        <f>'Asia-Pacific'!T69</f>
        <v>0</v>
      </c>
      <c r="S54" s="102">
        <f>'Asia-Pacific'!X69</f>
        <v>0</v>
      </c>
      <c r="T54" s="102">
        <f>'Asia-Pacific'!AB69</f>
        <v>0</v>
      </c>
      <c r="U54" s="102">
        <f>'Asia-Pacific'!AF69</f>
        <v>0</v>
      </c>
      <c r="V54" s="102">
        <f>'Asia-Pacific'!AJ69</f>
        <v>0</v>
      </c>
      <c r="W54" s="102">
        <f>'Asia-Pacific'!AN69</f>
        <v>0</v>
      </c>
      <c r="X54" s="102">
        <f>'Asia-Pacific'!AR69</f>
        <v>0</v>
      </c>
      <c r="Y54" s="102">
        <f>'Asia-Pacific'!AV69</f>
        <v>0</v>
      </c>
      <c r="Z54" s="281" t="e">
        <f>(N54+O54+P54)</f>
        <v>#REF!</v>
      </c>
      <c r="AA54" s="281">
        <f>(Q54+R54+S54)</f>
        <v>0</v>
      </c>
      <c r="AB54" s="281">
        <f>(T54+U54+V54)</f>
        <v>0</v>
      </c>
      <c r="AC54" s="281">
        <f>(W54+X54+Y54)</f>
        <v>0</v>
      </c>
      <c r="AD54" s="281" t="e">
        <f>+SUM(Z54:AC54)</f>
        <v>#REF!</v>
      </c>
      <c r="AE54" s="90"/>
      <c r="AF54" s="90"/>
      <c r="AG54" s="90"/>
      <c r="AH54" s="90"/>
    </row>
    <row r="55" spans="1:41">
      <c r="A55" s="6" t="s">
        <v>25</v>
      </c>
      <c r="B55" s="16"/>
      <c r="C55" s="95">
        <f>+C52+C54</f>
        <v>107.48186832100001</v>
      </c>
      <c r="D55" s="95">
        <f>+D52+D54</f>
        <v>131.328926118</v>
      </c>
      <c r="E55" s="95">
        <f>+E52+E54</f>
        <v>305.530842312</v>
      </c>
      <c r="F55" s="18">
        <f t="shared" si="40"/>
        <v>1.3264550418807075</v>
      </c>
      <c r="G55" s="92">
        <f>+G52+G54</f>
        <v>184.300102619</v>
      </c>
      <c r="H55" s="92">
        <f>+H52+H54</f>
        <v>0</v>
      </c>
      <c r="I55" s="92">
        <f>+I52+I54</f>
        <v>184.300102619</v>
      </c>
      <c r="J55" s="18">
        <f t="shared" si="42"/>
        <v>-0.39678724012157951</v>
      </c>
      <c r="K55" s="95" t="e">
        <f>+K52+K54</f>
        <v>#REF!</v>
      </c>
      <c r="L55" s="18">
        <f t="shared" si="43"/>
        <v>0</v>
      </c>
      <c r="M55" s="94"/>
      <c r="N55" s="95" t="e">
        <f t="shared" ref="N55:AD55" si="49">+N52+N54</f>
        <v>#REF!</v>
      </c>
      <c r="O55" s="95" t="e">
        <f t="shared" si="49"/>
        <v>#REF!</v>
      </c>
      <c r="P55" s="95" t="e">
        <f t="shared" si="49"/>
        <v>#REF!</v>
      </c>
      <c r="Q55" s="95" t="e">
        <f t="shared" si="49"/>
        <v>#REF!</v>
      </c>
      <c r="R55" s="95">
        <f t="shared" si="49"/>
        <v>1.6969318419000001</v>
      </c>
      <c r="S55" s="95">
        <f t="shared" ca="1" si="49"/>
        <v>2.1447913667142862</v>
      </c>
      <c r="T55" s="95" t="e">
        <f t="shared" si="49"/>
        <v>#REF!</v>
      </c>
      <c r="U55" s="95" t="e">
        <f t="shared" si="49"/>
        <v>#REF!</v>
      </c>
      <c r="V55" s="95" t="e">
        <f t="shared" si="49"/>
        <v>#REF!</v>
      </c>
      <c r="W55" s="95" t="e">
        <f t="shared" si="49"/>
        <v>#REF!</v>
      </c>
      <c r="X55" s="95" t="e">
        <f t="shared" si="49"/>
        <v>#REF!</v>
      </c>
      <c r="Y55" s="95" t="e">
        <f t="shared" si="49"/>
        <v>#REF!</v>
      </c>
      <c r="Z55" s="95" t="e">
        <f t="shared" si="49"/>
        <v>#REF!</v>
      </c>
      <c r="AA55" s="95" t="e">
        <f t="shared" ca="1" si="49"/>
        <v>#REF!</v>
      </c>
      <c r="AB55" s="95" t="e">
        <f t="shared" si="49"/>
        <v>#REF!</v>
      </c>
      <c r="AC55" s="95" t="e">
        <f t="shared" si="49"/>
        <v>#REF!</v>
      </c>
      <c r="AD55" s="95" t="e">
        <f t="shared" si="49"/>
        <v>#REF!</v>
      </c>
      <c r="AE55" s="62"/>
      <c r="AF55" s="62"/>
      <c r="AG55" s="62"/>
      <c r="AH55" s="62"/>
    </row>
    <row r="56" spans="1:41" s="91" customFormat="1">
      <c r="A56" s="535" t="s">
        <v>8</v>
      </c>
      <c r="B56" s="84" t="s">
        <v>12</v>
      </c>
      <c r="C56" s="102">
        <v>31.182854890000002</v>
      </c>
      <c r="D56" s="102">
        <v>162.68448838499995</v>
      </c>
      <c r="E56" s="102">
        <v>186.40319101399999</v>
      </c>
      <c r="F56" s="107">
        <f t="shared" si="40"/>
        <v>0.14579572314767142</v>
      </c>
      <c r="G56" s="102">
        <v>120.79866380699998</v>
      </c>
      <c r="H56" s="128"/>
      <c r="I56" s="102">
        <f t="shared" si="41"/>
        <v>120.79866380699998</v>
      </c>
      <c r="J56" s="107">
        <f t="shared" si="42"/>
        <v>-0.35194959297704675</v>
      </c>
      <c r="K56" s="123" t="e">
        <f>SUM(N56:Y56)</f>
        <v>#REF!</v>
      </c>
      <c r="L56" s="107">
        <f t="shared" si="43"/>
        <v>0</v>
      </c>
      <c r="M56" s="108"/>
      <c r="N56" s="102" t="e">
        <f>'Rest of world'!#REF!</f>
        <v>#REF!</v>
      </c>
      <c r="O56" s="102" t="e">
        <f>'Rest of world'!#REF!</f>
        <v>#REF!</v>
      </c>
      <c r="P56" s="102" t="e">
        <f>'Rest of world'!#REF!</f>
        <v>#REF!</v>
      </c>
      <c r="Q56" s="102" t="e">
        <f>'Rest of world'!#REF!</f>
        <v>#REF!</v>
      </c>
      <c r="R56" s="102">
        <f>'Rest of world'!W24</f>
        <v>2.4740828439000007</v>
      </c>
      <c r="S56" s="102">
        <f>'Rest of world'!AA24</f>
        <v>4.53751514</v>
      </c>
      <c r="T56" s="102" t="e">
        <f>'Rest of world'!#REF!</f>
        <v>#REF!</v>
      </c>
      <c r="U56" s="102" t="e">
        <f>'Rest of world'!#REF!</f>
        <v>#REF!</v>
      </c>
      <c r="V56" s="102" t="e">
        <f>'Rest of world'!#REF!</f>
        <v>#REF!</v>
      </c>
      <c r="W56" s="102" t="e">
        <f>'Rest of world'!#REF!</f>
        <v>#REF!</v>
      </c>
      <c r="X56" s="102" t="e">
        <f>'Rest of world'!#REF!</f>
        <v>#REF!</v>
      </c>
      <c r="Y56" s="102" t="e">
        <f>'Rest of world'!#REF!</f>
        <v>#REF!</v>
      </c>
      <c r="Z56" s="281" t="e">
        <f>(N56+O56+P56)</f>
        <v>#REF!</v>
      </c>
      <c r="AA56" s="281" t="e">
        <f>(Q56+R56+S56)</f>
        <v>#REF!</v>
      </c>
      <c r="AB56" s="281" t="e">
        <f>(T56+U56+V56)</f>
        <v>#REF!</v>
      </c>
      <c r="AC56" s="281" t="e">
        <f>(W56+X56+Y56)</f>
        <v>#REF!</v>
      </c>
      <c r="AD56" s="281" t="e">
        <f>+SUM(Z56:AC56)</f>
        <v>#REF!</v>
      </c>
      <c r="AE56" s="90"/>
      <c r="AF56" s="90"/>
      <c r="AG56" s="90"/>
      <c r="AH56" s="90"/>
    </row>
    <row r="57" spans="1:41" s="91" customFormat="1">
      <c r="A57" s="536"/>
      <c r="B57" s="84" t="s">
        <v>4</v>
      </c>
      <c r="C57" s="102">
        <v>19.327766352000001</v>
      </c>
      <c r="D57" s="102">
        <v>6.1487527020000003</v>
      </c>
      <c r="E57" s="102">
        <v>28.709077123000004</v>
      </c>
      <c r="F57" s="107">
        <f t="shared" si="40"/>
        <v>3.669089572208982</v>
      </c>
      <c r="G57" s="102">
        <v>16.273130571999999</v>
      </c>
      <c r="H57" s="128"/>
      <c r="I57" s="102">
        <f t="shared" si="41"/>
        <v>16.273130571999999</v>
      </c>
      <c r="J57" s="107">
        <f t="shared" si="42"/>
        <v>-0.43317124050069389</v>
      </c>
      <c r="K57" s="123" t="e">
        <f>SUM(N57:Y57)</f>
        <v>#REF!</v>
      </c>
      <c r="L57" s="107">
        <f t="shared" si="43"/>
        <v>0</v>
      </c>
      <c r="M57" s="108"/>
      <c r="N57" s="102" t="e">
        <f>'Rest of world'!#REF!</f>
        <v>#REF!</v>
      </c>
      <c r="O57" s="102" t="e">
        <f>'Rest of world'!#REF!</f>
        <v>#REF!</v>
      </c>
      <c r="P57" s="102" t="e">
        <f>'Rest of world'!#REF!</f>
        <v>#REF!</v>
      </c>
      <c r="Q57" s="102" t="e">
        <f>'Rest of world'!#REF!</f>
        <v>#REF!</v>
      </c>
      <c r="R57" s="102">
        <f>'Rest of world'!W54</f>
        <v>6.4387902985714299E-2</v>
      </c>
      <c r="S57" s="102">
        <f>'Rest of world'!AA54</f>
        <v>8.6241870000000012E-2</v>
      </c>
      <c r="T57" s="102" t="e">
        <f>'Rest of world'!#REF!</f>
        <v>#REF!</v>
      </c>
      <c r="U57" s="102" t="e">
        <f>'Rest of world'!#REF!</f>
        <v>#REF!</v>
      </c>
      <c r="V57" s="102" t="e">
        <f>'Rest of world'!#REF!</f>
        <v>#REF!</v>
      </c>
      <c r="W57" s="102" t="e">
        <f>'Rest of world'!#REF!</f>
        <v>#REF!</v>
      </c>
      <c r="X57" s="102" t="e">
        <f>'Rest of world'!#REF!</f>
        <v>#REF!</v>
      </c>
      <c r="Y57" s="102" t="e">
        <f>'Rest of world'!#REF!</f>
        <v>#REF!</v>
      </c>
      <c r="Z57" s="281" t="e">
        <f>(N57+O57+P57)</f>
        <v>#REF!</v>
      </c>
      <c r="AA57" s="281" t="e">
        <f>(Q57+R57+S57)</f>
        <v>#REF!</v>
      </c>
      <c r="AB57" s="281" t="e">
        <f>(T57+U57+V57)</f>
        <v>#REF!</v>
      </c>
      <c r="AC57" s="281" t="e">
        <f>(W57+X57+Y57)</f>
        <v>#REF!</v>
      </c>
      <c r="AD57" s="281" t="e">
        <f>+SUM(Z57:AC57)</f>
        <v>#REF!</v>
      </c>
      <c r="AE57" s="90"/>
      <c r="AF57" s="90"/>
      <c r="AG57" s="90"/>
      <c r="AH57" s="90"/>
    </row>
    <row r="58" spans="1:41" s="91" customFormat="1">
      <c r="A58" s="536"/>
      <c r="B58" s="84" t="s">
        <v>0</v>
      </c>
      <c r="C58" s="102">
        <v>0.52404059199999997</v>
      </c>
      <c r="D58" s="102">
        <v>0.10967509799999998</v>
      </c>
      <c r="E58" s="102">
        <v>6.6615088999999988E-2</v>
      </c>
      <c r="F58" s="107">
        <f t="shared" si="40"/>
        <v>-0.39261427420835315</v>
      </c>
      <c r="G58" s="102">
        <v>6.1823224999999996E-2</v>
      </c>
      <c r="H58" s="128"/>
      <c r="I58" s="102">
        <f t="shared" si="41"/>
        <v>6.1823224999999996E-2</v>
      </c>
      <c r="J58" s="107">
        <f t="shared" si="42"/>
        <v>-7.193361251832886E-2</v>
      </c>
      <c r="K58" s="123" t="e">
        <f>SUM(N58:Y58)</f>
        <v>#REF!</v>
      </c>
      <c r="L58" s="107">
        <f t="shared" si="43"/>
        <v>0</v>
      </c>
      <c r="M58" s="108"/>
      <c r="N58" s="102" t="e">
        <f>'Rest of world'!#REF!</f>
        <v>#REF!</v>
      </c>
      <c r="O58" s="102" t="e">
        <f>'Rest of world'!#REF!</f>
        <v>#REF!</v>
      </c>
      <c r="P58" s="102" t="e">
        <f>'Rest of world'!#REF!</f>
        <v>#REF!</v>
      </c>
      <c r="Q58" s="102" t="e">
        <f>'Rest of world'!#REF!</f>
        <v>#REF!</v>
      </c>
      <c r="R58" s="102">
        <f>'Rest of world'!W61</f>
        <v>1.8111258000000002E-2</v>
      </c>
      <c r="S58" s="102">
        <f>'Rest of world'!AA61</f>
        <v>0</v>
      </c>
      <c r="T58" s="102" t="e">
        <f>'Rest of world'!#REF!</f>
        <v>#REF!</v>
      </c>
      <c r="U58" s="102" t="e">
        <f>'Rest of world'!#REF!</f>
        <v>#REF!</v>
      </c>
      <c r="V58" s="102" t="e">
        <f>'Rest of world'!#REF!</f>
        <v>#REF!</v>
      </c>
      <c r="W58" s="102" t="e">
        <f>'Rest of world'!#REF!</f>
        <v>#REF!</v>
      </c>
      <c r="X58" s="102" t="e">
        <f>'Rest of world'!#REF!</f>
        <v>#REF!</v>
      </c>
      <c r="Y58" s="102" t="e">
        <f>'Rest of world'!#REF!</f>
        <v>#REF!</v>
      </c>
      <c r="Z58" s="281" t="e">
        <f>(N58+O58+P58)</f>
        <v>#REF!</v>
      </c>
      <c r="AA58" s="281" t="e">
        <f>(Q58+R58+S58)</f>
        <v>#REF!</v>
      </c>
      <c r="AB58" s="281" t="e">
        <f>(T58+U58+V58)</f>
        <v>#REF!</v>
      </c>
      <c r="AC58" s="281" t="e">
        <f>(W58+X58+Y58)</f>
        <v>#REF!</v>
      </c>
      <c r="AD58" s="281" t="e">
        <f>+SUM(Z58:AC58)</f>
        <v>#REF!</v>
      </c>
      <c r="AE58" s="90"/>
      <c r="AF58" s="90"/>
      <c r="AG58" s="90"/>
      <c r="AH58" s="90"/>
    </row>
    <row r="59" spans="1:41" s="91" customFormat="1">
      <c r="A59" s="536"/>
      <c r="B59" s="142" t="s">
        <v>82</v>
      </c>
      <c r="C59" s="97">
        <f>SUM(C56:C58)</f>
        <v>51.034661833999998</v>
      </c>
      <c r="D59" s="97">
        <f>SUM(D56:D58)</f>
        <v>168.94291618499994</v>
      </c>
      <c r="E59" s="97">
        <f>SUM(E56:E58)</f>
        <v>215.17888322600001</v>
      </c>
      <c r="F59" s="143">
        <f t="shared" si="40"/>
        <v>0.2736780451354921</v>
      </c>
      <c r="G59" s="97">
        <f>SUM(G56:G58)</f>
        <v>137.13361760399999</v>
      </c>
      <c r="H59" s="97">
        <f>SUM(H56:H58)</f>
        <v>0</v>
      </c>
      <c r="I59" s="97">
        <f>SUM(I56:I58)</f>
        <v>137.13361760399999</v>
      </c>
      <c r="J59" s="143">
        <f t="shared" si="42"/>
        <v>-0.36269946405489029</v>
      </c>
      <c r="K59" s="97" t="e">
        <f>SUM(K56:K58)</f>
        <v>#REF!</v>
      </c>
      <c r="L59" s="143">
        <f t="shared" si="43"/>
        <v>0</v>
      </c>
      <c r="M59" s="108"/>
      <c r="N59" s="97" t="e">
        <f t="shared" ref="N59:AD59" si="50">SUM(N56:N58)</f>
        <v>#REF!</v>
      </c>
      <c r="O59" s="97" t="e">
        <f t="shared" si="50"/>
        <v>#REF!</v>
      </c>
      <c r="P59" s="97" t="e">
        <f t="shared" si="50"/>
        <v>#REF!</v>
      </c>
      <c r="Q59" s="97" t="e">
        <f t="shared" si="50"/>
        <v>#REF!</v>
      </c>
      <c r="R59" s="97">
        <f t="shared" si="50"/>
        <v>2.5565820048857146</v>
      </c>
      <c r="S59" s="97">
        <f t="shared" si="50"/>
        <v>4.6237570100000003</v>
      </c>
      <c r="T59" s="97" t="e">
        <f t="shared" si="50"/>
        <v>#REF!</v>
      </c>
      <c r="U59" s="97" t="e">
        <f t="shared" si="50"/>
        <v>#REF!</v>
      </c>
      <c r="V59" s="97" t="e">
        <f t="shared" si="50"/>
        <v>#REF!</v>
      </c>
      <c r="W59" s="97" t="e">
        <f t="shared" si="50"/>
        <v>#REF!</v>
      </c>
      <c r="X59" s="97" t="e">
        <f t="shared" si="50"/>
        <v>#REF!</v>
      </c>
      <c r="Y59" s="97" t="e">
        <f t="shared" si="50"/>
        <v>#REF!</v>
      </c>
      <c r="Z59" s="97" t="e">
        <f t="shared" si="50"/>
        <v>#REF!</v>
      </c>
      <c r="AA59" s="97" t="e">
        <f t="shared" si="50"/>
        <v>#REF!</v>
      </c>
      <c r="AB59" s="97" t="e">
        <f t="shared" si="50"/>
        <v>#REF!</v>
      </c>
      <c r="AC59" s="97" t="e">
        <f t="shared" si="50"/>
        <v>#REF!</v>
      </c>
      <c r="AD59" s="97" t="e">
        <f t="shared" si="50"/>
        <v>#REF!</v>
      </c>
      <c r="AE59" s="90"/>
      <c r="AF59" s="90"/>
      <c r="AG59" s="90"/>
      <c r="AH59" s="90"/>
    </row>
    <row r="60" spans="1:41" s="91" customFormat="1">
      <c r="A60" s="536"/>
      <c r="B60" s="142" t="s">
        <v>104</v>
      </c>
      <c r="C60" s="97"/>
      <c r="D60" s="97">
        <v>5.0316721290000013</v>
      </c>
      <c r="E60" s="97"/>
      <c r="F60" s="143"/>
      <c r="G60" s="97"/>
      <c r="H60" s="97"/>
      <c r="I60" s="97"/>
      <c r="J60" s="143"/>
      <c r="K60" s="97"/>
      <c r="L60" s="143"/>
      <c r="M60" s="108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  <c r="AB60" s="97"/>
      <c r="AC60" s="97"/>
      <c r="AD60" s="97"/>
      <c r="AE60" s="90"/>
      <c r="AF60" s="90"/>
      <c r="AG60" s="90"/>
      <c r="AH60" s="90"/>
    </row>
    <row r="61" spans="1:41" s="91" customFormat="1">
      <c r="A61" s="537"/>
      <c r="B61" s="84" t="s">
        <v>81</v>
      </c>
      <c r="C61" s="102">
        <v>0</v>
      </c>
      <c r="D61" s="102">
        <v>0</v>
      </c>
      <c r="E61" s="102">
        <v>0</v>
      </c>
      <c r="F61" s="107">
        <f t="shared" si="40"/>
        <v>0</v>
      </c>
      <c r="G61" s="102"/>
      <c r="H61" s="128">
        <v>0</v>
      </c>
      <c r="I61" s="102">
        <f>G61+H61</f>
        <v>0</v>
      </c>
      <c r="J61" s="107">
        <f t="shared" si="42"/>
        <v>0</v>
      </c>
      <c r="K61" s="123" t="e">
        <f>SUM(N61:Y61)</f>
        <v>#REF!</v>
      </c>
      <c r="L61" s="107">
        <f t="shared" si="43"/>
        <v>0</v>
      </c>
      <c r="M61" s="108"/>
      <c r="N61" s="102" t="e">
        <f>'Rest of world'!#REF!</f>
        <v>#REF!</v>
      </c>
      <c r="O61" s="102" t="e">
        <f>'Rest of world'!#REF!</f>
        <v>#REF!</v>
      </c>
      <c r="P61" s="102" t="e">
        <f>'Rest of world'!#REF!</f>
        <v>#REF!</v>
      </c>
      <c r="Q61" s="102" t="e">
        <f>'Rest of world'!#REF!</f>
        <v>#REF!</v>
      </c>
      <c r="R61" s="102">
        <f>'Rest of world'!W69</f>
        <v>0</v>
      </c>
      <c r="S61" s="102">
        <f>'Rest of world'!AA69</f>
        <v>0</v>
      </c>
      <c r="T61" s="102" t="e">
        <f>'Rest of world'!#REF!</f>
        <v>#REF!</v>
      </c>
      <c r="U61" s="102" t="e">
        <f>'Rest of world'!#REF!</f>
        <v>#REF!</v>
      </c>
      <c r="V61" s="102" t="e">
        <f>'Rest of world'!#REF!</f>
        <v>#REF!</v>
      </c>
      <c r="W61" s="102" t="e">
        <f>'Rest of world'!#REF!</f>
        <v>#REF!</v>
      </c>
      <c r="X61" s="102" t="e">
        <f>'Rest of world'!#REF!</f>
        <v>#REF!</v>
      </c>
      <c r="Y61" s="102" t="e">
        <f>'Rest of world'!#REF!</f>
        <v>#REF!</v>
      </c>
      <c r="Z61" s="281" t="e">
        <f>(N61+O61+P61)</f>
        <v>#REF!</v>
      </c>
      <c r="AA61" s="281" t="e">
        <f>(Q61+R61+S61)</f>
        <v>#REF!</v>
      </c>
      <c r="AB61" s="281" t="e">
        <f>(T61+U61+V61)</f>
        <v>#REF!</v>
      </c>
      <c r="AC61" s="281" t="e">
        <f>(W61+X61+Y61)</f>
        <v>#REF!</v>
      </c>
      <c r="AD61" s="281" t="e">
        <f>+SUM(Z61:AC61)</f>
        <v>#REF!</v>
      </c>
      <c r="AE61" s="90"/>
      <c r="AF61" s="90"/>
      <c r="AG61" s="90"/>
      <c r="AH61" s="90"/>
    </row>
    <row r="62" spans="1:41">
      <c r="A62" s="6" t="s">
        <v>26</v>
      </c>
      <c r="B62" s="16"/>
      <c r="C62" s="95">
        <f>+C59+C61+C60</f>
        <v>51.034661833999998</v>
      </c>
      <c r="D62" s="95">
        <f>+D59+D61+D60</f>
        <v>173.97458831399996</v>
      </c>
      <c r="E62" s="95">
        <f>+E59+E61+E60</f>
        <v>215.17888322600001</v>
      </c>
      <c r="F62" s="18">
        <f t="shared" si="40"/>
        <v>0.23684088182828189</v>
      </c>
      <c r="G62" s="92">
        <f>+G59+G61+G60</f>
        <v>137.13361760399999</v>
      </c>
      <c r="H62" s="92">
        <f>+H59+H61</f>
        <v>0</v>
      </c>
      <c r="I62" s="92">
        <f>+I59+I61+I60</f>
        <v>137.13361760399999</v>
      </c>
      <c r="J62" s="18">
        <f t="shared" si="42"/>
        <v>-0.36269946405489029</v>
      </c>
      <c r="K62" s="95" t="e">
        <f>+K59+K61+K60</f>
        <v>#REF!</v>
      </c>
      <c r="L62" s="18">
        <f t="shared" si="43"/>
        <v>0</v>
      </c>
      <c r="M62" s="94"/>
      <c r="N62" s="95" t="e">
        <f t="shared" ref="N62:AD62" si="51">+N59+N61+N60</f>
        <v>#REF!</v>
      </c>
      <c r="O62" s="95" t="e">
        <f t="shared" si="51"/>
        <v>#REF!</v>
      </c>
      <c r="P62" s="95" t="e">
        <f t="shared" si="51"/>
        <v>#REF!</v>
      </c>
      <c r="Q62" s="95" t="e">
        <f t="shared" si="51"/>
        <v>#REF!</v>
      </c>
      <c r="R62" s="95">
        <f t="shared" si="51"/>
        <v>2.5565820048857146</v>
      </c>
      <c r="S62" s="95">
        <f t="shared" si="51"/>
        <v>4.6237570100000003</v>
      </c>
      <c r="T62" s="95" t="e">
        <f t="shared" si="51"/>
        <v>#REF!</v>
      </c>
      <c r="U62" s="95" t="e">
        <f t="shared" si="51"/>
        <v>#REF!</v>
      </c>
      <c r="V62" s="95" t="e">
        <f t="shared" si="51"/>
        <v>#REF!</v>
      </c>
      <c r="W62" s="95" t="e">
        <f t="shared" si="51"/>
        <v>#REF!</v>
      </c>
      <c r="X62" s="95" t="e">
        <f t="shared" si="51"/>
        <v>#REF!</v>
      </c>
      <c r="Y62" s="95" t="e">
        <f t="shared" si="51"/>
        <v>#REF!</v>
      </c>
      <c r="Z62" s="95" t="e">
        <f t="shared" si="51"/>
        <v>#REF!</v>
      </c>
      <c r="AA62" s="95" t="e">
        <f t="shared" si="51"/>
        <v>#REF!</v>
      </c>
      <c r="AB62" s="95" t="e">
        <f t="shared" si="51"/>
        <v>#REF!</v>
      </c>
      <c r="AC62" s="95" t="e">
        <f t="shared" si="51"/>
        <v>#REF!</v>
      </c>
      <c r="AD62" s="95" t="e">
        <f t="shared" si="51"/>
        <v>#REF!</v>
      </c>
      <c r="AE62" s="62"/>
      <c r="AF62" s="62"/>
      <c r="AG62" s="62"/>
      <c r="AH62" s="62"/>
    </row>
    <row r="63" spans="1:41">
      <c r="A63" s="72"/>
      <c r="B63" s="73"/>
      <c r="C63" s="74"/>
      <c r="D63" s="74"/>
      <c r="E63" s="74"/>
      <c r="F63" s="74"/>
      <c r="G63" s="75"/>
      <c r="H63" s="75"/>
      <c r="I63" s="75"/>
      <c r="J63" s="75"/>
      <c r="K63" s="99"/>
      <c r="L63" s="74"/>
      <c r="M63" s="77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62"/>
      <c r="AA63" s="62"/>
      <c r="AB63" s="62"/>
      <c r="AC63" s="62"/>
      <c r="AD63" s="62"/>
      <c r="AE63" s="62"/>
      <c r="AF63" s="62"/>
      <c r="AG63" s="62"/>
      <c r="AH63" s="62"/>
    </row>
    <row r="64" spans="1:41">
      <c r="A64" s="126" t="s">
        <v>75</v>
      </c>
      <c r="B64" s="70"/>
      <c r="C64" s="71"/>
      <c r="D64" s="71"/>
      <c r="E64" s="71"/>
      <c r="F64" s="71"/>
      <c r="G64" s="259"/>
      <c r="H64" s="71"/>
      <c r="I64" s="71"/>
      <c r="J64" s="71"/>
      <c r="K64" s="100" t="e">
        <f>'Productwise sales'!#REF!-K14</f>
        <v>#REF!</v>
      </c>
      <c r="L64" s="71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</row>
    <row r="65" spans="1:41">
      <c r="A65" s="62"/>
      <c r="B65" s="62"/>
      <c r="C65" s="63"/>
      <c r="D65" s="63"/>
      <c r="E65" s="63"/>
      <c r="F65" s="63"/>
      <c r="G65" s="63"/>
      <c r="H65" s="63"/>
      <c r="I65" s="63"/>
      <c r="J65" s="63"/>
      <c r="K65" s="101"/>
      <c r="L65" s="63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</row>
    <row r="66" spans="1:41">
      <c r="A66" s="62"/>
      <c r="B66" s="62"/>
      <c r="C66" s="63"/>
      <c r="D66" s="63"/>
      <c r="E66" s="66">
        <v>1.827836491999733</v>
      </c>
      <c r="F66" s="63" t="s">
        <v>105</v>
      </c>
      <c r="G66" s="101">
        <v>0.59146355000007134</v>
      </c>
      <c r="H66" s="63" t="s">
        <v>105</v>
      </c>
      <c r="I66" s="63"/>
      <c r="J66" s="63"/>
      <c r="K66" s="101"/>
      <c r="L66" s="63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</row>
    <row r="67" spans="1:41">
      <c r="A67" s="62"/>
      <c r="B67" s="62"/>
      <c r="C67" s="63"/>
      <c r="D67" s="63"/>
      <c r="E67" s="63"/>
      <c r="F67" s="63"/>
      <c r="G67" s="63"/>
      <c r="H67" s="63"/>
      <c r="I67" s="63"/>
      <c r="J67" s="63"/>
      <c r="K67" s="101"/>
      <c r="L67" s="63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</row>
    <row r="68" spans="1:41">
      <c r="A68" s="62"/>
      <c r="B68" s="62"/>
      <c r="C68" s="63"/>
      <c r="D68" s="63"/>
      <c r="E68" s="63"/>
      <c r="F68" s="63"/>
      <c r="G68" s="63"/>
      <c r="H68" s="63"/>
      <c r="I68" s="63"/>
      <c r="J68" s="63"/>
      <c r="K68" s="101"/>
      <c r="L68" s="63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</row>
    <row r="69" spans="1:41">
      <c r="A69" s="62"/>
      <c r="B69" s="62"/>
      <c r="C69" s="63"/>
      <c r="D69" s="63"/>
      <c r="E69" s="63"/>
      <c r="F69" s="63"/>
      <c r="G69" s="63"/>
      <c r="H69" s="63"/>
      <c r="I69" s="63"/>
      <c r="J69" s="63"/>
      <c r="K69" s="101"/>
      <c r="L69" s="63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</row>
    <row r="70" spans="1:41">
      <c r="A70" s="62"/>
      <c r="B70" s="62"/>
      <c r="C70" s="63"/>
      <c r="D70" s="63"/>
      <c r="E70" s="63"/>
      <c r="F70" s="63"/>
      <c r="G70" s="63"/>
      <c r="H70" s="63"/>
      <c r="I70" s="63"/>
      <c r="J70" s="63"/>
      <c r="K70" s="101"/>
      <c r="L70" s="63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</row>
    <row r="71" spans="1:41">
      <c r="A71" s="62"/>
      <c r="B71" s="62"/>
      <c r="C71" s="63"/>
      <c r="D71" s="63"/>
      <c r="E71" s="63"/>
      <c r="F71" s="63"/>
      <c r="G71" s="63"/>
      <c r="H71" s="63"/>
      <c r="I71" s="63"/>
      <c r="J71" s="63"/>
      <c r="K71" s="101"/>
      <c r="L71" s="63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</row>
    <row r="72" spans="1:41">
      <c r="A72" s="62"/>
      <c r="B72" s="62"/>
      <c r="C72" s="63"/>
      <c r="D72" s="63"/>
      <c r="E72" s="63"/>
      <c r="F72" s="63"/>
      <c r="G72" s="63"/>
      <c r="H72" s="63"/>
      <c r="I72" s="63"/>
      <c r="J72" s="63"/>
      <c r="K72" s="101"/>
      <c r="L72" s="63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</row>
    <row r="73" spans="1:41">
      <c r="A73" s="62"/>
      <c r="B73" s="62"/>
      <c r="C73" s="63"/>
      <c r="D73" s="63"/>
      <c r="E73" s="63"/>
      <c r="F73" s="63"/>
      <c r="G73" s="63"/>
      <c r="H73" s="63"/>
      <c r="I73" s="63"/>
      <c r="J73" s="63"/>
      <c r="K73" s="101"/>
      <c r="L73" s="63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</row>
    <row r="74" spans="1:41">
      <c r="A74" s="62"/>
      <c r="B74" s="62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</row>
    <row r="75" spans="1:41">
      <c r="A75" s="62"/>
      <c r="B75" s="62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</row>
    <row r="76" spans="1:41">
      <c r="A76" s="62"/>
      <c r="B76" s="62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</row>
    <row r="77" spans="1:41">
      <c r="A77" s="62"/>
      <c r="B77" s="62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</row>
    <row r="78" spans="1:41">
      <c r="A78" s="62"/>
      <c r="B78" s="62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</row>
    <row r="79" spans="1:41">
      <c r="A79" s="62"/>
      <c r="B79" s="62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</row>
    <row r="80" spans="1:41">
      <c r="A80" s="62"/>
      <c r="B80" s="62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</row>
    <row r="81" spans="1:41">
      <c r="A81" s="62"/>
      <c r="B81" s="62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</row>
    <row r="82" spans="1:41">
      <c r="A82" s="62"/>
      <c r="B82" s="62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</row>
    <row r="83" spans="1:41">
      <c r="A83" s="62"/>
      <c r="B83" s="62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</row>
    <row r="84" spans="1:41">
      <c r="A84" s="62"/>
      <c r="B84" s="62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</row>
    <row r="85" spans="1:41">
      <c r="A85" s="62"/>
      <c r="B85" s="62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</row>
    <row r="86" spans="1:41">
      <c r="A86" s="62"/>
      <c r="B86" s="62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</row>
    <row r="87" spans="1:41">
      <c r="A87" s="62"/>
      <c r="B87" s="62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</row>
    <row r="88" spans="1:41">
      <c r="A88" s="62"/>
      <c r="B88" s="62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</row>
    <row r="89" spans="1:41">
      <c r="A89" s="62"/>
      <c r="B89" s="62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</row>
    <row r="90" spans="1:41">
      <c r="A90" s="62"/>
      <c r="B90" s="62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</row>
  </sheetData>
  <mergeCells count="7">
    <mergeCell ref="A7:A13"/>
    <mergeCell ref="A56:A61"/>
    <mergeCell ref="A49:A54"/>
    <mergeCell ref="A42:A47"/>
    <mergeCell ref="A35:A40"/>
    <mergeCell ref="A25:A30"/>
    <mergeCell ref="A17:A23"/>
  </mergeCells>
  <phoneticPr fontId="7" type="noConversion"/>
  <conditionalFormatting sqref="K64">
    <cfRule type="cellIs" dxfId="0" priority="1" stopIfTrue="1" operator="notEqual">
      <formula>0</formula>
    </cfRule>
  </conditionalFormatting>
  <printOptions horizontalCentered="1"/>
  <pageMargins left="0.75" right="0.75" top="1" bottom="1" header="0.5" footer="0.5"/>
  <pageSetup scale="43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11"/>
  <sheetViews>
    <sheetView showGridLines="0" zoomScaleNormal="100" zoomScaleSheetLayoutView="100" workbookViewId="0">
      <pane xSplit="1" ySplit="5" topLeftCell="AL70" activePane="bottomRight" state="frozen"/>
      <selection activeCell="J5" sqref="J5"/>
      <selection pane="topRight" activeCell="J5" sqref="J5"/>
      <selection pane="bottomLeft" activeCell="J5" sqref="J5"/>
      <selection pane="bottomRight" activeCell="BB88" sqref="BB88"/>
    </sheetView>
  </sheetViews>
  <sheetFormatPr defaultRowHeight="12.6" customHeight="1"/>
  <cols>
    <col min="1" max="1" width="20.7109375" customWidth="1"/>
    <col min="2" max="2" width="14.140625" customWidth="1"/>
    <col min="3" max="19" width="9" customWidth="1"/>
    <col min="20" max="20" width="9.140625" customWidth="1"/>
    <col min="21" max="22" width="9" customWidth="1"/>
    <col min="23" max="23" width="10.140625" customWidth="1"/>
    <col min="24" max="25" width="9" customWidth="1"/>
    <col min="26" max="26" width="9.140625" customWidth="1"/>
    <col min="27" max="28" width="9" customWidth="1"/>
    <col min="29" max="29" width="9.140625" customWidth="1"/>
    <col min="30" max="31" width="9" customWidth="1"/>
    <col min="32" max="32" width="9.140625" customWidth="1"/>
    <col min="33" max="34" width="9" customWidth="1"/>
    <col min="35" max="35" width="9.7109375" customWidth="1"/>
    <col min="36" max="37" width="9" customWidth="1"/>
    <col min="38" max="38" width="9.140625" customWidth="1"/>
    <col min="39" max="39" width="9.85546875" style="477" customWidth="1"/>
    <col min="40" max="40" width="9.42578125" style="477" customWidth="1"/>
    <col min="41" max="41" width="10.5703125" style="472" customWidth="1"/>
    <col min="42" max="50" width="9.140625" style="472" customWidth="1"/>
    <col min="51" max="51" width="10.42578125" style="472" customWidth="1"/>
    <col min="52" max="58" width="9.140625" style="472" customWidth="1"/>
    <col min="59" max="63" width="9.140625" customWidth="1"/>
  </cols>
  <sheetData>
    <row r="1" spans="1:60" s="86" customFormat="1" ht="12.6" customHeight="1">
      <c r="A1" s="28" t="s">
        <v>102</v>
      </c>
      <c r="M1" s="21"/>
      <c r="N1" s="21"/>
      <c r="AD1" s="21"/>
      <c r="AM1" s="475"/>
      <c r="AN1" s="475"/>
      <c r="AO1" s="476"/>
      <c r="AP1" s="476"/>
      <c r="AQ1" s="476"/>
      <c r="AR1" s="476"/>
      <c r="AS1" s="476"/>
      <c r="AT1" s="476"/>
      <c r="AU1" s="476"/>
      <c r="AV1" s="476"/>
      <c r="AW1" s="476"/>
      <c r="AX1" s="476"/>
      <c r="AY1" s="476"/>
      <c r="AZ1" s="476"/>
      <c r="BA1" s="476"/>
      <c r="BB1" s="476"/>
      <c r="BC1" s="476"/>
      <c r="BD1" s="476"/>
      <c r="BE1" s="476"/>
      <c r="BF1" s="476"/>
      <c r="BG1" s="476"/>
      <c r="BH1" s="476"/>
    </row>
    <row r="2" spans="1:60" ht="12.75">
      <c r="A2" s="28" t="s">
        <v>125</v>
      </c>
      <c r="B2" s="86"/>
      <c r="D2" s="53"/>
      <c r="E2" s="53"/>
      <c r="F2" s="53"/>
      <c r="G2" s="53"/>
      <c r="H2" s="53"/>
      <c r="I2" s="53"/>
      <c r="J2" s="53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481"/>
      <c r="AN2" s="481"/>
      <c r="AO2" s="480"/>
      <c r="AP2" s="480"/>
      <c r="AQ2" s="480"/>
      <c r="AR2" s="480"/>
      <c r="AS2" s="480"/>
      <c r="AT2" s="480"/>
      <c r="AU2" s="480"/>
      <c r="AV2" s="480"/>
      <c r="AW2" s="480"/>
      <c r="AX2" s="480"/>
      <c r="AY2" s="480"/>
      <c r="AZ2" s="480"/>
      <c r="BA2" s="480"/>
      <c r="BB2" s="480"/>
      <c r="BC2" s="480"/>
      <c r="BD2" s="480"/>
      <c r="BE2" s="480"/>
      <c r="BF2" s="480"/>
      <c r="BG2" s="480"/>
      <c r="BH2" s="480"/>
    </row>
    <row r="3" spans="1:60" ht="11.25" customHeight="1">
      <c r="A3" s="491"/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>
        <v>64</v>
      </c>
      <c r="AP3" s="88">
        <v>65</v>
      </c>
      <c r="AQ3" s="88"/>
      <c r="AR3" s="88">
        <v>66</v>
      </c>
      <c r="AS3" s="88">
        <v>69</v>
      </c>
      <c r="AT3" s="88"/>
      <c r="AU3" s="88">
        <v>70</v>
      </c>
      <c r="AV3" s="88">
        <v>73</v>
      </c>
      <c r="AW3" s="88">
        <v>74</v>
      </c>
      <c r="AX3" s="88">
        <v>75</v>
      </c>
      <c r="AY3" s="88">
        <v>77</v>
      </c>
      <c r="AZ3" s="88">
        <v>78</v>
      </c>
      <c r="BA3" s="88">
        <v>79</v>
      </c>
      <c r="BB3" s="88"/>
      <c r="BG3" s="472"/>
      <c r="BH3" s="472"/>
    </row>
    <row r="4" spans="1:60" s="1" customFormat="1" ht="12.6" customHeight="1">
      <c r="A4" s="545" t="s">
        <v>10</v>
      </c>
      <c r="B4" s="490" t="s">
        <v>134</v>
      </c>
      <c r="C4" s="544">
        <v>42461</v>
      </c>
      <c r="D4" s="544"/>
      <c r="E4" s="544"/>
      <c r="F4" s="544">
        <f>C4+31</f>
        <v>42492</v>
      </c>
      <c r="G4" s="544"/>
      <c r="H4" s="544"/>
      <c r="I4" s="544">
        <f>F4+31</f>
        <v>42523</v>
      </c>
      <c r="J4" s="544"/>
      <c r="K4" s="544"/>
      <c r="L4" s="544">
        <f>I4+31</f>
        <v>42554</v>
      </c>
      <c r="M4" s="544"/>
      <c r="N4" s="544"/>
      <c r="O4" s="544">
        <f>L4+31</f>
        <v>42585</v>
      </c>
      <c r="P4" s="544"/>
      <c r="Q4" s="544"/>
      <c r="R4" s="544">
        <f>O4+31</f>
        <v>42616</v>
      </c>
      <c r="S4" s="544"/>
      <c r="T4" s="544"/>
      <c r="U4" s="541">
        <f>R4+31</f>
        <v>42647</v>
      </c>
      <c r="V4" s="542"/>
      <c r="W4" s="543"/>
      <c r="X4" s="541">
        <f>U4+31</f>
        <v>42678</v>
      </c>
      <c r="Y4" s="542"/>
      <c r="Z4" s="543"/>
      <c r="AA4" s="541">
        <f>X4+31</f>
        <v>42709</v>
      </c>
      <c r="AB4" s="542"/>
      <c r="AC4" s="543"/>
      <c r="AD4" s="541">
        <f>AA4+31</f>
        <v>42740</v>
      </c>
      <c r="AE4" s="542"/>
      <c r="AF4" s="543"/>
      <c r="AG4" s="541">
        <f>AD4+31</f>
        <v>42771</v>
      </c>
      <c r="AH4" s="542"/>
      <c r="AI4" s="543"/>
      <c r="AJ4" s="541">
        <f>AG4+31</f>
        <v>42802</v>
      </c>
      <c r="AK4" s="542"/>
      <c r="AL4" s="543"/>
      <c r="AM4" s="544" t="s">
        <v>19</v>
      </c>
      <c r="AN4" s="544"/>
      <c r="AO4" s="544"/>
      <c r="AP4" s="544" t="s">
        <v>20</v>
      </c>
      <c r="AQ4" s="544"/>
      <c r="AR4" s="544"/>
      <c r="AS4" s="544" t="s">
        <v>21</v>
      </c>
      <c r="AT4" s="544"/>
      <c r="AU4" s="544"/>
      <c r="AV4" s="544" t="s">
        <v>22</v>
      </c>
      <c r="AW4" s="544"/>
      <c r="AX4" s="544"/>
      <c r="AY4" s="541" t="s">
        <v>89</v>
      </c>
      <c r="AZ4" s="542"/>
      <c r="BA4" s="542"/>
      <c r="BB4" s="543"/>
      <c r="BC4" s="471"/>
      <c r="BD4" s="541" t="s">
        <v>244</v>
      </c>
      <c r="BE4" s="542"/>
      <c r="BF4" s="542"/>
      <c r="BG4" s="542"/>
      <c r="BH4" s="543"/>
    </row>
    <row r="5" spans="1:60" s="1" customFormat="1" ht="45" customHeight="1">
      <c r="A5" s="545"/>
      <c r="B5" s="456" t="s">
        <v>68</v>
      </c>
      <c r="C5" s="456" t="s">
        <v>229</v>
      </c>
      <c r="D5" s="456" t="s">
        <v>228</v>
      </c>
      <c r="E5" s="456" t="s">
        <v>234</v>
      </c>
      <c r="F5" s="456" t="s">
        <v>229</v>
      </c>
      <c r="G5" s="456" t="s">
        <v>228</v>
      </c>
      <c r="H5" s="456" t="s">
        <v>234</v>
      </c>
      <c r="I5" s="456" t="s">
        <v>229</v>
      </c>
      <c r="J5" s="456" t="s">
        <v>228</v>
      </c>
      <c r="K5" s="456" t="s">
        <v>234</v>
      </c>
      <c r="L5" s="456" t="s">
        <v>229</v>
      </c>
      <c r="M5" s="456" t="s">
        <v>228</v>
      </c>
      <c r="N5" s="456" t="s">
        <v>234</v>
      </c>
      <c r="O5" s="456" t="s">
        <v>229</v>
      </c>
      <c r="P5" s="456" t="s">
        <v>228</v>
      </c>
      <c r="Q5" s="456" t="s">
        <v>234</v>
      </c>
      <c r="R5" s="456" t="s">
        <v>229</v>
      </c>
      <c r="S5" s="456" t="s">
        <v>228</v>
      </c>
      <c r="T5" s="456" t="s">
        <v>234</v>
      </c>
      <c r="U5" s="456" t="s">
        <v>229</v>
      </c>
      <c r="V5" s="456" t="s">
        <v>228</v>
      </c>
      <c r="W5" s="456" t="s">
        <v>234</v>
      </c>
      <c r="X5" s="456" t="s">
        <v>229</v>
      </c>
      <c r="Y5" s="456" t="s">
        <v>228</v>
      </c>
      <c r="Z5" s="456" t="s">
        <v>234</v>
      </c>
      <c r="AA5" s="456" t="s">
        <v>229</v>
      </c>
      <c r="AB5" s="456" t="s">
        <v>228</v>
      </c>
      <c r="AC5" s="456" t="s">
        <v>234</v>
      </c>
      <c r="AD5" s="456" t="s">
        <v>229</v>
      </c>
      <c r="AE5" s="456" t="s">
        <v>228</v>
      </c>
      <c r="AF5" s="456" t="s">
        <v>234</v>
      </c>
      <c r="AG5" s="456" t="s">
        <v>229</v>
      </c>
      <c r="AH5" s="456" t="s">
        <v>228</v>
      </c>
      <c r="AI5" s="456" t="s">
        <v>234</v>
      </c>
      <c r="AJ5" s="456" t="s">
        <v>229</v>
      </c>
      <c r="AK5" s="456" t="s">
        <v>228</v>
      </c>
      <c r="AL5" s="456" t="s">
        <v>234</v>
      </c>
      <c r="AM5" s="456" t="s">
        <v>229</v>
      </c>
      <c r="AN5" s="456" t="s">
        <v>228</v>
      </c>
      <c r="AO5" s="456" t="s">
        <v>234</v>
      </c>
      <c r="AP5" s="456" t="s">
        <v>229</v>
      </c>
      <c r="AQ5" s="456" t="s">
        <v>228</v>
      </c>
      <c r="AR5" s="456" t="s">
        <v>234</v>
      </c>
      <c r="AS5" s="456" t="s">
        <v>229</v>
      </c>
      <c r="AT5" s="456" t="s">
        <v>228</v>
      </c>
      <c r="AU5" s="456" t="s">
        <v>234</v>
      </c>
      <c r="AV5" s="456" t="s">
        <v>229</v>
      </c>
      <c r="AW5" s="456" t="s">
        <v>228</v>
      </c>
      <c r="AX5" s="456" t="s">
        <v>234</v>
      </c>
      <c r="AY5" s="456" t="s">
        <v>229</v>
      </c>
      <c r="AZ5" s="456" t="s">
        <v>228</v>
      </c>
      <c r="BA5" s="456" t="s">
        <v>234</v>
      </c>
      <c r="BB5" s="456" t="s">
        <v>232</v>
      </c>
      <c r="BC5" s="471"/>
      <c r="BD5" s="456" t="s">
        <v>229</v>
      </c>
      <c r="BE5" s="456" t="s">
        <v>228</v>
      </c>
      <c r="BF5" s="456" t="s">
        <v>232</v>
      </c>
      <c r="BG5" s="456" t="s">
        <v>234</v>
      </c>
      <c r="BH5" s="456" t="s">
        <v>240</v>
      </c>
    </row>
    <row r="6" spans="1:60" ht="12.6" customHeight="1">
      <c r="A6" s="254" t="s">
        <v>43</v>
      </c>
      <c r="B6" s="510">
        <f t="shared" ref="B6:B23" si="0">C6+F6+I6+L6+O6+R6+U6+X6+AA6+AD6+AG6+AJ6</f>
        <v>22370</v>
      </c>
      <c r="C6" s="23">
        <f>Domestic!D6+Europe!D6+'Asia-Pacific'!D6+'Rest of world'!D6+'North America'!D6+'Latin America'!D6</f>
        <v>1250</v>
      </c>
      <c r="D6" s="23">
        <f>Domestic!E6+Europe!E6+'Asia-Pacific'!E6+'Rest of world'!E6+'North America'!E6+'Latin America'!E6</f>
        <v>749</v>
      </c>
      <c r="E6" s="510">
        <f>Domestic!G6+Europe!G6+'Asia-Pacific'!G6+'Rest of world'!G6+'North America'!G6+'Latin America'!G6</f>
        <v>1.8458253709999999</v>
      </c>
      <c r="F6" s="23">
        <f>Domestic!H6+Europe!H6+'Asia-Pacific'!H6+'Rest of world'!H6+'North America'!H6+'Latin America'!H6</f>
        <v>1700</v>
      </c>
      <c r="G6" s="23">
        <f>Domestic!I6+Europe!I6+'Asia-Pacific'!I6+'Rest of world'!I6+'North America'!I6+'Latin America'!I6</f>
        <v>1775</v>
      </c>
      <c r="H6" s="510">
        <f>Domestic!K6+Europe!K6+'Asia-Pacific'!K6+'Rest of world'!K6+'North America'!K6+'Latin America'!K6</f>
        <v>8.4842836812999991</v>
      </c>
      <c r="I6" s="23">
        <f>Domestic!L6+Europe!L6+'Asia-Pacific'!L6+'Rest of world'!L6+'North America'!L6+'Latin America'!L6</f>
        <v>1620</v>
      </c>
      <c r="J6" s="23">
        <f>Domestic!M6+Europe!M6+'Asia-Pacific'!M6+'Rest of world'!M6+'North America'!M6+'Latin America'!M6</f>
        <v>1317</v>
      </c>
      <c r="K6" s="510">
        <f>Domestic!O6+Europe!O6+'Asia-Pacific'!O6+'Rest of world'!O6+'North America'!O6+'Latin America'!O6</f>
        <v>7.9139284127999998</v>
      </c>
      <c r="L6" s="23">
        <f>Domestic!P6+Europe!P6+'Asia-Pacific'!P6+'Rest of world'!P6+'North America'!P6+'Latin America'!P6</f>
        <v>1890</v>
      </c>
      <c r="M6" s="23">
        <f>Domestic!Q6+Europe!Q6+'Asia-Pacific'!Q6+'Rest of world'!Q6+'North America'!Q6+'Latin America'!Q6</f>
        <v>1761</v>
      </c>
      <c r="N6" s="509">
        <f>Domestic!S6+Europe!S6+'Asia-Pacific'!S6+'Rest of world'!S6+'North America'!S6+'Latin America'!S6</f>
        <v>11.272784184000001</v>
      </c>
      <c r="O6" s="23">
        <f>Domestic!T6+Europe!T6+'Asia-Pacific'!T6+'Rest of world'!T6+'North America'!T6+'Latin America'!T6</f>
        <v>2030</v>
      </c>
      <c r="P6" s="23">
        <f>Domestic!U6+Europe!U6+'Asia-Pacific'!U6+'Rest of world'!U6+'North America'!U6+'Latin America'!U6</f>
        <v>1463</v>
      </c>
      <c r="Q6" s="510">
        <f>Domestic!W6+'North America'!W6+Europe!W6+'Asia-Pacific'!W6+'Rest of world'!W6+'Latin America'!W6</f>
        <v>9.259163130000001</v>
      </c>
      <c r="R6" s="23">
        <f>Domestic!X6+Europe!X6+'Asia-Pacific'!X6+'Rest of world'!X6+'North America'!X6+'Latin America'!X6</f>
        <v>2060</v>
      </c>
      <c r="S6" s="23">
        <f>Domestic!Y6+Europe!Y6+'Asia-Pacific'!Y6+'Rest of world'!Y6+'North America'!Y6+'Latin America'!Y6</f>
        <v>1700</v>
      </c>
      <c r="T6" s="510">
        <f>Domestic!AA6+Europe!AA6+'Asia-Pacific'!AA6+'Rest of world'!AA6+'North America'!AA6+'Latin America'!AA6</f>
        <v>8.1357374100000008</v>
      </c>
      <c r="U6" s="23">
        <f>Domestic!AB6+Europe!AB6+'Asia-Pacific'!AB6+'Rest of world'!AB6+'North America'!AB6+'Latin America'!AB6</f>
        <v>2100</v>
      </c>
      <c r="V6" s="23">
        <f>Domestic!AC6+Europe!AC6+'Asia-Pacific'!AC6+'Rest of world'!AC6+'North America'!AC6+'Latin America'!AC6</f>
        <v>1340</v>
      </c>
      <c r="W6" s="510">
        <f>Domestic!AE6+Europe!AE6+'Asia-Pacific'!AE6+'Rest of world'!AE6+'North America'!AE6+'Latin America'!AE6</f>
        <v>5.9803426000000011</v>
      </c>
      <c r="X6" s="23">
        <f>Domestic!AF6+Europe!AF6+'Asia-Pacific'!AF6+'Rest of world'!AF6+'North America'!AF6+'Latin America'!AF6</f>
        <v>2180</v>
      </c>
      <c r="Y6" s="23">
        <f>Domestic!AG6+Europe!AG6+'Asia-Pacific'!AG6+'Rest of world'!AG6+'North America'!AG6+'Latin America'!AG6</f>
        <v>1151</v>
      </c>
      <c r="Z6" s="510">
        <f>Domestic!AI6+Europe!AI6+'Asia-Pacific'!AI6+'Rest of world'!AI6+'North America'!AI6+'Latin America'!AI6</f>
        <v>2.0597505459999996</v>
      </c>
      <c r="AA6" s="23">
        <f>Domestic!AJ6+Europe!AJ6+'Asia-Pacific'!AJ6+'Rest of world'!AJ6+'North America'!AJ6+'Latin America'!AJ6</f>
        <v>2160</v>
      </c>
      <c r="AB6" s="23">
        <f>Domestic!AK6+Europe!AK6+'Asia-Pacific'!AK6+'Rest of world'!AK6+'North America'!AK6+'Latin America'!AK6</f>
        <v>2342</v>
      </c>
      <c r="AC6" s="510">
        <f>Domestic!AM6+Europe!AM6+'Asia-Pacific'!AM6+'Rest of world'!AM6+'North America'!AM6+'Latin America'!AM6</f>
        <v>10.716745036999999</v>
      </c>
      <c r="AD6" s="23">
        <f>Domestic!AN6+Europe!AN6+'Asia-Pacific'!AN6+'Rest of world'!AN6+'North America'!AN6+'Latin America'!AN6</f>
        <v>2120</v>
      </c>
      <c r="AE6" s="23">
        <f>Domestic!AO6+Europe!AO6+'Asia-Pacific'!AO6+'Rest of world'!AO6+'North America'!AO6+'Latin America'!AO6</f>
        <v>1426</v>
      </c>
      <c r="AF6" s="510">
        <f>Domestic!AQ6+Europe!AQ6+'Asia-Pacific'!AQ6+'Rest of world'!AQ6+'North America'!AQ6+'Latin America'!AQ6</f>
        <v>6.3611385240000002</v>
      </c>
      <c r="AG6" s="23">
        <f>Domestic!AR6+Europe!AR6+'Asia-Pacific'!AR6+'Rest of world'!AR6+'North America'!AR6+'Latin America'!AR6</f>
        <v>2010</v>
      </c>
      <c r="AH6" s="23">
        <f>Domestic!AS6+Europe!AS6+'Asia-Pacific'!AS6+'Rest of world'!AS6+'North America'!AS6+'Latin America'!AS6</f>
        <v>1287</v>
      </c>
      <c r="AI6" s="510">
        <f>Domestic!AU6+Europe!AU6+'Asia-Pacific'!AU6+'Rest of world'!AU6+'North America'!AU6+'Latin America'!AU6</f>
        <v>4.5188059480000007</v>
      </c>
      <c r="AJ6" s="23">
        <f>Domestic!AV6+Europe!AV6+'Asia-Pacific'!AV6+'Rest of world'!AV6+'North America'!AV6+'Latin America'!AV6</f>
        <v>1250</v>
      </c>
      <c r="AK6" s="23">
        <f>Domestic!AQ6+Europe!AQ6+'Asia-Pacific'!AQ6+'Rest of world'!AQ6+'North America'!AQ6+'Latin America'!AQ6</f>
        <v>6.3611385240000002</v>
      </c>
      <c r="AL6" s="510">
        <f>Domestic!AY6+Europe!AY6+'Asia-Pacific'!AY6+'Rest of world'!AY6+'North America'!AY6+'Latin America'!AY6</f>
        <v>0</v>
      </c>
      <c r="AM6" s="257">
        <f t="shared" ref="AM6" si="1">(C6+F6+I6)</f>
        <v>4570</v>
      </c>
      <c r="AN6" s="257">
        <f t="shared" ref="AN6" si="2">(D6+G6+J6)</f>
        <v>3841</v>
      </c>
      <c r="AO6" s="257">
        <f t="shared" ref="AO6" si="3">(E6+H6+K6)</f>
        <v>18.2440374651</v>
      </c>
      <c r="AP6" s="257">
        <f>(L6+O6+R6)</f>
        <v>5980</v>
      </c>
      <c r="AQ6" s="257">
        <f t="shared" ref="AQ6:AR6" si="4">(M6+P6+S6)</f>
        <v>4924</v>
      </c>
      <c r="AR6" s="257">
        <f t="shared" si="4"/>
        <v>28.667684724000001</v>
      </c>
      <c r="AS6" s="257">
        <f>(U6+X6+AA6)</f>
        <v>6440</v>
      </c>
      <c r="AT6" s="257">
        <f t="shared" ref="AT6:AU6" si="5">(V6+Y6+AB6)</f>
        <v>4833</v>
      </c>
      <c r="AU6" s="257">
        <f t="shared" si="5"/>
        <v>18.756838182999999</v>
      </c>
      <c r="AV6" s="257">
        <f>(AD6+AG6+AJ6)</f>
        <v>5380</v>
      </c>
      <c r="AW6" s="257">
        <f t="shared" ref="AW6:AX6" si="6">(AE6+AH6+AK6)</f>
        <v>2719.3611385240001</v>
      </c>
      <c r="AX6" s="257">
        <f t="shared" si="6"/>
        <v>10.879944472000002</v>
      </c>
      <c r="AY6" s="257">
        <f>AM6+AP6+AS6+AV6</f>
        <v>22370</v>
      </c>
      <c r="AZ6" s="257">
        <f t="shared" ref="AZ6:BA6" si="7">AN6+AQ6+AT6+AW6</f>
        <v>16317.361138524</v>
      </c>
      <c r="BA6" s="257">
        <f t="shared" si="7"/>
        <v>76.548504844100009</v>
      </c>
      <c r="BB6" s="257">
        <f>IFERROR(AZ6/AY6,0)</f>
        <v>0.72943053815485026</v>
      </c>
      <c r="BD6" s="23">
        <f t="shared" ref="BD6:BD23" si="8">C6+F6+I6+L6+O6+R6</f>
        <v>10550</v>
      </c>
      <c r="BE6" s="23">
        <f t="shared" ref="BE6:BE23" si="9">D6+G6+J6+M6+P6+S6</f>
        <v>8765</v>
      </c>
      <c r="BF6" s="466">
        <f t="shared" ref="BF6:BF69" si="10">IFERROR(BE6/BD6,0)</f>
        <v>0.83080568720379144</v>
      </c>
      <c r="BG6" s="509">
        <f t="shared" ref="BG6:BG23" si="11">E6+H6+K6+N6+Q6+T6</f>
        <v>46.911722189100004</v>
      </c>
      <c r="BH6" s="466">
        <f t="shared" ref="BH6:BH37" si="12">IFERROR(BE6/B6,0)</f>
        <v>0.39181940098345996</v>
      </c>
    </row>
    <row r="7" spans="1:60" ht="12.6" customHeight="1">
      <c r="A7" s="254" t="s">
        <v>129</v>
      </c>
      <c r="B7" s="510">
        <f t="shared" si="0"/>
        <v>12240</v>
      </c>
      <c r="C7" s="23">
        <f>Domestic!D7+Europe!D7+'Asia-Pacific'!D7+'Rest of world'!D7+'North America'!D7+'Latin America'!D7</f>
        <v>1020</v>
      </c>
      <c r="D7" s="23">
        <f>Domestic!E7+Europe!E7+'Asia-Pacific'!E7+'Rest of world'!E7+'North America'!E7+'Latin America'!E7</f>
        <v>1132</v>
      </c>
      <c r="E7" s="257">
        <f>Domestic!G7+Europe!G7+'Asia-Pacific'!G7+'Rest of world'!G7+'North America'!G7+'Latin America'!G7</f>
        <v>2.1798198387999999</v>
      </c>
      <c r="F7" s="23">
        <f>Domestic!H7+Europe!H7+'Asia-Pacific'!H7+'Rest of world'!H7+'North America'!H7+'Latin America'!H7</f>
        <v>1020</v>
      </c>
      <c r="G7" s="23">
        <f>Domestic!I7+Europe!I7+'Asia-Pacific'!I7+'Rest of world'!I7+'North America'!I7+'Latin America'!I7</f>
        <v>1122</v>
      </c>
      <c r="H7" s="257">
        <f>Domestic!K7+Europe!K7+'Asia-Pacific'!K7+'Rest of world'!K7+'North America'!K7+'Latin America'!K7</f>
        <v>1.6501049795999996</v>
      </c>
      <c r="I7" s="23">
        <f>Domestic!L7+Europe!L7+'Asia-Pacific'!L7+'Rest of world'!L7+'North America'!L7+'Latin America'!L7</f>
        <v>1020</v>
      </c>
      <c r="J7" s="23">
        <f>Domestic!M7+Europe!M7+'Asia-Pacific'!M7+'Rest of world'!M7+'North America'!M7+'Latin America'!M7</f>
        <v>1133</v>
      </c>
      <c r="K7" s="257">
        <f>Domestic!O7+Europe!O7+'Asia-Pacific'!O7+'Rest of world'!O7+'North America'!O7+'Latin America'!O7</f>
        <v>2.0566379152000001</v>
      </c>
      <c r="L7" s="23">
        <f>Domestic!P7+Europe!P7+'Asia-Pacific'!P7+'Rest of world'!P7+'North America'!P7+'Latin America'!P7</f>
        <v>1020</v>
      </c>
      <c r="M7" s="23">
        <f>Domestic!Q7+Europe!Q7+'Asia-Pacific'!Q7+'Rest of world'!Q7+'North America'!Q7+'Latin America'!Q7</f>
        <v>1218</v>
      </c>
      <c r="N7" s="509">
        <f>Domestic!S7+Europe!S7+'Asia-Pacific'!S7+'Rest of world'!S7+'North America'!S7+'Latin America'!S7</f>
        <v>2.187985968</v>
      </c>
      <c r="O7" s="23">
        <f>Domestic!T7+Europe!T7+'Asia-Pacific'!T7+'Rest of world'!T7+'North America'!T7+'Latin America'!T7</f>
        <v>1020</v>
      </c>
      <c r="P7" s="23">
        <f>Domestic!U7+Europe!U7+'Asia-Pacific'!U7+'Rest of world'!U7+'North America'!U7+'Latin America'!U7</f>
        <v>1664</v>
      </c>
      <c r="Q7" s="510">
        <f>Domestic!W7+'North America'!W7+Europe!W7+'Asia-Pacific'!W7+'Rest of world'!W7+'Latin America'!W7</f>
        <v>2.4390362880000001</v>
      </c>
      <c r="R7" s="23">
        <f>Domestic!X7+Europe!X7+'Asia-Pacific'!X7+'Rest of world'!X7+'North America'!X7+'Latin America'!X7</f>
        <v>1020</v>
      </c>
      <c r="S7" s="23">
        <f>Domestic!Y7+Europe!Y7+'Asia-Pacific'!Y7+'Rest of world'!Y7+'North America'!Y7+'Latin America'!Y7</f>
        <v>1792</v>
      </c>
      <c r="T7" s="510">
        <f>Domestic!AA7+Europe!AA7+'Asia-Pacific'!AA7+'Rest of world'!AA7+'North America'!AA7+'Latin America'!AA7</f>
        <v>2.50967808</v>
      </c>
      <c r="U7" s="23">
        <f>Domestic!AB7+Europe!AB7+'Asia-Pacific'!AB7+'Rest of world'!AB7+'North America'!AB7+'Latin America'!AB7</f>
        <v>1020</v>
      </c>
      <c r="V7" s="23">
        <f>Domestic!AC7+Europe!AC7+'Asia-Pacific'!AC7+'Rest of world'!AC7+'North America'!AC7+'Latin America'!AC7</f>
        <v>1905</v>
      </c>
      <c r="W7" s="510">
        <f>Domestic!AE7+Europe!AE7+'Asia-Pacific'!AE7+'Rest of world'!AE7+'North America'!AE7+'Latin America'!AE7</f>
        <v>3.3941213550000002</v>
      </c>
      <c r="X7" s="23">
        <f>Domestic!AF7+Europe!AF7+'Asia-Pacific'!AF7+'Rest of world'!AF7+'North America'!AF7+'Latin America'!AF7</f>
        <v>1020</v>
      </c>
      <c r="Y7" s="23">
        <f>Domestic!AG7+Europe!AG7+'Asia-Pacific'!AG7+'Rest of world'!AG7+'North America'!AG7+'Latin America'!AG7</f>
        <v>1033</v>
      </c>
      <c r="Z7" s="510">
        <f>Domestic!AI7+Europe!AI7+'Asia-Pacific'!AI7+'Rest of world'!AI7+'North America'!AI7+'Latin America'!AI7</f>
        <v>1.25658252</v>
      </c>
      <c r="AA7" s="23">
        <f>Domestic!AJ7+Europe!AJ7+'Asia-Pacific'!AJ7+'Rest of world'!AJ7+'North America'!AJ7+'Latin America'!AJ7</f>
        <v>1020</v>
      </c>
      <c r="AB7" s="23">
        <f>Domestic!AK7+Europe!AK7+'Asia-Pacific'!AK7+'Rest of world'!AK7+'North America'!AK7+'Latin America'!AK7</f>
        <v>274</v>
      </c>
      <c r="AC7" s="510">
        <f>Domestic!AM7+Europe!AM7+'Asia-Pacific'!AM7+'Rest of world'!AM7+'North America'!AM7+'Latin America'!AM7</f>
        <v>0.40936148</v>
      </c>
      <c r="AD7" s="23">
        <f>Domestic!AN7+Europe!AN7+'Asia-Pacific'!AN7+'Rest of world'!AN7+'North America'!AN7+'Latin America'!AN7</f>
        <v>1020</v>
      </c>
      <c r="AE7" s="23">
        <f>Domestic!AO7+Europe!AO7+'Asia-Pacific'!AO7+'Rest of world'!AO7+'North America'!AO7+'Latin America'!AO7</f>
        <v>1194</v>
      </c>
      <c r="AF7" s="510">
        <f>Domestic!AQ7+Europe!AQ7+'Asia-Pacific'!AQ7+'Rest of world'!AQ7+'North America'!AQ7+'Latin America'!AQ7</f>
        <v>1.0556512200000001</v>
      </c>
      <c r="AG7" s="23">
        <f>Domestic!AR7+Europe!AR7+'Asia-Pacific'!AR7+'Rest of world'!AR7+'North America'!AR7+'Latin America'!AR7</f>
        <v>1020</v>
      </c>
      <c r="AH7" s="23">
        <f>Domestic!AS7+Europe!AS7+'Asia-Pacific'!AS7+'Rest of world'!AS7+'North America'!AS7+'Latin America'!AS7</f>
        <v>1262</v>
      </c>
      <c r="AI7" s="510">
        <f>Domestic!AU7+Europe!AU7+'Asia-Pacific'!AU7+'Rest of world'!AU7+'North America'!AU7+'Latin America'!AU7</f>
        <v>1.7336157100000003</v>
      </c>
      <c r="AJ7" s="23">
        <f>Domestic!AV7+Europe!AV7+'Asia-Pacific'!AV7+'Rest of world'!AV7+'North America'!AV7+'Latin America'!AV7</f>
        <v>1020</v>
      </c>
      <c r="AK7" s="23">
        <f>Domestic!AQ7+Europe!AQ7+'Asia-Pacific'!AQ7+'Rest of world'!AQ7+'North America'!AQ7+'Latin America'!AQ7</f>
        <v>1.0556512200000001</v>
      </c>
      <c r="AL7" s="510">
        <f>Domestic!AY7+Europe!AY7+'Asia-Pacific'!AY7+'Rest of world'!AY7+'North America'!AY7+'Latin America'!AY7</f>
        <v>0</v>
      </c>
      <c r="AM7" s="257">
        <f t="shared" ref="AM7:AM23" si="13">(C7+F7+I7)</f>
        <v>3060</v>
      </c>
      <c r="AN7" s="257">
        <f t="shared" ref="AN7:AN23" si="14">(D7+G7+J7)</f>
        <v>3387</v>
      </c>
      <c r="AO7" s="257">
        <f t="shared" ref="AO7:AO23" si="15">(E7+H7+K7)</f>
        <v>5.8865627335999999</v>
      </c>
      <c r="AP7" s="257">
        <f t="shared" ref="AP7:AP23" si="16">(L7+O7+R7)</f>
        <v>3060</v>
      </c>
      <c r="AQ7" s="257">
        <f t="shared" ref="AQ7:AQ23" si="17">(M7+P7+S7)</f>
        <v>4674</v>
      </c>
      <c r="AR7" s="257">
        <f t="shared" ref="AR7:AR23" si="18">(N7+Q7+T7)</f>
        <v>7.1367003360000005</v>
      </c>
      <c r="AS7" s="257">
        <f t="shared" ref="AS7:AS23" si="19">(U7+X7+AA7)</f>
        <v>3060</v>
      </c>
      <c r="AT7" s="257">
        <f t="shared" ref="AT7:AT23" si="20">(V7+Y7+AB7)</f>
        <v>3212</v>
      </c>
      <c r="AU7" s="257">
        <f t="shared" ref="AU7:AU23" si="21">(W7+Z7+AC7)</f>
        <v>5.0600653550000008</v>
      </c>
      <c r="AV7" s="257">
        <f t="shared" ref="AV7:AV23" si="22">(AD7+AG7+AJ7)</f>
        <v>3060</v>
      </c>
      <c r="AW7" s="257">
        <f t="shared" ref="AW7:AW23" si="23">(AE7+AH7+AK7)</f>
        <v>2457.0556512200001</v>
      </c>
      <c r="AX7" s="257">
        <f t="shared" ref="AX7:AX23" si="24">(AF7+AI7+AL7)</f>
        <v>2.7892669300000001</v>
      </c>
      <c r="AY7" s="257">
        <f t="shared" ref="AY7:AY23" si="25">AM7+AP7+AS7+AV7</f>
        <v>12240</v>
      </c>
      <c r="AZ7" s="257">
        <f t="shared" ref="AZ7:AZ23" si="26">AN7+AQ7+AT7+AW7</f>
        <v>13730.05565122</v>
      </c>
      <c r="BA7" s="257">
        <f t="shared" ref="BA7:BA23" si="27">AO7+AR7+AU7+AX7</f>
        <v>20.872595354600001</v>
      </c>
      <c r="BB7" s="257">
        <f t="shared" ref="BB7:BB24" si="28">IFERROR(AZ7/AY7,0)</f>
        <v>1.1217365728120916</v>
      </c>
      <c r="BD7" s="23">
        <f t="shared" si="8"/>
        <v>6120</v>
      </c>
      <c r="BE7" s="23">
        <f t="shared" si="9"/>
        <v>8061</v>
      </c>
      <c r="BF7" s="466">
        <f t="shared" ref="BF7:BF23" si="29">IFERROR(BE7/BD7,0)</f>
        <v>1.317156862745098</v>
      </c>
      <c r="BG7" s="509">
        <f t="shared" si="11"/>
        <v>13.0232630696</v>
      </c>
      <c r="BH7" s="466">
        <f t="shared" si="12"/>
        <v>0.65857843137254901</v>
      </c>
    </row>
    <row r="8" spans="1:60" ht="12.6" customHeight="1">
      <c r="A8" s="254" t="s">
        <v>44</v>
      </c>
      <c r="B8" s="510">
        <f t="shared" si="0"/>
        <v>980</v>
      </c>
      <c r="C8" s="23">
        <f>Domestic!D8+Europe!D8+'Asia-Pacific'!D8+'Rest of world'!D8+'North America'!D8+'Latin America'!D8</f>
        <v>40</v>
      </c>
      <c r="D8" s="23">
        <f>Domestic!E8+Europe!E8+'Asia-Pacific'!E8+'Rest of world'!E8+'North America'!E8+'Latin America'!E8</f>
        <v>10</v>
      </c>
      <c r="E8" s="257">
        <f>Domestic!G8+Europe!G8+'Asia-Pacific'!G8+'Rest of world'!G8+'North America'!G8+'Latin America'!G8</f>
        <v>8.3153969999999994E-2</v>
      </c>
      <c r="F8" s="23">
        <f>Domestic!H8+Europe!H8+'Asia-Pacific'!H8+'Rest of world'!H8+'North America'!H8+'Latin America'!H8</f>
        <v>40</v>
      </c>
      <c r="G8" s="23">
        <f>Domestic!I8+Europe!I8+'Asia-Pacific'!I8+'Rest of world'!I8+'North America'!I8+'Latin America'!I8</f>
        <v>0</v>
      </c>
      <c r="H8" s="257">
        <f>Domestic!K8+Europe!K8+'Asia-Pacific'!K8+'Rest of world'!K8+'North America'!K8+'Latin America'!K8</f>
        <v>0</v>
      </c>
      <c r="I8" s="23">
        <f>Domestic!L8+Europe!L8+'Asia-Pacific'!L8+'Rest of world'!L8+'North America'!L8+'Latin America'!L8</f>
        <v>120</v>
      </c>
      <c r="J8" s="23">
        <f>Domestic!M8+Europe!M8+'Asia-Pacific'!M8+'Rest of world'!M8+'North America'!M8+'Latin America'!M8</f>
        <v>0</v>
      </c>
      <c r="K8" s="257">
        <f>Domestic!O8+Europe!O8+'Asia-Pacific'!O8+'Rest of world'!O8+'North America'!O8+'Latin America'!O8</f>
        <v>0</v>
      </c>
      <c r="L8" s="23">
        <f>Domestic!P8+Europe!P8+'Asia-Pacific'!P8+'Rest of world'!P8+'North America'!P8+'Latin America'!P8</f>
        <v>60</v>
      </c>
      <c r="M8" s="23">
        <f>Domestic!Q8+Europe!Q8+'Asia-Pacific'!Q8+'Rest of world'!Q8+'North America'!Q8+'Latin America'!Q8</f>
        <v>26</v>
      </c>
      <c r="N8" s="509">
        <f>Domestic!S8+Europe!S8+'Asia-Pacific'!S8+'Rest of world'!S8+'North America'!S8+'Latin America'!S8</f>
        <v>0.18332454400000001</v>
      </c>
      <c r="O8" s="23">
        <f>Domestic!T8+Europe!T8+'Asia-Pacific'!T8+'Rest of world'!T8+'North America'!T8+'Latin America'!T8</f>
        <v>60</v>
      </c>
      <c r="P8" s="23">
        <f>Domestic!U8+Europe!U8+'Asia-Pacific'!U8+'Rest of world'!U8+'North America'!U8+'Latin America'!U8</f>
        <v>0</v>
      </c>
      <c r="Q8" s="510">
        <f>Domestic!W8+'North America'!W8+Europe!W8+'Asia-Pacific'!W8+'Rest of world'!W8+'Latin America'!W8</f>
        <v>0</v>
      </c>
      <c r="R8" s="23">
        <f>Domestic!X8+Europe!X8+'Asia-Pacific'!X8+'Rest of world'!X8+'North America'!X8+'Latin America'!X8</f>
        <v>140</v>
      </c>
      <c r="S8" s="23">
        <f>Domestic!Y8+Europe!Y8+'Asia-Pacific'!Y8+'Rest of world'!Y8+'North America'!Y8+'Latin America'!Y8</f>
        <v>19</v>
      </c>
      <c r="T8" s="510">
        <f>Domestic!AA8+Europe!AA8+'Asia-Pacific'!AA8+'Rest of world'!AA8+'North America'!AA8+'Latin America'!AA8</f>
        <v>7.0916683000000008E-2</v>
      </c>
      <c r="U8" s="23">
        <f>Domestic!AB8+Europe!AB8+'Asia-Pacific'!AB8+'Rest of world'!AB8+'North America'!AB8+'Latin America'!AB8</f>
        <v>60</v>
      </c>
      <c r="V8" s="23">
        <f>Domestic!AC8+Europe!AC8+'Asia-Pacific'!AC8+'Rest of world'!AC8+'North America'!AC8+'Latin America'!AC8</f>
        <v>0</v>
      </c>
      <c r="W8" s="510">
        <f>Domestic!AE8+Europe!AE8+'Asia-Pacific'!AE8+'Rest of world'!AE8+'North America'!AE8+'Latin America'!AE8</f>
        <v>0</v>
      </c>
      <c r="X8" s="23">
        <f>Domestic!AF8+Europe!AF8+'Asia-Pacific'!AF8+'Rest of world'!AF8+'North America'!AF8+'Latin America'!AF8</f>
        <v>60</v>
      </c>
      <c r="Y8" s="23">
        <f>Domestic!AG8+Europe!AG8+'Asia-Pacific'!AG8+'Rest of world'!AG8+'North America'!AG8+'Latin America'!AG8</f>
        <v>0</v>
      </c>
      <c r="Z8" s="510">
        <f>Domestic!AI8+Europe!AI8+'Asia-Pacific'!AI8+'Rest of world'!AI8+'North America'!AI8+'Latin America'!AI8</f>
        <v>0</v>
      </c>
      <c r="AA8" s="23">
        <f>Domestic!AJ8+Europe!AJ8+'Asia-Pacific'!AJ8+'Rest of world'!AJ8+'North America'!AJ8+'Latin America'!AJ8</f>
        <v>140</v>
      </c>
      <c r="AB8" s="23">
        <f>Domestic!AK8+Europe!AK8+'Asia-Pacific'!AK8+'Rest of world'!AK8+'North America'!AK8+'Latin America'!AK8</f>
        <v>16</v>
      </c>
      <c r="AC8" s="510">
        <f>Domestic!AM8+Europe!AM8+'Asia-Pacific'!AM8+'Rest of world'!AM8+'North America'!AM8+'Latin America'!AM8</f>
        <v>0.11713116799999999</v>
      </c>
      <c r="AD8" s="23">
        <f>Domestic!AN8+Europe!AN8+'Asia-Pacific'!AN8+'Rest of world'!AN8+'North America'!AN8+'Latin America'!AN8</f>
        <v>60</v>
      </c>
      <c r="AE8" s="23">
        <f>Domestic!AO8+Europe!AO8+'Asia-Pacific'!AO8+'Rest of world'!AO8+'North America'!AO8+'Latin America'!AO8</f>
        <v>35</v>
      </c>
      <c r="AF8" s="510">
        <f>Domestic!AQ8+Europe!AQ8+'Asia-Pacific'!AQ8+'Rest of world'!AQ8+'North America'!AQ8+'Latin America'!AQ8</f>
        <v>0.19915368300000003</v>
      </c>
      <c r="AG8" s="23">
        <f>Domestic!AR8+Europe!AR8+'Asia-Pacific'!AR8+'Rest of world'!AR8+'North America'!AR8+'Latin America'!AR8</f>
        <v>60</v>
      </c>
      <c r="AH8" s="23">
        <f>Domestic!AS8+Europe!AS8+'Asia-Pacific'!AS8+'Rest of world'!AS8+'North America'!AS8+'Latin America'!AS8</f>
        <v>40</v>
      </c>
      <c r="AI8" s="510">
        <f>Domestic!AU8+Europe!AU8+'Asia-Pacific'!AU8+'Rest of world'!AU8+'North America'!AU8+'Latin America'!AU8</f>
        <v>0.17690640000000002</v>
      </c>
      <c r="AJ8" s="23">
        <f>Domestic!AV8+Europe!AV8+'Asia-Pacific'!AV8+'Rest of world'!AV8+'North America'!AV8+'Latin America'!AV8</f>
        <v>140</v>
      </c>
      <c r="AK8" s="23">
        <f>Domestic!AQ8+Europe!AQ8+'Asia-Pacific'!AQ8+'Rest of world'!AQ8+'North America'!AQ8+'Latin America'!AQ8</f>
        <v>0.19915368300000003</v>
      </c>
      <c r="AL8" s="510">
        <f>Domestic!AY8+Europe!AY8+'Asia-Pacific'!AY8+'Rest of world'!AY8+'North America'!AY8+'Latin America'!AY8</f>
        <v>0</v>
      </c>
      <c r="AM8" s="257">
        <f t="shared" si="13"/>
        <v>200</v>
      </c>
      <c r="AN8" s="257">
        <f t="shared" si="14"/>
        <v>10</v>
      </c>
      <c r="AO8" s="257">
        <f t="shared" si="15"/>
        <v>8.3153969999999994E-2</v>
      </c>
      <c r="AP8" s="257">
        <f t="shared" si="16"/>
        <v>260</v>
      </c>
      <c r="AQ8" s="257">
        <f t="shared" si="17"/>
        <v>45</v>
      </c>
      <c r="AR8" s="257">
        <f t="shared" si="18"/>
        <v>0.25424122700000001</v>
      </c>
      <c r="AS8" s="257">
        <f t="shared" si="19"/>
        <v>260</v>
      </c>
      <c r="AT8" s="257">
        <f t="shared" si="20"/>
        <v>16</v>
      </c>
      <c r="AU8" s="257">
        <f t="shared" si="21"/>
        <v>0.11713116799999999</v>
      </c>
      <c r="AV8" s="257">
        <f t="shared" si="22"/>
        <v>260</v>
      </c>
      <c r="AW8" s="257">
        <f t="shared" si="23"/>
        <v>75.199153683000006</v>
      </c>
      <c r="AX8" s="257">
        <f t="shared" si="24"/>
        <v>0.37606008300000004</v>
      </c>
      <c r="AY8" s="257">
        <f t="shared" si="25"/>
        <v>980</v>
      </c>
      <c r="AZ8" s="257">
        <f t="shared" si="26"/>
        <v>146.19915368300002</v>
      </c>
      <c r="BA8" s="257">
        <f t="shared" si="27"/>
        <v>0.83058644800000003</v>
      </c>
      <c r="BB8" s="257">
        <f t="shared" si="28"/>
        <v>0.14918280988061228</v>
      </c>
      <c r="BD8" s="23">
        <f t="shared" si="8"/>
        <v>460</v>
      </c>
      <c r="BE8" s="23">
        <f t="shared" si="9"/>
        <v>55</v>
      </c>
      <c r="BF8" s="466">
        <f t="shared" si="29"/>
        <v>0.11956521739130435</v>
      </c>
      <c r="BG8" s="509">
        <f t="shared" si="11"/>
        <v>0.33739519699999998</v>
      </c>
      <c r="BH8" s="466">
        <f t="shared" si="12"/>
        <v>5.6122448979591837E-2</v>
      </c>
    </row>
    <row r="9" spans="1:60" ht="12.6" customHeight="1">
      <c r="A9" s="254" t="s">
        <v>45</v>
      </c>
      <c r="B9" s="510">
        <f t="shared" si="0"/>
        <v>2130</v>
      </c>
      <c r="C9" s="23">
        <f>Domestic!D9+Europe!D9+'Asia-Pacific'!D9+'Rest of world'!D9+'North America'!D9+'Latin America'!D9</f>
        <v>30</v>
      </c>
      <c r="D9" s="23">
        <f>Domestic!E9+Europe!E9+'Asia-Pacific'!E9+'Rest of world'!E9+'North America'!E9+'Latin America'!E9</f>
        <v>39</v>
      </c>
      <c r="E9" s="257">
        <f>Domestic!G9+Europe!G9+'Asia-Pacific'!G9+'Rest of world'!G9+'North America'!G9+'Latin America'!G9</f>
        <v>0.159687528</v>
      </c>
      <c r="F9" s="23">
        <f>Domestic!H9+Europe!H9+'Asia-Pacific'!H9+'Rest of world'!H9+'North America'!H9+'Latin America'!H9</f>
        <v>40</v>
      </c>
      <c r="G9" s="23">
        <f>Domestic!I9+Europe!I9+'Asia-Pacific'!I9+'Rest of world'!I9+'North America'!I9+'Latin America'!I9</f>
        <v>0</v>
      </c>
      <c r="H9" s="257">
        <f>Domestic!K9+Europe!K9+'Asia-Pacific'!K9+'Rest of world'!K9+'North America'!K9+'Latin America'!K9</f>
        <v>0</v>
      </c>
      <c r="I9" s="23">
        <f>Domestic!L9+Europe!L9+'Asia-Pacific'!L9+'Rest of world'!L9+'North America'!L9+'Latin America'!L9</f>
        <v>240</v>
      </c>
      <c r="J9" s="23">
        <f>Domestic!M9+Europe!M9+'Asia-Pacific'!M9+'Rest of world'!M9+'North America'!M9+'Latin America'!M9</f>
        <v>40</v>
      </c>
      <c r="K9" s="257">
        <f>Domestic!O9+Europe!O9+'Asia-Pacific'!O9+'Rest of world'!O9+'North America'!O9+'Latin America'!O9</f>
        <v>0.32994112000000003</v>
      </c>
      <c r="L9" s="23">
        <f>Domestic!P9+Europe!P9+'Asia-Pacific'!P9+'Rest of world'!P9+'North America'!P9+'Latin America'!P9</f>
        <v>290</v>
      </c>
      <c r="M9" s="23">
        <f>Domestic!Q9+Europe!Q9+'Asia-Pacific'!Q9+'Rest of world'!Q9+'North America'!Q9+'Latin America'!Q9</f>
        <v>41</v>
      </c>
      <c r="N9" s="509">
        <f>Domestic!S9+Europe!S9+'Asia-Pacific'!S9+'Rest of world'!S9+'North America'!S9+'Latin America'!S9</f>
        <v>0.34287906400000001</v>
      </c>
      <c r="O9" s="23">
        <f>Domestic!T9+Europe!T9+'Asia-Pacific'!T9+'Rest of world'!T9+'North America'!T9+'Latin America'!T9</f>
        <v>140</v>
      </c>
      <c r="P9" s="23">
        <f>Domestic!U9+Europe!U9+'Asia-Pacific'!U9+'Rest of world'!U9+'North America'!U9+'Latin America'!U9</f>
        <v>0</v>
      </c>
      <c r="Q9" s="510">
        <f>Domestic!W9+'North America'!W9+Europe!W9+'Asia-Pacific'!W9+'Rest of world'!W9+'Latin America'!W9</f>
        <v>0</v>
      </c>
      <c r="R9" s="23">
        <f>Domestic!X9+Europe!X9+'Asia-Pacific'!X9+'Rest of world'!X9+'North America'!X9+'Latin America'!X9</f>
        <v>240</v>
      </c>
      <c r="S9" s="23">
        <f>Domestic!Y9+Europe!Y9+'Asia-Pacific'!Y9+'Rest of world'!Y9+'North America'!Y9+'Latin America'!Y9</f>
        <v>42</v>
      </c>
      <c r="T9" s="510">
        <f>Domestic!AA9+Europe!AA9+'Asia-Pacific'!AA9+'Rest of world'!AA9+'North America'!AA9+'Latin America'!AA9</f>
        <v>0.61269436799999999</v>
      </c>
      <c r="U9" s="23">
        <f>Domestic!AB9+Europe!AB9+'Asia-Pacific'!AB9+'Rest of world'!AB9+'North America'!AB9+'Latin America'!AB9</f>
        <v>290</v>
      </c>
      <c r="V9" s="23">
        <f>Domestic!AC9+Europe!AC9+'Asia-Pacific'!AC9+'Rest of world'!AC9+'North America'!AC9+'Latin America'!AC9</f>
        <v>39</v>
      </c>
      <c r="W9" s="510">
        <f>Domestic!AE9+Europe!AE9+'Asia-Pacific'!AE9+'Rest of world'!AE9+'North America'!AE9+'Latin America'!AE9</f>
        <v>0.26024700000000001</v>
      </c>
      <c r="X9" s="23">
        <f>Domestic!AF9+Europe!AF9+'Asia-Pacific'!AF9+'Rest of world'!AF9+'North America'!AF9+'Latin America'!AF9</f>
        <v>140</v>
      </c>
      <c r="Y9" s="23">
        <f>Domestic!AG9+Europe!AG9+'Asia-Pacific'!AG9+'Rest of world'!AG9+'North America'!AG9+'Latin America'!AG9</f>
        <v>39</v>
      </c>
      <c r="Z9" s="510">
        <f>Domestic!AI9+Europe!AI9+'Asia-Pacific'!AI9+'Rest of world'!AI9+'North America'!AI9+'Latin America'!AI9</f>
        <v>0.23351593199999998</v>
      </c>
      <c r="AA9" s="23">
        <f>Domestic!AJ9+Europe!AJ9+'Asia-Pacific'!AJ9+'Rest of world'!AJ9+'North America'!AJ9+'Latin America'!AJ9</f>
        <v>250</v>
      </c>
      <c r="AB9" s="23">
        <f>Domestic!AK9+Europe!AK9+'Asia-Pacific'!AK9+'Rest of world'!AK9+'North America'!AK9+'Latin America'!AK9</f>
        <v>61</v>
      </c>
      <c r="AC9" s="510">
        <f>Domestic!AM9+Europe!AM9+'Asia-Pacific'!AM9+'Rest of world'!AM9+'North America'!AM9+'Latin America'!AM9</f>
        <v>0.35998411899999999</v>
      </c>
      <c r="AD9" s="23">
        <f>Domestic!AN9+Europe!AN9+'Asia-Pacific'!AN9+'Rest of world'!AN9+'North America'!AN9+'Latin America'!AN9</f>
        <v>260</v>
      </c>
      <c r="AE9" s="23">
        <f>Domestic!AO9+Europe!AO9+'Asia-Pacific'!AO9+'Rest of world'!AO9+'North America'!AO9+'Latin America'!AO9</f>
        <v>60</v>
      </c>
      <c r="AF9" s="510">
        <f>Domestic!AQ9+Europe!AQ9+'Asia-Pacific'!AQ9+'Rest of world'!AQ9+'North America'!AQ9+'Latin America'!AQ9</f>
        <v>0.32195934000000004</v>
      </c>
      <c r="AG9" s="23">
        <f>Domestic!AR9+Europe!AR9+'Asia-Pacific'!AR9+'Rest of world'!AR9+'North America'!AR9+'Latin America'!AR9</f>
        <v>160</v>
      </c>
      <c r="AH9" s="23">
        <f>Domestic!AS9+Europe!AS9+'Asia-Pacific'!AS9+'Rest of world'!AS9+'North America'!AS9+'Latin America'!AS9</f>
        <v>101</v>
      </c>
      <c r="AI9" s="510">
        <f>Domestic!AU9+Europe!AU9+'Asia-Pacific'!AU9+'Rest of world'!AU9+'North America'!AU9+'Latin America'!AU9</f>
        <v>0.84803165300000016</v>
      </c>
      <c r="AJ9" s="23">
        <f>Domestic!AV9+Europe!AV9+'Asia-Pacific'!AV9+'Rest of world'!AV9+'North America'!AV9+'Latin America'!AV9</f>
        <v>50</v>
      </c>
      <c r="AK9" s="23">
        <f>Domestic!AQ9+Europe!AQ9+'Asia-Pacific'!AQ9+'Rest of world'!AQ9+'North America'!AQ9+'Latin America'!AQ9</f>
        <v>0.32195934000000004</v>
      </c>
      <c r="AL9" s="510">
        <f>Domestic!AY9+Europe!AY9+'Asia-Pacific'!AY9+'Rest of world'!AY9+'North America'!AY9+'Latin America'!AY9</f>
        <v>0</v>
      </c>
      <c r="AM9" s="257">
        <f t="shared" si="13"/>
        <v>310</v>
      </c>
      <c r="AN9" s="257">
        <f t="shared" si="14"/>
        <v>79</v>
      </c>
      <c r="AO9" s="257">
        <f t="shared" si="15"/>
        <v>0.48962864800000006</v>
      </c>
      <c r="AP9" s="257">
        <f t="shared" si="16"/>
        <v>670</v>
      </c>
      <c r="AQ9" s="257">
        <f t="shared" si="17"/>
        <v>83</v>
      </c>
      <c r="AR9" s="257">
        <f t="shared" si="18"/>
        <v>0.955573432</v>
      </c>
      <c r="AS9" s="257">
        <f t="shared" si="19"/>
        <v>680</v>
      </c>
      <c r="AT9" s="257">
        <f t="shared" si="20"/>
        <v>139</v>
      </c>
      <c r="AU9" s="257">
        <f t="shared" si="21"/>
        <v>0.85374705100000003</v>
      </c>
      <c r="AV9" s="257">
        <f t="shared" si="22"/>
        <v>470</v>
      </c>
      <c r="AW9" s="257">
        <f t="shared" si="23"/>
        <v>161.32195934000001</v>
      </c>
      <c r="AX9" s="257">
        <f t="shared" si="24"/>
        <v>1.1699909930000003</v>
      </c>
      <c r="AY9" s="257">
        <f t="shared" si="25"/>
        <v>2130</v>
      </c>
      <c r="AZ9" s="257">
        <f t="shared" si="26"/>
        <v>462.32195934000003</v>
      </c>
      <c r="BA9" s="257">
        <f t="shared" si="27"/>
        <v>3.4689401240000004</v>
      </c>
      <c r="BB9" s="257">
        <f t="shared" si="28"/>
        <v>0.21705256307042256</v>
      </c>
      <c r="BD9" s="23">
        <f t="shared" si="8"/>
        <v>980</v>
      </c>
      <c r="BE9" s="23">
        <f t="shared" si="9"/>
        <v>162</v>
      </c>
      <c r="BF9" s="466">
        <f t="shared" si="29"/>
        <v>0.1653061224489796</v>
      </c>
      <c r="BG9" s="509">
        <f t="shared" si="11"/>
        <v>1.4452020800000001</v>
      </c>
      <c r="BH9" s="466">
        <f t="shared" si="12"/>
        <v>7.605633802816901E-2</v>
      </c>
    </row>
    <row r="10" spans="1:60" ht="12.6" customHeight="1">
      <c r="A10" s="254" t="s">
        <v>46</v>
      </c>
      <c r="B10" s="510">
        <f t="shared" si="0"/>
        <v>21588</v>
      </c>
      <c r="C10" s="23">
        <f>Domestic!D10+Europe!D10+'Asia-Pacific'!D10+'Rest of world'!D10+'North America'!D10+'Latin America'!D10</f>
        <v>725</v>
      </c>
      <c r="D10" s="23">
        <f>Domestic!E10+Europe!E10+'Asia-Pacific'!E10+'Rest of world'!E10+'North America'!E10+'Latin America'!E10</f>
        <v>457</v>
      </c>
      <c r="E10" s="257">
        <f>Domestic!G10+Europe!G10+'Asia-Pacific'!G10+'Rest of world'!G10+'North America'!G10+'Latin America'!G10</f>
        <v>2.5797964167999998</v>
      </c>
      <c r="F10" s="23">
        <f>Domestic!H10+Europe!H10+'Asia-Pacific'!H10+'Rest of world'!H10+'North America'!H10+'Latin America'!H10</f>
        <v>2077</v>
      </c>
      <c r="G10" s="23">
        <f>Domestic!I10+Europe!I10+'Asia-Pacific'!I10+'Rest of world'!I10+'North America'!I10+'Latin America'!I10</f>
        <v>1314</v>
      </c>
      <c r="H10" s="257">
        <f>Domestic!K10+Europe!K10+'Asia-Pacific'!K10+'Rest of world'!K10+'North America'!K10+'Latin America'!K10</f>
        <v>3.3919114523999996</v>
      </c>
      <c r="I10" s="23">
        <f>Domestic!L10+Europe!L10+'Asia-Pacific'!L10+'Rest of world'!L10+'North America'!L10+'Latin America'!L10</f>
        <v>1381</v>
      </c>
      <c r="J10" s="23">
        <f>Domestic!M10+Europe!M10+'Asia-Pacific'!M10+'Rest of world'!M10+'North America'!M10+'Latin America'!M10</f>
        <v>201</v>
      </c>
      <c r="K10" s="257">
        <f>Domestic!O10+Europe!O10+'Asia-Pacific'!O10+'Rest of world'!O10+'North America'!O10+'Latin America'!O10</f>
        <v>0.73532868639999982</v>
      </c>
      <c r="L10" s="23">
        <f>Domestic!P10+Europe!P10+'Asia-Pacific'!P10+'Rest of world'!P10+'North America'!P10+'Latin America'!P10</f>
        <v>2543</v>
      </c>
      <c r="M10" s="23">
        <f>Domestic!Q10+Europe!Q10+'Asia-Pacific'!Q10+'Rest of world'!Q10+'North America'!Q10+'Latin America'!Q10</f>
        <v>873</v>
      </c>
      <c r="N10" s="509">
        <f>Domestic!S10+Europe!S10+'Asia-Pacific'!S10+'Rest of world'!S10+'North America'!S10+'Latin America'!S10</f>
        <v>4.0038439120000007</v>
      </c>
      <c r="O10" s="23">
        <f>Domestic!T10+Europe!T10+'Asia-Pacific'!T10+'Rest of world'!T10+'North America'!T10+'Latin America'!T10</f>
        <v>1559</v>
      </c>
      <c r="P10" s="23">
        <f>Domestic!U10+Europe!U10+'Asia-Pacific'!U10+'Rest of world'!U10+'North America'!U10+'Latin America'!U10</f>
        <v>570</v>
      </c>
      <c r="Q10" s="510">
        <f>Domestic!W10+'North America'!W10+Europe!W10+'Asia-Pacific'!W10+'Rest of world'!W10+'Latin America'!W10</f>
        <v>1.6548040920000002</v>
      </c>
      <c r="R10" s="23">
        <f>Domestic!X10+Europe!X10+'Asia-Pacific'!X10+'Rest of world'!X10+'North America'!X10+'Latin America'!X10</f>
        <v>2612</v>
      </c>
      <c r="S10" s="23">
        <f ca="1">Domestic!Y10+Europe!Y10+'Asia-Pacific'!Y10+'Rest of world'!Y10+'North America'!Y10+'Latin America'!Y10</f>
        <v>243</v>
      </c>
      <c r="T10" s="510">
        <f ca="1">Domestic!AA10+Europe!AA10+'Asia-Pacific'!AA10+'Rest of world'!AA10+'North America'!AA10+'Latin America'!AA10</f>
        <v>0.57588996599999998</v>
      </c>
      <c r="U10" s="23">
        <f>Domestic!AB10+Europe!AB10+'Asia-Pacific'!AB10+'Rest of world'!AB10+'North America'!AB10+'Latin America'!AB10</f>
        <v>1517</v>
      </c>
      <c r="V10" s="23">
        <f>Domestic!AC10+Europe!AC10+'Asia-Pacific'!AC10+'Rest of world'!AC10+'North America'!AC10+'Latin America'!AC10</f>
        <v>716</v>
      </c>
      <c r="W10" s="510">
        <f>Domestic!AE10+Europe!AE10+'Asia-Pacific'!AE10+'Rest of world'!AE10+'North America'!AE10+'Latin America'!AE10</f>
        <v>2.7800785680000004</v>
      </c>
      <c r="X10" s="23">
        <f>Domestic!AF10+Europe!AF10+'Asia-Pacific'!AF10+'Rest of world'!AF10+'North America'!AF10+'Latin America'!AF10</f>
        <v>2435</v>
      </c>
      <c r="Y10" s="23">
        <f>Domestic!AG10+Europe!AG10+'Asia-Pacific'!AG10+'Rest of world'!AG10+'North America'!AG10+'Latin America'!AG10</f>
        <v>812</v>
      </c>
      <c r="Z10" s="510">
        <f>Domestic!AI10+Europe!AI10+'Asia-Pacific'!AI10+'Rest of world'!AI10+'North America'!AI10+'Latin America'!AI10</f>
        <v>2.2305252060000003</v>
      </c>
      <c r="AA10" s="23">
        <f>Domestic!AJ10+Europe!AJ10+'Asia-Pacific'!AJ10+'Rest of world'!AJ10+'North America'!AJ10+'Latin America'!AJ10</f>
        <v>1565</v>
      </c>
      <c r="AB10" s="23">
        <f>Domestic!AK10+Europe!AK10+'Asia-Pacific'!AK10+'Rest of world'!AK10+'North America'!AK10+'Latin America'!AK10</f>
        <v>786</v>
      </c>
      <c r="AC10" s="510">
        <f>Domestic!AM10+Europe!AM10+'Asia-Pacific'!AM10+'Rest of world'!AM10+'North America'!AM10+'Latin America'!AM10</f>
        <v>2.1256726230000003</v>
      </c>
      <c r="AD10" s="23">
        <f>Domestic!AN10+Europe!AN10+'Asia-Pacific'!AN10+'Rest of world'!AN10+'North America'!AN10+'Latin America'!AN10</f>
        <v>1385</v>
      </c>
      <c r="AE10" s="23">
        <f>Domestic!AO10+Europe!AO10+'Asia-Pacific'!AO10+'Rest of world'!AO10+'North America'!AO10+'Latin America'!AO10</f>
        <v>779</v>
      </c>
      <c r="AF10" s="510">
        <f>Domestic!AQ10+Europe!AQ10+'Asia-Pacific'!AQ10+'Rest of world'!AQ10+'North America'!AQ10+'Latin America'!AQ10</f>
        <v>1.8835981589999999</v>
      </c>
      <c r="AG10" s="23">
        <f>Domestic!AR10+Europe!AR10+'Asia-Pacific'!AR10+'Rest of world'!AR10+'North America'!AR10+'Latin America'!AR10</f>
        <v>2462</v>
      </c>
      <c r="AH10" s="23">
        <f>Domestic!AS10+Europe!AS10+'Asia-Pacific'!AS10+'Rest of world'!AS10+'North America'!AS10+'Latin America'!AS10</f>
        <v>963</v>
      </c>
      <c r="AI10" s="510">
        <f>Domestic!AU10+Europe!AU10+'Asia-Pacific'!AU10+'Rest of world'!AU10+'North America'!AU10+'Latin America'!AU10</f>
        <v>1.7372677550000002</v>
      </c>
      <c r="AJ10" s="23">
        <f>Domestic!AV10+Europe!AV10+'Asia-Pacific'!AV10+'Rest of world'!AV10+'North America'!AV10+'Latin America'!AV10</f>
        <v>1327</v>
      </c>
      <c r="AK10" s="23">
        <f>Domestic!AQ10+Europe!AQ10+'Asia-Pacific'!AQ10+'Rest of world'!AQ10+'North America'!AQ10+'Latin America'!AQ10</f>
        <v>1.8835981589999999</v>
      </c>
      <c r="AL10" s="510">
        <f>Domestic!AY10+Europe!AY10+'Asia-Pacific'!AY10+'Rest of world'!AY10+'North America'!AY10+'Latin America'!AY10</f>
        <v>0</v>
      </c>
      <c r="AM10" s="257">
        <f t="shared" si="13"/>
        <v>4183</v>
      </c>
      <c r="AN10" s="257">
        <f t="shared" si="14"/>
        <v>1972</v>
      </c>
      <c r="AO10" s="257">
        <f t="shared" si="15"/>
        <v>6.7070365555999993</v>
      </c>
      <c r="AP10" s="257">
        <f t="shared" si="16"/>
        <v>6714</v>
      </c>
      <c r="AQ10" s="257">
        <f t="shared" ca="1" si="17"/>
        <v>1686</v>
      </c>
      <c r="AR10" s="257">
        <f t="shared" ca="1" si="18"/>
        <v>6.2345379700000008</v>
      </c>
      <c r="AS10" s="257">
        <f t="shared" si="19"/>
        <v>5517</v>
      </c>
      <c r="AT10" s="257">
        <f t="shared" si="20"/>
        <v>2314</v>
      </c>
      <c r="AU10" s="257">
        <f t="shared" si="21"/>
        <v>7.1362763970000014</v>
      </c>
      <c r="AV10" s="257">
        <f t="shared" si="22"/>
        <v>5174</v>
      </c>
      <c r="AW10" s="257">
        <f t="shared" si="23"/>
        <v>1743.883598159</v>
      </c>
      <c r="AX10" s="257">
        <f t="shared" si="24"/>
        <v>3.6208659140000004</v>
      </c>
      <c r="AY10" s="257">
        <f t="shared" si="25"/>
        <v>21588</v>
      </c>
      <c r="AZ10" s="257">
        <f t="shared" ca="1" si="26"/>
        <v>7715.883598159</v>
      </c>
      <c r="BA10" s="257">
        <f t="shared" ca="1" si="27"/>
        <v>23.698716836599999</v>
      </c>
      <c r="BB10" s="257">
        <f t="shared" ca="1" si="28"/>
        <v>0.35741539735774502</v>
      </c>
      <c r="BD10" s="23">
        <f t="shared" si="8"/>
        <v>10897</v>
      </c>
      <c r="BE10" s="23">
        <f t="shared" ca="1" si="9"/>
        <v>3658</v>
      </c>
      <c r="BF10" s="466">
        <f t="shared" ca="1" si="29"/>
        <v>0.3356887216665137</v>
      </c>
      <c r="BG10" s="509">
        <f t="shared" ca="1" si="11"/>
        <v>12.9415745256</v>
      </c>
      <c r="BH10" s="466">
        <f t="shared" ca="1" si="12"/>
        <v>0.16944598851213638</v>
      </c>
    </row>
    <row r="11" spans="1:60" ht="12.6" customHeight="1">
      <c r="A11" s="254" t="s">
        <v>130</v>
      </c>
      <c r="B11" s="510">
        <f t="shared" si="0"/>
        <v>7000</v>
      </c>
      <c r="C11" s="23">
        <f>Domestic!D11+Europe!D11+'Asia-Pacific'!D11+'Rest of world'!D11+'North America'!D11+'Latin America'!D11</f>
        <v>583</v>
      </c>
      <c r="D11" s="23">
        <f>Domestic!E11+Europe!E11+'Asia-Pacific'!E11+'Rest of world'!E11+'North America'!E11+'Latin America'!E11</f>
        <v>0</v>
      </c>
      <c r="E11" s="257">
        <f>Domestic!G11+Europe!G11+'Asia-Pacific'!G11+'Rest of world'!G11+'North America'!G11+'Latin America'!G11</f>
        <v>0</v>
      </c>
      <c r="F11" s="23">
        <f>Domestic!H11+Europe!H11+'Asia-Pacific'!H11+'Rest of world'!H11+'North America'!H11+'Latin America'!H11</f>
        <v>583</v>
      </c>
      <c r="G11" s="23">
        <f>Domestic!I11+Europe!I11+'Asia-Pacific'!I11+'Rest of world'!I11+'North America'!I11+'Latin America'!I11</f>
        <v>0</v>
      </c>
      <c r="H11" s="257">
        <f>Domestic!K11+Europe!K11+'Asia-Pacific'!K11+'Rest of world'!K11+'North America'!K11+'Latin America'!K11</f>
        <v>0</v>
      </c>
      <c r="I11" s="23">
        <f>Domestic!L11+Europe!L11+'Asia-Pacific'!L11+'Rest of world'!L11+'North America'!L11+'Latin America'!L11</f>
        <v>584</v>
      </c>
      <c r="J11" s="23">
        <f>Domestic!M11+Europe!M11+'Asia-Pacific'!M11+'Rest of world'!M11+'North America'!M11+'Latin America'!M11</f>
        <v>938</v>
      </c>
      <c r="K11" s="257">
        <f>Domestic!O11+Europe!O11+'Asia-Pacific'!O11+'Rest of world'!O11+'North America'!O11+'Latin America'!O11</f>
        <v>0.69103960799999997</v>
      </c>
      <c r="L11" s="23">
        <f>Domestic!P11+Europe!P11+'Asia-Pacific'!P11+'Rest of world'!P11+'North America'!P11+'Latin America'!P11</f>
        <v>583</v>
      </c>
      <c r="M11" s="23">
        <f>Domestic!Q11+Europe!Q11+'Asia-Pacific'!Q11+'Rest of world'!Q11+'North America'!Q11+'Latin America'!Q11</f>
        <v>792</v>
      </c>
      <c r="N11" s="509">
        <f>Domestic!S11+Europe!S11+'Asia-Pacific'!S11+'Rest of world'!S11+'North America'!S11+'Latin America'!S11</f>
        <v>0.62344339199999999</v>
      </c>
      <c r="O11" s="23">
        <f>Domestic!T11+Europe!T11+'Asia-Pacific'!T11+'Rest of world'!T11+'North America'!T11+'Latin America'!T11</f>
        <v>583</v>
      </c>
      <c r="P11" s="23">
        <f>Domestic!U11+Europe!U11+'Asia-Pacific'!U11+'Rest of world'!U11+'North America'!U11+'Latin America'!U11</f>
        <v>0</v>
      </c>
      <c r="Q11" s="510">
        <f>Domestic!W11+'North America'!W11+Europe!W11+'Asia-Pacific'!W11+'Rest of world'!W11+'Latin America'!W11</f>
        <v>0</v>
      </c>
      <c r="R11" s="23">
        <f>Domestic!X11+Europe!X11+'Asia-Pacific'!X11+'Rest of world'!X11+'North America'!X11+'Latin America'!X11</f>
        <v>584</v>
      </c>
      <c r="S11" s="23">
        <f>Domestic!Y11+Europe!Y11+'Asia-Pacific'!Y11+'Rest of world'!Y11+'North America'!Y11+'Latin America'!Y11</f>
        <v>0</v>
      </c>
      <c r="T11" s="510">
        <f>Domestic!AA11+Europe!AA11+'Asia-Pacific'!AA11+'Rest of world'!AA11+'North America'!AA11+'Latin America'!AA11</f>
        <v>0</v>
      </c>
      <c r="U11" s="23">
        <f>Domestic!AB11+Europe!AB11+'Asia-Pacific'!AB11+'Rest of world'!AB11+'North America'!AB11+'Latin America'!AB11</f>
        <v>583</v>
      </c>
      <c r="V11" s="23">
        <f>Domestic!AC11+Europe!AC11+'Asia-Pacific'!AC11+'Rest of world'!AC11+'North America'!AC11+'Latin America'!AC11</f>
        <v>0</v>
      </c>
      <c r="W11" s="510">
        <f>Domestic!AE11+Europe!AE11+'Asia-Pacific'!AE11+'Rest of world'!AE11+'North America'!AE11+'Latin America'!AE11</f>
        <v>0</v>
      </c>
      <c r="X11" s="23">
        <f>Domestic!AF11+Europe!AF11+'Asia-Pacific'!AF11+'Rest of world'!AF11+'North America'!AF11+'Latin America'!AF11</f>
        <v>583</v>
      </c>
      <c r="Y11" s="23">
        <f>Domestic!AG11+Europe!AG11+'Asia-Pacific'!AG11+'Rest of world'!AG11+'North America'!AG11+'Latin America'!AG11</f>
        <v>0</v>
      </c>
      <c r="Z11" s="510">
        <f>Domestic!AI11+Europe!AI11+'Asia-Pacific'!AI11+'Rest of world'!AI11+'North America'!AI11+'Latin America'!AI11</f>
        <v>0</v>
      </c>
      <c r="AA11" s="23">
        <f>Domestic!AJ11+Europe!AJ11+'Asia-Pacific'!AJ11+'Rest of world'!AJ11+'North America'!AJ11+'Latin America'!AJ11</f>
        <v>584</v>
      </c>
      <c r="AB11" s="23">
        <f>Domestic!AK11+Europe!AK11+'Asia-Pacific'!AK11+'Rest of world'!AK11+'North America'!AK11+'Latin America'!AK11</f>
        <v>0</v>
      </c>
      <c r="AC11" s="510">
        <f>Domestic!AM11+Europe!AM11+'Asia-Pacific'!AM11+'Rest of world'!AM11+'North America'!AM11+'Latin America'!AM11</f>
        <v>0</v>
      </c>
      <c r="AD11" s="23">
        <f>Domestic!AN11+Europe!AN11+'Asia-Pacific'!AN11+'Rest of world'!AN11+'North America'!AN11+'Latin America'!AN11</f>
        <v>583</v>
      </c>
      <c r="AE11" s="23">
        <f>Domestic!AO11+Europe!AO11+'Asia-Pacific'!AO11+'Rest of world'!AO11+'North America'!AO11+'Latin America'!AO11</f>
        <v>0</v>
      </c>
      <c r="AF11" s="510">
        <f>Domestic!AQ11+Europe!AQ11+'Asia-Pacific'!AQ11+'Rest of world'!AQ11+'North America'!AQ11+'Latin America'!AQ11</f>
        <v>0</v>
      </c>
      <c r="AG11" s="23">
        <f>Domestic!AR11+Europe!AR11+'Asia-Pacific'!AR11+'Rest of world'!AR11+'North America'!AR11+'Latin America'!AR11</f>
        <v>583</v>
      </c>
      <c r="AH11" s="23">
        <f>Domestic!AS11+Europe!AS11+'Asia-Pacific'!AS11+'Rest of world'!AS11+'North America'!AS11+'Latin America'!AS11</f>
        <v>0</v>
      </c>
      <c r="AI11" s="510">
        <f>Domestic!AU11+Europe!AU11+'Asia-Pacific'!AU11+'Rest of world'!AU11+'North America'!AU11+'Latin America'!AU11</f>
        <v>0</v>
      </c>
      <c r="AJ11" s="23">
        <f>Domestic!AV11+Europe!AV11+'Asia-Pacific'!AV11+'Rest of world'!AV11+'North America'!AV11+'Latin America'!AV11</f>
        <v>584</v>
      </c>
      <c r="AK11" s="23">
        <f>Domestic!AQ11+Europe!AQ11+'Asia-Pacific'!AQ11+'Rest of world'!AQ11+'North America'!AQ11+'Latin America'!AQ11</f>
        <v>0</v>
      </c>
      <c r="AL11" s="510">
        <f>Domestic!AY11+Europe!AY11+'Asia-Pacific'!AY11+'Rest of world'!AY11+'North America'!AY11+'Latin America'!AY11</f>
        <v>0</v>
      </c>
      <c r="AM11" s="257">
        <f t="shared" si="13"/>
        <v>1750</v>
      </c>
      <c r="AN11" s="257">
        <f t="shared" si="14"/>
        <v>938</v>
      </c>
      <c r="AO11" s="257">
        <f t="shared" si="15"/>
        <v>0.69103960799999997</v>
      </c>
      <c r="AP11" s="257">
        <f t="shared" si="16"/>
        <v>1750</v>
      </c>
      <c r="AQ11" s="257">
        <f t="shared" si="17"/>
        <v>792</v>
      </c>
      <c r="AR11" s="257">
        <f t="shared" si="18"/>
        <v>0.62344339199999999</v>
      </c>
      <c r="AS11" s="257">
        <f t="shared" si="19"/>
        <v>1750</v>
      </c>
      <c r="AT11" s="257">
        <f t="shared" si="20"/>
        <v>0</v>
      </c>
      <c r="AU11" s="257">
        <f t="shared" si="21"/>
        <v>0</v>
      </c>
      <c r="AV11" s="257">
        <f t="shared" si="22"/>
        <v>1750</v>
      </c>
      <c r="AW11" s="257">
        <f t="shared" si="23"/>
        <v>0</v>
      </c>
      <c r="AX11" s="257">
        <f t="shared" si="24"/>
        <v>0</v>
      </c>
      <c r="AY11" s="257">
        <f t="shared" si="25"/>
        <v>7000</v>
      </c>
      <c r="AZ11" s="257">
        <f t="shared" si="26"/>
        <v>1730</v>
      </c>
      <c r="BA11" s="257">
        <f t="shared" si="27"/>
        <v>1.3144830000000001</v>
      </c>
      <c r="BB11" s="257">
        <f t="shared" si="28"/>
        <v>0.24714285714285714</v>
      </c>
      <c r="BD11" s="23">
        <f t="shared" si="8"/>
        <v>3500</v>
      </c>
      <c r="BE11" s="23">
        <f t="shared" si="9"/>
        <v>1730</v>
      </c>
      <c r="BF11" s="466">
        <f t="shared" si="29"/>
        <v>0.49428571428571427</v>
      </c>
      <c r="BG11" s="509">
        <f t="shared" si="11"/>
        <v>1.3144830000000001</v>
      </c>
      <c r="BH11" s="466">
        <f t="shared" si="12"/>
        <v>0.24714285714285714</v>
      </c>
    </row>
    <row r="12" spans="1:60" ht="12.6" customHeight="1">
      <c r="A12" s="254" t="s">
        <v>131</v>
      </c>
      <c r="B12" s="510">
        <f t="shared" si="0"/>
        <v>4356</v>
      </c>
      <c r="C12" s="23">
        <f>Domestic!D12+Europe!D12+'Asia-Pacific'!D12+'Rest of world'!D12+'North America'!D12+'Latin America'!D12</f>
        <v>0</v>
      </c>
      <c r="D12" s="23">
        <f>Domestic!E12+Europe!E12+'Asia-Pacific'!E12+'Rest of world'!E12+'North America'!E12+'Latin America'!E12</f>
        <v>0</v>
      </c>
      <c r="E12" s="257">
        <f>Domestic!G12+Europe!G12+'Asia-Pacific'!G12+'Rest of world'!G12+'North America'!G12+'Latin America'!G12</f>
        <v>0</v>
      </c>
      <c r="F12" s="23">
        <f>Domestic!H12+Europe!H12+'Asia-Pacific'!H12+'Rest of world'!H12+'North America'!H12+'Latin America'!H12</f>
        <v>0</v>
      </c>
      <c r="G12" s="23">
        <f>Domestic!I12+Europe!I12+'Asia-Pacific'!I12+'Rest of world'!I12+'North America'!I12+'Latin America'!I12</f>
        <v>18</v>
      </c>
      <c r="H12" s="257">
        <f>Domestic!K12+Europe!K12+'Asia-Pacific'!K12+'Rest of world'!K12+'North America'!K12+'Latin America'!K12</f>
        <v>6.248323439999999E-2</v>
      </c>
      <c r="I12" s="23">
        <f>Domestic!L12+Europe!L12+'Asia-Pacific'!L12+'Rest of world'!L12+'North America'!L12+'Latin America'!L12</f>
        <v>0</v>
      </c>
      <c r="J12" s="23">
        <f>Domestic!M12+Europe!M12+'Asia-Pacific'!M12+'Rest of world'!M12+'North America'!M12+'Latin America'!M12</f>
        <v>22</v>
      </c>
      <c r="K12" s="257">
        <f>Domestic!O12+Europe!O12+'Asia-Pacific'!O12+'Rest of world'!O12+'North America'!O12+'Latin America'!O12</f>
        <v>8.430991359999998E-2</v>
      </c>
      <c r="L12" s="23">
        <f>Domestic!P12+Europe!P12+'Asia-Pacific'!P12+'Rest of world'!P12+'North America'!P12+'Latin America'!P12</f>
        <v>484</v>
      </c>
      <c r="M12" s="23">
        <f>Domestic!Q12+Europe!Q12+'Asia-Pacific'!Q12+'Rest of world'!Q12+'North America'!Q12+'Latin America'!Q12</f>
        <v>19</v>
      </c>
      <c r="N12" s="509">
        <f>Domestic!S12+Europe!S12+'Asia-Pacific'!S12+'Rest of world'!S12+'North America'!S12+'Latin America'!S12</f>
        <v>5.8163559999999996E-2</v>
      </c>
      <c r="O12" s="23">
        <f>Domestic!T12+Europe!T12+'Asia-Pacific'!T12+'Rest of world'!T12+'North America'!T12+'Latin America'!T12</f>
        <v>484</v>
      </c>
      <c r="P12" s="23">
        <f>Domestic!U12+Europe!U12+'Asia-Pacific'!U12+'Rest of world'!U12+'North America'!U12+'Latin America'!U12</f>
        <v>0</v>
      </c>
      <c r="Q12" s="510">
        <f>Domestic!W12+'North America'!W12+Europe!W12+'Asia-Pacific'!W12+'Rest of world'!W12+'Latin America'!W12</f>
        <v>0</v>
      </c>
      <c r="R12" s="23">
        <f>Domestic!X12+Europe!X12+'Asia-Pacific'!X12+'Rest of world'!X12+'North America'!X12+'Latin America'!X12</f>
        <v>484</v>
      </c>
      <c r="S12" s="23">
        <f>Domestic!Y12+Europe!Y12+'Asia-Pacific'!Y12+'Rest of world'!Y12+'North America'!Y12+'Latin America'!Y12</f>
        <v>18</v>
      </c>
      <c r="T12" s="510">
        <f>Domestic!AA12+Europe!AA12+'Asia-Pacific'!AA12+'Rest of world'!AA12+'North America'!AA12+'Latin America'!AA12</f>
        <v>0.1442784798</v>
      </c>
      <c r="U12" s="23">
        <f>Domestic!AB12+Europe!AB12+'Asia-Pacific'!AB12+'Rest of world'!AB12+'North America'!AB12+'Latin America'!AB12</f>
        <v>484</v>
      </c>
      <c r="V12" s="23">
        <f>Domestic!AC12+Europe!AC12+'Asia-Pacific'!AC12+'Rest of world'!AC12+'North America'!AC12+'Latin America'!AC12</f>
        <v>0</v>
      </c>
      <c r="W12" s="510">
        <f>Domestic!AE12+Europe!AE12+'Asia-Pacific'!AE12+'Rest of world'!AE12+'North America'!AE12+'Latin America'!AE12</f>
        <v>0</v>
      </c>
      <c r="X12" s="23">
        <f>Domestic!AF12+Europe!AF12+'Asia-Pacific'!AF12+'Rest of world'!AF12+'North America'!AF12+'Latin America'!AF12</f>
        <v>484</v>
      </c>
      <c r="Y12" s="23">
        <f>Domestic!AG12+Europe!AG12+'Asia-Pacific'!AG12+'Rest of world'!AG12+'North America'!AG12+'Latin America'!AG12</f>
        <v>0</v>
      </c>
      <c r="Z12" s="510">
        <f>Domestic!AI12+Europe!AI12+'Asia-Pacific'!AI12+'Rest of world'!AI12+'North America'!AI12+'Latin America'!AI12</f>
        <v>0</v>
      </c>
      <c r="AA12" s="23">
        <f>Domestic!AJ12+Europe!AJ12+'Asia-Pacific'!AJ12+'Rest of world'!AJ12+'North America'!AJ12+'Latin America'!AJ12</f>
        <v>484</v>
      </c>
      <c r="AB12" s="23">
        <f>Domestic!AK12+Europe!AK12+'Asia-Pacific'!AK12+'Rest of world'!AK12+'North America'!AK12+'Latin America'!AK12</f>
        <v>0</v>
      </c>
      <c r="AC12" s="510">
        <f>Domestic!AM12+Europe!AM12+'Asia-Pacific'!AM12+'Rest of world'!AM12+'North America'!AM12+'Latin America'!AM12</f>
        <v>0</v>
      </c>
      <c r="AD12" s="23">
        <f>Domestic!AN12+Europe!AN12+'Asia-Pacific'!AN12+'Rest of world'!AN12+'North America'!AN12+'Latin America'!AN12</f>
        <v>484</v>
      </c>
      <c r="AE12" s="23">
        <f>Domestic!AO12+Europe!AO12+'Asia-Pacific'!AO12+'Rest of world'!AO12+'North America'!AO12+'Latin America'!AO12</f>
        <v>0</v>
      </c>
      <c r="AF12" s="510">
        <f>Domestic!AQ12+Europe!AQ12+'Asia-Pacific'!AQ12+'Rest of world'!AQ12+'North America'!AQ12+'Latin America'!AQ12</f>
        <v>0</v>
      </c>
      <c r="AG12" s="23">
        <f>Domestic!AR12+Europe!AR12+'Asia-Pacific'!AR12+'Rest of world'!AR12+'North America'!AR12+'Latin America'!AR12</f>
        <v>484</v>
      </c>
      <c r="AH12" s="23">
        <f>Domestic!AS12+Europe!AS12+'Asia-Pacific'!AS12+'Rest of world'!AS12+'North America'!AS12+'Latin America'!AS12</f>
        <v>0</v>
      </c>
      <c r="AI12" s="510">
        <f>Domestic!AU12+Europe!AU12+'Asia-Pacific'!AU12+'Rest of world'!AU12+'North America'!AU12+'Latin America'!AU12</f>
        <v>0</v>
      </c>
      <c r="AJ12" s="23">
        <f>Domestic!AV12+Europe!AV12+'Asia-Pacific'!AV12+'Rest of world'!AV12+'North America'!AV12+'Latin America'!AV12</f>
        <v>484</v>
      </c>
      <c r="AK12" s="23">
        <f>Domestic!AQ12+Europe!AQ12+'Asia-Pacific'!AQ12+'Rest of world'!AQ12+'North America'!AQ12+'Latin America'!AQ12</f>
        <v>0</v>
      </c>
      <c r="AL12" s="510">
        <f>Domestic!AY12+Europe!AY12+'Asia-Pacific'!AY12+'Rest of world'!AY12+'North America'!AY12+'Latin America'!AY12</f>
        <v>0</v>
      </c>
      <c r="AM12" s="257">
        <f t="shared" si="13"/>
        <v>0</v>
      </c>
      <c r="AN12" s="257">
        <f t="shared" si="14"/>
        <v>40</v>
      </c>
      <c r="AO12" s="257">
        <f t="shared" si="15"/>
        <v>0.14679314799999998</v>
      </c>
      <c r="AP12" s="257">
        <f t="shared" si="16"/>
        <v>1452</v>
      </c>
      <c r="AQ12" s="257">
        <f t="shared" si="17"/>
        <v>37</v>
      </c>
      <c r="AR12" s="257">
        <f t="shared" si="18"/>
        <v>0.2024420398</v>
      </c>
      <c r="AS12" s="257">
        <f t="shared" si="19"/>
        <v>1452</v>
      </c>
      <c r="AT12" s="257">
        <f t="shared" si="20"/>
        <v>0</v>
      </c>
      <c r="AU12" s="257">
        <f t="shared" si="21"/>
        <v>0</v>
      </c>
      <c r="AV12" s="257">
        <f t="shared" si="22"/>
        <v>1452</v>
      </c>
      <c r="AW12" s="257">
        <f t="shared" si="23"/>
        <v>0</v>
      </c>
      <c r="AX12" s="257">
        <f t="shared" si="24"/>
        <v>0</v>
      </c>
      <c r="AY12" s="257">
        <f t="shared" si="25"/>
        <v>4356</v>
      </c>
      <c r="AZ12" s="257">
        <f t="shared" si="26"/>
        <v>77</v>
      </c>
      <c r="BA12" s="257">
        <f t="shared" si="27"/>
        <v>0.34923518779999996</v>
      </c>
      <c r="BB12" s="257">
        <f t="shared" si="28"/>
        <v>1.7676767676767676E-2</v>
      </c>
      <c r="BD12" s="23">
        <f t="shared" si="8"/>
        <v>1452</v>
      </c>
      <c r="BE12" s="23">
        <f t="shared" si="9"/>
        <v>77</v>
      </c>
      <c r="BF12" s="466">
        <f t="shared" si="29"/>
        <v>5.3030303030303032E-2</v>
      </c>
      <c r="BG12" s="509">
        <f t="shared" si="11"/>
        <v>0.34923518779999996</v>
      </c>
      <c r="BH12" s="466">
        <f t="shared" si="12"/>
        <v>1.7676767676767676E-2</v>
      </c>
    </row>
    <row r="13" spans="1:60" ht="12.6" customHeight="1">
      <c r="A13" s="254" t="s">
        <v>48</v>
      </c>
      <c r="B13" s="510">
        <f t="shared" si="0"/>
        <v>2850</v>
      </c>
      <c r="C13" s="23">
        <f>Domestic!D13+Europe!D13+'Asia-Pacific'!D13+'Rest of world'!D13+'North America'!D13+'Latin America'!D13</f>
        <v>150</v>
      </c>
      <c r="D13" s="23">
        <f>Domestic!E13+Europe!E13+'Asia-Pacific'!E13+'Rest of world'!E13+'North America'!E13+'Latin America'!E13</f>
        <v>158</v>
      </c>
      <c r="E13" s="257">
        <f>Domestic!G13+Europe!G13+'Asia-Pacific'!G13+'Rest of world'!G13+'North America'!G13+'Latin America'!G13</f>
        <v>0.72365689590000004</v>
      </c>
      <c r="F13" s="23">
        <f>Domestic!H13+Europe!H13+'Asia-Pacific'!H13+'Rest of world'!H13+'North America'!H13+'Latin America'!H13</f>
        <v>245</v>
      </c>
      <c r="G13" s="23">
        <f>Domestic!I13+Europe!I13+'Asia-Pacific'!I13+'Rest of world'!I13+'North America'!I13+'Latin America'!I13</f>
        <v>309</v>
      </c>
      <c r="H13" s="257">
        <f>Domestic!K13+Europe!K13+'Asia-Pacific'!K13+'Rest of world'!K13+'North America'!K13+'Latin America'!K13</f>
        <v>0.81750169629999991</v>
      </c>
      <c r="I13" s="23">
        <f>Domestic!L13+Europe!L13+'Asia-Pacific'!L13+'Rest of world'!L13+'North America'!L13+'Latin America'!L13</f>
        <v>132</v>
      </c>
      <c r="J13" s="23">
        <f>Domestic!M13+Europe!M13+'Asia-Pacific'!M13+'Rest of world'!M13+'North America'!M13+'Latin America'!M13</f>
        <v>220</v>
      </c>
      <c r="K13" s="257">
        <f>Domestic!O13+Europe!O13+'Asia-Pacific'!O13+'Rest of world'!O13+'North America'!O13+'Latin America'!O13</f>
        <v>0.63139185119999996</v>
      </c>
      <c r="L13" s="23">
        <f>Domestic!P13+Europe!P13+'Asia-Pacific'!P13+'Rest of world'!P13+'North America'!P13+'Latin America'!P13</f>
        <v>346</v>
      </c>
      <c r="M13" s="23">
        <f>Domestic!Q13+Europe!Q13+'Asia-Pacific'!Q13+'Rest of world'!Q13+'North America'!Q13+'Latin America'!Q13</f>
        <v>220</v>
      </c>
      <c r="N13" s="509">
        <f>Domestic!S13+Europe!S13+'Asia-Pacific'!S13+'Rest of world'!S13+'North America'!S13+'Latin America'!S13</f>
        <v>0.53795391999999997</v>
      </c>
      <c r="O13" s="23">
        <f>Domestic!T13+Europe!T13+'Asia-Pacific'!T13+'Rest of world'!T13+'North America'!T13+'Latin America'!T13</f>
        <v>205</v>
      </c>
      <c r="P13" s="23">
        <f>Domestic!U13+Europe!U13+'Asia-Pacific'!U13+'Rest of world'!U13+'North America'!U13+'Latin America'!U13</f>
        <v>288</v>
      </c>
      <c r="Q13" s="510">
        <f>Domestic!W13+'North America'!W13+Europe!W13+'Asia-Pacific'!W13+'Rest of world'!W13+'Latin America'!W13</f>
        <v>0.66430702199999991</v>
      </c>
      <c r="R13" s="23">
        <f>Domestic!X13+Europe!X13+'Asia-Pacific'!X13+'Rest of world'!X13+'North America'!X13+'Latin America'!X13</f>
        <v>279</v>
      </c>
      <c r="S13" s="23">
        <f>Domestic!Y13+Europe!Y13+'Asia-Pacific'!Y13+'Rest of world'!Y13+'North America'!Y13+'Latin America'!Y13</f>
        <v>177</v>
      </c>
      <c r="T13" s="510">
        <f>Domestic!AA13+Europe!AA13+'Asia-Pacific'!AA13+'Rest of world'!AA13+'North America'!AA13+'Latin America'!AA13</f>
        <v>0.41664103800000007</v>
      </c>
      <c r="U13" s="23">
        <f>Domestic!AB13+Europe!AB13+'Asia-Pacific'!AB13+'Rest of world'!AB13+'North America'!AB13+'Latin America'!AB13</f>
        <v>258</v>
      </c>
      <c r="V13" s="23">
        <f>Domestic!AC13+Europe!AC13+'Asia-Pacific'!AC13+'Rest of world'!AC13+'North America'!AC13+'Latin America'!AC13</f>
        <v>317</v>
      </c>
      <c r="W13" s="510">
        <f>Domestic!AE13+Europe!AE13+'Asia-Pacific'!AE13+'Rest of world'!AE13+'North America'!AE13+'Latin America'!AE13</f>
        <v>0.67160408500000002</v>
      </c>
      <c r="X13" s="23">
        <f>Domestic!AF13+Europe!AF13+'Asia-Pacific'!AF13+'Rest of world'!AF13+'North America'!AF13+'Latin America'!AF13</f>
        <v>261</v>
      </c>
      <c r="Y13" s="23">
        <f>Domestic!AG13+Europe!AG13+'Asia-Pacific'!AG13+'Rest of world'!AG13+'North America'!AG13+'Latin America'!AG13</f>
        <v>282</v>
      </c>
      <c r="Z13" s="510">
        <f>Domestic!AI13+Europe!AI13+'Asia-Pacific'!AI13+'Rest of world'!AI13+'North America'!AI13+'Latin America'!AI13</f>
        <v>0.67785443200000006</v>
      </c>
      <c r="AA13" s="23">
        <f>Domestic!AJ13+Europe!AJ13+'Asia-Pacific'!AJ13+'Rest of world'!AJ13+'North America'!AJ13+'Latin America'!AJ13</f>
        <v>183</v>
      </c>
      <c r="AB13" s="23">
        <f>Domestic!AK13+Europe!AK13+'Asia-Pacific'!AK13+'Rest of world'!AK13+'North America'!AK13+'Latin America'!AK13</f>
        <v>282</v>
      </c>
      <c r="AC13" s="510">
        <f>Domestic!AM13+Europe!AM13+'Asia-Pacific'!AM13+'Rest of world'!AM13+'North America'!AM13+'Latin America'!AM13</f>
        <v>0.60423365300000009</v>
      </c>
      <c r="AD13" s="23">
        <f>Domestic!AN13+Europe!AN13+'Asia-Pacific'!AN13+'Rest of world'!AN13+'North America'!AN13+'Latin America'!AN13</f>
        <v>257</v>
      </c>
      <c r="AE13" s="23">
        <f>Domestic!AO13+Europe!AO13+'Asia-Pacific'!AO13+'Rest of world'!AO13+'North America'!AO13+'Latin America'!AO13</f>
        <v>242</v>
      </c>
      <c r="AF13" s="510">
        <f>Domestic!AQ13+Europe!AQ13+'Asia-Pacific'!AQ13+'Rest of world'!AQ13+'North America'!AQ13+'Latin America'!AQ13</f>
        <v>0.53256590700000006</v>
      </c>
      <c r="AG13" s="23">
        <f>Domestic!AR13+Europe!AR13+'Asia-Pacific'!AR13+'Rest of world'!AR13+'North America'!AR13+'Latin America'!AR13</f>
        <v>313</v>
      </c>
      <c r="AH13" s="23">
        <f>Domestic!AS13+Europe!AS13+'Asia-Pacific'!AS13+'Rest of world'!AS13+'North America'!AS13+'Latin America'!AS13</f>
        <v>496</v>
      </c>
      <c r="AI13" s="510">
        <f>Domestic!AU13+Europe!AU13+'Asia-Pacific'!AU13+'Rest of world'!AU13+'North America'!AU13+'Latin America'!AU13</f>
        <v>0.77740981399999998</v>
      </c>
      <c r="AJ13" s="23">
        <f>Domestic!AV13+Europe!AV13+'Asia-Pacific'!AV13+'Rest of world'!AV13+'North America'!AV13+'Latin America'!AV13</f>
        <v>221</v>
      </c>
      <c r="AK13" s="23">
        <f>Domestic!AQ13+Europe!AQ13+'Asia-Pacific'!AQ13+'Rest of world'!AQ13+'North America'!AQ13+'Latin America'!AQ13</f>
        <v>0.53256590700000006</v>
      </c>
      <c r="AL13" s="510">
        <f>Domestic!AY13+Europe!AY13+'Asia-Pacific'!AY13+'Rest of world'!AY13+'North America'!AY13+'Latin America'!AY13</f>
        <v>0</v>
      </c>
      <c r="AM13" s="257">
        <f t="shared" si="13"/>
        <v>527</v>
      </c>
      <c r="AN13" s="257">
        <f t="shared" si="14"/>
        <v>687</v>
      </c>
      <c r="AO13" s="257">
        <f t="shared" si="15"/>
        <v>2.1725504434</v>
      </c>
      <c r="AP13" s="257">
        <f t="shared" si="16"/>
        <v>830</v>
      </c>
      <c r="AQ13" s="257">
        <f t="shared" si="17"/>
        <v>685</v>
      </c>
      <c r="AR13" s="257">
        <f t="shared" si="18"/>
        <v>1.61890198</v>
      </c>
      <c r="AS13" s="257">
        <f t="shared" si="19"/>
        <v>702</v>
      </c>
      <c r="AT13" s="257">
        <f t="shared" si="20"/>
        <v>881</v>
      </c>
      <c r="AU13" s="257">
        <f t="shared" si="21"/>
        <v>1.9536921700000001</v>
      </c>
      <c r="AV13" s="257">
        <f t="shared" si="22"/>
        <v>791</v>
      </c>
      <c r="AW13" s="257">
        <f t="shared" si="23"/>
        <v>738.53256590700005</v>
      </c>
      <c r="AX13" s="257">
        <f t="shared" si="24"/>
        <v>1.309975721</v>
      </c>
      <c r="AY13" s="257">
        <f t="shared" si="25"/>
        <v>2850</v>
      </c>
      <c r="AZ13" s="257">
        <f t="shared" si="26"/>
        <v>2991.5325659069999</v>
      </c>
      <c r="BA13" s="257">
        <f t="shared" si="27"/>
        <v>7.0551203143999999</v>
      </c>
      <c r="BB13" s="257">
        <f t="shared" si="28"/>
        <v>1.0496605494410527</v>
      </c>
      <c r="BD13" s="23">
        <f t="shared" si="8"/>
        <v>1357</v>
      </c>
      <c r="BE13" s="23">
        <f t="shared" si="9"/>
        <v>1372</v>
      </c>
      <c r="BF13" s="466">
        <f t="shared" si="29"/>
        <v>1.0110537951363301</v>
      </c>
      <c r="BG13" s="509">
        <f t="shared" si="11"/>
        <v>3.7914524234</v>
      </c>
      <c r="BH13" s="466">
        <f t="shared" si="12"/>
        <v>0.48140350877192983</v>
      </c>
    </row>
    <row r="14" spans="1:60" ht="12.6" customHeight="1">
      <c r="A14" s="254" t="s">
        <v>49</v>
      </c>
      <c r="B14" s="510">
        <f t="shared" si="0"/>
        <v>1200</v>
      </c>
      <c r="C14" s="23">
        <f>Domestic!D14+Europe!D14+'Asia-Pacific'!D14+'Rest of world'!D14+'North America'!D14+'Latin America'!D14</f>
        <v>0</v>
      </c>
      <c r="D14" s="23">
        <f>Domestic!E14+Europe!E14+'Asia-Pacific'!E14+'Rest of world'!E14+'North America'!E14+'Latin America'!E14</f>
        <v>0</v>
      </c>
      <c r="E14" s="257">
        <f>Domestic!G14+Europe!G14+'Asia-Pacific'!G14+'Rest of world'!G14+'North America'!G14+'Latin America'!G14</f>
        <v>0</v>
      </c>
      <c r="F14" s="23">
        <f>Domestic!H14+Europe!H14+'Asia-Pacific'!H14+'Rest of world'!H14+'North America'!H14+'Latin America'!H14</f>
        <v>0</v>
      </c>
      <c r="G14" s="23">
        <f>Domestic!I14+Europe!I14+'Asia-Pacific'!I14+'Rest of world'!I14+'North America'!I14+'Latin America'!I14</f>
        <v>0</v>
      </c>
      <c r="H14" s="257">
        <f>Domestic!K14+Europe!K14+'Asia-Pacific'!K14+'Rest of world'!K14+'North America'!K14+'Latin America'!K14</f>
        <v>0</v>
      </c>
      <c r="I14" s="23">
        <f>Domestic!L14+Europe!L14+'Asia-Pacific'!L14+'Rest of world'!L14+'North America'!L14+'Latin America'!L14</f>
        <v>0</v>
      </c>
      <c r="J14" s="23">
        <f>Domestic!M14+Europe!M14+'Asia-Pacific'!M14+'Rest of world'!M14+'North America'!M14+'Latin America'!M14</f>
        <v>22</v>
      </c>
      <c r="K14" s="257">
        <f>Domestic!O14+Europe!O14+'Asia-Pacific'!O14+'Rest of world'!O14+'North America'!O14+'Latin America'!O14</f>
        <v>5.0073812799999992E-2</v>
      </c>
      <c r="L14" s="23">
        <f>Domestic!P14+Europe!P14+'Asia-Pacific'!P14+'Rest of world'!P14+'North America'!P14+'Latin America'!P14</f>
        <v>0</v>
      </c>
      <c r="M14" s="23">
        <f>Domestic!Q14+Europe!Q14+'Asia-Pacific'!Q14+'Rest of world'!Q14+'North America'!Q14+'Latin America'!Q14</f>
        <v>0</v>
      </c>
      <c r="N14" s="509">
        <f>Domestic!S14+Europe!S14+'Asia-Pacific'!S14+'Rest of world'!S14+'North America'!S14+'Latin America'!S14</f>
        <v>0</v>
      </c>
      <c r="O14" s="23">
        <f>Domestic!T14+Europe!T14+'Asia-Pacific'!T14+'Rest of world'!T14+'North America'!T14+'Latin America'!T14</f>
        <v>100</v>
      </c>
      <c r="P14" s="23">
        <f>Domestic!U14+Europe!U14+'Asia-Pacific'!U14+'Rest of world'!U14+'North America'!U14+'Latin America'!U14</f>
        <v>20</v>
      </c>
      <c r="Q14" s="510">
        <f>Domestic!W14+'North America'!W14+Europe!W14+'Asia-Pacific'!W14+'Rest of world'!W14+'Latin America'!W14</f>
        <v>0.15567918</v>
      </c>
      <c r="R14" s="23">
        <f>Domestic!X14+Europe!X14+'Asia-Pacific'!X14+'Rest of world'!X14+'North America'!X14+'Latin America'!X14</f>
        <v>100</v>
      </c>
      <c r="S14" s="23">
        <f>Domestic!Y14+Europe!Y14+'Asia-Pacific'!Y14+'Rest of world'!Y14+'North America'!Y14+'Latin America'!Y14</f>
        <v>0</v>
      </c>
      <c r="T14" s="510">
        <f>Domestic!AA14+Europe!AA14+'Asia-Pacific'!AA14+'Rest of world'!AA14+'North America'!AA14+'Latin America'!AA14</f>
        <v>0</v>
      </c>
      <c r="U14" s="23">
        <f>Domestic!AB14+Europe!AB14+'Asia-Pacific'!AB14+'Rest of world'!AB14+'North America'!AB14+'Latin America'!AB14</f>
        <v>100</v>
      </c>
      <c r="V14" s="23">
        <f>Domestic!AC14+Europe!AC14+'Asia-Pacific'!AC14+'Rest of world'!AC14+'North America'!AC14+'Latin America'!AC14</f>
        <v>0</v>
      </c>
      <c r="W14" s="510">
        <f>Domestic!AE14+Europe!AE14+'Asia-Pacific'!AE14+'Rest of world'!AE14+'North America'!AE14+'Latin America'!AE14</f>
        <v>0</v>
      </c>
      <c r="X14" s="23">
        <f>Domestic!AF14+Europe!AF14+'Asia-Pacific'!AF14+'Rest of world'!AF14+'North America'!AF14+'Latin America'!AF14</f>
        <v>100</v>
      </c>
      <c r="Y14" s="23">
        <f>Domestic!AG14+Europe!AG14+'Asia-Pacific'!AG14+'Rest of world'!AG14+'North America'!AG14+'Latin America'!AG14</f>
        <v>0</v>
      </c>
      <c r="Z14" s="510">
        <f>Domestic!AI14+Europe!AI14+'Asia-Pacific'!AI14+'Rest of world'!AI14+'North America'!AI14+'Latin America'!AI14</f>
        <v>0</v>
      </c>
      <c r="AA14" s="23">
        <f>Domestic!AJ14+Europe!AJ14+'Asia-Pacific'!AJ14+'Rest of world'!AJ14+'North America'!AJ14+'Latin America'!AJ14</f>
        <v>200</v>
      </c>
      <c r="AB14" s="23">
        <f>Domestic!AK14+Europe!AK14+'Asia-Pacific'!AK14+'Rest of world'!AK14+'North America'!AK14+'Latin America'!AK14</f>
        <v>0</v>
      </c>
      <c r="AC14" s="510">
        <f>Domestic!AM14+Europe!AM14+'Asia-Pacific'!AM14+'Rest of world'!AM14+'North America'!AM14+'Latin America'!AM14</f>
        <v>0</v>
      </c>
      <c r="AD14" s="23">
        <f>Domestic!AN14+Europe!AN14+'Asia-Pacific'!AN14+'Rest of world'!AN14+'North America'!AN14+'Latin America'!AN14</f>
        <v>200</v>
      </c>
      <c r="AE14" s="23">
        <f>Domestic!AO14+Europe!AO14+'Asia-Pacific'!AO14+'Rest of world'!AO14+'North America'!AO14+'Latin America'!AO14</f>
        <v>0</v>
      </c>
      <c r="AF14" s="510">
        <f>Domestic!AQ14+Europe!AQ14+'Asia-Pacific'!AQ14+'Rest of world'!AQ14+'North America'!AQ14+'Latin America'!AQ14</f>
        <v>0</v>
      </c>
      <c r="AG14" s="23">
        <f>Domestic!AR14+Europe!AR14+'Asia-Pacific'!AR14+'Rest of world'!AR14+'North America'!AR14+'Latin America'!AR14</f>
        <v>200</v>
      </c>
      <c r="AH14" s="23">
        <f>Domestic!AS14+Europe!AS14+'Asia-Pacific'!AS14+'Rest of world'!AS14+'North America'!AS14+'Latin America'!AS14</f>
        <v>0</v>
      </c>
      <c r="AI14" s="510">
        <f>Domestic!AU14+Europe!AU14+'Asia-Pacific'!AU14+'Rest of world'!AU14+'North America'!AU14+'Latin America'!AU14</f>
        <v>0</v>
      </c>
      <c r="AJ14" s="23">
        <f>Domestic!AV14+Europe!AV14+'Asia-Pacific'!AV14+'Rest of world'!AV14+'North America'!AV14+'Latin America'!AV14</f>
        <v>200</v>
      </c>
      <c r="AK14" s="23">
        <f>Domestic!AQ14+Europe!AQ14+'Asia-Pacific'!AQ14+'Rest of world'!AQ14+'North America'!AQ14+'Latin America'!AQ14</f>
        <v>0</v>
      </c>
      <c r="AL14" s="510">
        <f>Domestic!AY14+Europe!AY14+'Asia-Pacific'!AY14+'Rest of world'!AY14+'North America'!AY14+'Latin America'!AY14</f>
        <v>0</v>
      </c>
      <c r="AM14" s="257">
        <f t="shared" si="13"/>
        <v>0</v>
      </c>
      <c r="AN14" s="257">
        <f t="shared" si="14"/>
        <v>22</v>
      </c>
      <c r="AO14" s="257">
        <f t="shared" si="15"/>
        <v>5.0073812799999992E-2</v>
      </c>
      <c r="AP14" s="257">
        <f t="shared" si="16"/>
        <v>200</v>
      </c>
      <c r="AQ14" s="257">
        <f t="shared" si="17"/>
        <v>20</v>
      </c>
      <c r="AR14" s="257">
        <f t="shared" si="18"/>
        <v>0.15567918</v>
      </c>
      <c r="AS14" s="257">
        <f t="shared" si="19"/>
        <v>400</v>
      </c>
      <c r="AT14" s="257">
        <f t="shared" si="20"/>
        <v>0</v>
      </c>
      <c r="AU14" s="257">
        <f t="shared" si="21"/>
        <v>0</v>
      </c>
      <c r="AV14" s="257">
        <f t="shared" si="22"/>
        <v>600</v>
      </c>
      <c r="AW14" s="257">
        <f t="shared" si="23"/>
        <v>0</v>
      </c>
      <c r="AX14" s="257">
        <f t="shared" si="24"/>
        <v>0</v>
      </c>
      <c r="AY14" s="257">
        <f t="shared" si="25"/>
        <v>1200</v>
      </c>
      <c r="AZ14" s="257">
        <f t="shared" si="26"/>
        <v>42</v>
      </c>
      <c r="BA14" s="257">
        <f t="shared" si="27"/>
        <v>0.20575299279999998</v>
      </c>
      <c r="BB14" s="257">
        <f t="shared" si="28"/>
        <v>3.5000000000000003E-2</v>
      </c>
      <c r="BD14" s="23">
        <f t="shared" si="8"/>
        <v>200</v>
      </c>
      <c r="BE14" s="23">
        <f t="shared" si="9"/>
        <v>42</v>
      </c>
      <c r="BF14" s="466">
        <f t="shared" si="29"/>
        <v>0.21</v>
      </c>
      <c r="BG14" s="509">
        <f t="shared" si="11"/>
        <v>0.20575299279999998</v>
      </c>
      <c r="BH14" s="466">
        <f t="shared" si="12"/>
        <v>3.5000000000000003E-2</v>
      </c>
    </row>
    <row r="15" spans="1:60" ht="12.6" customHeight="1">
      <c r="A15" s="254" t="s">
        <v>47</v>
      </c>
      <c r="B15" s="510">
        <f t="shared" si="0"/>
        <v>4373</v>
      </c>
      <c r="C15" s="23">
        <f>Domestic!D15+Europe!D15+'Asia-Pacific'!D15+'Rest of world'!D15+'North America'!D15+'Latin America'!D15</f>
        <v>387</v>
      </c>
      <c r="D15" s="23">
        <f>Domestic!E15+Europe!E15+'Asia-Pacific'!E15+'Rest of world'!E15+'North America'!E15+'Latin America'!E15</f>
        <v>561</v>
      </c>
      <c r="E15" s="257">
        <f>Domestic!G15+Europe!G15+'Asia-Pacific'!G15+'Rest of world'!G15+'North America'!G15+'Latin America'!G15</f>
        <v>4.2244018096999998</v>
      </c>
      <c r="F15" s="23">
        <f>Domestic!H15+Europe!H15+'Asia-Pacific'!H15+'Rest of world'!H15+'North America'!H15+'Latin America'!H15</f>
        <v>326</v>
      </c>
      <c r="G15" s="23">
        <f>Domestic!I15+Europe!I15+'Asia-Pacific'!I15+'Rest of world'!I15+'North America'!I15+'Latin America'!I15</f>
        <v>399</v>
      </c>
      <c r="H15" s="257">
        <f>Domestic!K15+Europe!K15+'Asia-Pacific'!K15+'Rest of world'!K15+'North America'!K15+'Latin America'!K15</f>
        <v>3.1579191532000004</v>
      </c>
      <c r="I15" s="23">
        <f>Domestic!L15+Europe!L15+'Asia-Pacific'!L15+'Rest of world'!L15+'North America'!L15+'Latin America'!L15</f>
        <v>393</v>
      </c>
      <c r="J15" s="23">
        <f>Domestic!M15+Europe!M15+'Asia-Pacific'!M15+'Rest of world'!M15+'North America'!M15+'Latin America'!M15</f>
        <v>369</v>
      </c>
      <c r="K15" s="257">
        <f>Domestic!O15+Europe!O15+'Asia-Pacific'!O15+'Rest of world'!O15+'North America'!O15+'Latin America'!O15</f>
        <v>3.1510614912000006</v>
      </c>
      <c r="L15" s="23">
        <f>Domestic!P15+Europe!P15+'Asia-Pacific'!P15+'Rest of world'!P15+'North America'!P15+'Latin America'!P15</f>
        <v>315</v>
      </c>
      <c r="M15" s="23">
        <f>Domestic!Q15+Europe!Q15+'Asia-Pacific'!Q15+'Rest of world'!Q15+'North America'!Q15+'Latin America'!Q15</f>
        <v>273</v>
      </c>
      <c r="N15" s="509">
        <f>Domestic!S15+Europe!S15+'Asia-Pacific'!S15+'Rest of world'!S15+'North America'!S15+'Latin America'!S15</f>
        <v>2.3466291867680362</v>
      </c>
      <c r="O15" s="23">
        <f>Domestic!T15+Europe!T15+'Asia-Pacific'!T15+'Rest of world'!T15+'North America'!T15+'Latin America'!T15</f>
        <v>352</v>
      </c>
      <c r="P15" s="23">
        <f>Domestic!U15+Europe!U15+'Asia-Pacific'!U15+'Rest of world'!U15+'North America'!U15+'Latin America'!U15</f>
        <v>265</v>
      </c>
      <c r="Q15" s="510">
        <f>Domestic!W15+'North America'!W15+Europe!W15+'Asia-Pacific'!W15+'Rest of world'!W15+'Latin America'!W15</f>
        <v>2.1327478755000002</v>
      </c>
      <c r="R15" s="23">
        <f>Domestic!X15+Europe!X15+'Asia-Pacific'!X15+'Rest of world'!X15+'North America'!X15+'Latin America'!X15</f>
        <v>385</v>
      </c>
      <c r="S15" s="23">
        <f>Domestic!Y15+Europe!Y15+'Asia-Pacific'!Y15+'Rest of world'!Y15+'North America'!Y15+'Latin America'!Y15</f>
        <v>682</v>
      </c>
      <c r="T15" s="510">
        <f>Domestic!AA15+Europe!AA15+'Asia-Pacific'!AA15+'Rest of world'!AA15+'North America'!AA15+'Latin America'!AA15</f>
        <v>5.3369544808000002</v>
      </c>
      <c r="U15" s="23">
        <f>Domestic!AB15+Europe!AB15+'Asia-Pacific'!AB15+'Rest of world'!AB15+'North America'!AB15+'Latin America'!AB15</f>
        <v>370</v>
      </c>
      <c r="V15" s="23">
        <f>Domestic!AC15+Europe!AC15+'Asia-Pacific'!AC15+'Rest of world'!AC15+'North America'!AC15+'Latin America'!AC15</f>
        <v>518</v>
      </c>
      <c r="W15" s="510">
        <f>Domestic!AE15+Europe!AE15+'Asia-Pacific'!AE15+'Rest of world'!AE15+'North America'!AE15+'Latin America'!AE15</f>
        <v>4.7616773156989654</v>
      </c>
      <c r="X15" s="23">
        <f>Domestic!AF15+Europe!AF15+'Asia-Pacific'!AF15+'Rest of world'!AF15+'North America'!AF15+'Latin America'!AF15</f>
        <v>326</v>
      </c>
      <c r="Y15" s="23">
        <f>Domestic!AG15+Europe!AG15+'Asia-Pacific'!AG15+'Rest of world'!AG15+'North America'!AG15+'Latin America'!AG15</f>
        <v>219</v>
      </c>
      <c r="Z15" s="510">
        <f>Domestic!AI15+Europe!AI15+'Asia-Pacific'!AI15+'Rest of world'!AI15+'North America'!AI15+'Latin America'!AI15</f>
        <v>2.0230468841160172</v>
      </c>
      <c r="AA15" s="23">
        <f>Domestic!AJ15+Europe!AJ15+'Asia-Pacific'!AJ15+'Rest of world'!AJ15+'North America'!AJ15+'Latin America'!AJ15</f>
        <v>410</v>
      </c>
      <c r="AB15" s="23">
        <f>Domestic!AK15+Europe!AK15+'Asia-Pacific'!AK15+'Rest of world'!AK15+'North America'!AK15+'Latin America'!AK15</f>
        <v>440</v>
      </c>
      <c r="AC15" s="510">
        <f>Domestic!AM15+Europe!AM15+'Asia-Pacific'!AM15+'Rest of world'!AM15+'North America'!AM15+'Latin America'!AM15</f>
        <v>4.0819845184203949</v>
      </c>
      <c r="AD15" s="23">
        <f>Domestic!AN15+Europe!AN15+'Asia-Pacific'!AN15+'Rest of world'!AN15+'North America'!AN15+'Latin America'!AN15</f>
        <v>362</v>
      </c>
      <c r="AE15" s="23">
        <f>Domestic!AO15+Europe!AO15+'Asia-Pacific'!AO15+'Rest of world'!AO15+'North America'!AO15+'Latin America'!AO15</f>
        <v>699</v>
      </c>
      <c r="AF15" s="510">
        <f>Domestic!AQ15+Europe!AQ15+'Asia-Pacific'!AQ15+'Rest of world'!AQ15+'North America'!AQ15+'Latin America'!AQ15</f>
        <v>6.5542215058617046</v>
      </c>
      <c r="AG15" s="23">
        <f>Domestic!AR15+Europe!AR15+'Asia-Pacific'!AR15+'Rest of world'!AR15+'North America'!AR15+'Latin America'!AR15</f>
        <v>359</v>
      </c>
      <c r="AH15" s="23">
        <f>Domestic!AS15+Europe!AS15+'Asia-Pacific'!AS15+'Rest of world'!AS15+'North America'!AS15+'Latin America'!AS15</f>
        <v>191</v>
      </c>
      <c r="AI15" s="510">
        <f>Domestic!AU15+Europe!AU15+'Asia-Pacific'!AU15+'Rest of world'!AU15+'North America'!AU15+'Latin America'!AU15</f>
        <v>1.8272688368707155</v>
      </c>
      <c r="AJ15" s="23">
        <f>Domestic!AV15+Europe!AV15+'Asia-Pacific'!AV15+'Rest of world'!AV15+'North America'!AV15+'Latin America'!AV15</f>
        <v>388</v>
      </c>
      <c r="AK15" s="23">
        <f>Domestic!AQ15+Europe!AQ15+'Asia-Pacific'!AQ15+'Rest of world'!AQ15+'North America'!AQ15+'Latin America'!AQ15</f>
        <v>6.5542215058617046</v>
      </c>
      <c r="AL15" s="510">
        <f>Domestic!AY15+Europe!AY15+'Asia-Pacific'!AY15+'Rest of world'!AY15+'North America'!AY15+'Latin America'!AY15</f>
        <v>0</v>
      </c>
      <c r="AM15" s="257">
        <f t="shared" si="13"/>
        <v>1106</v>
      </c>
      <c r="AN15" s="257">
        <f t="shared" si="14"/>
        <v>1329</v>
      </c>
      <c r="AO15" s="257">
        <f t="shared" si="15"/>
        <v>10.5333824541</v>
      </c>
      <c r="AP15" s="257">
        <f t="shared" si="16"/>
        <v>1052</v>
      </c>
      <c r="AQ15" s="257">
        <f t="shared" si="17"/>
        <v>1220</v>
      </c>
      <c r="AR15" s="257">
        <f t="shared" si="18"/>
        <v>9.8163315430680367</v>
      </c>
      <c r="AS15" s="257">
        <f t="shared" si="19"/>
        <v>1106</v>
      </c>
      <c r="AT15" s="257">
        <f t="shared" si="20"/>
        <v>1177</v>
      </c>
      <c r="AU15" s="257">
        <f t="shared" si="21"/>
        <v>10.866708718235378</v>
      </c>
      <c r="AV15" s="257">
        <f t="shared" si="22"/>
        <v>1109</v>
      </c>
      <c r="AW15" s="257">
        <f t="shared" si="23"/>
        <v>896.55422150586173</v>
      </c>
      <c r="AX15" s="257">
        <f t="shared" si="24"/>
        <v>8.3814903427324197</v>
      </c>
      <c r="AY15" s="257">
        <f t="shared" si="25"/>
        <v>4373</v>
      </c>
      <c r="AZ15" s="257">
        <f t="shared" si="26"/>
        <v>4622.5542215058613</v>
      </c>
      <c r="BA15" s="257">
        <f t="shared" si="27"/>
        <v>39.597913058135838</v>
      </c>
      <c r="BB15" s="257">
        <f t="shared" si="28"/>
        <v>1.0570670527111505</v>
      </c>
      <c r="BD15" s="23">
        <f t="shared" si="8"/>
        <v>2158</v>
      </c>
      <c r="BE15" s="23">
        <f t="shared" si="9"/>
        <v>2549</v>
      </c>
      <c r="BF15" s="466">
        <f t="shared" si="29"/>
        <v>1.1811862835959221</v>
      </c>
      <c r="BG15" s="509">
        <f t="shared" si="11"/>
        <v>20.349713997168035</v>
      </c>
      <c r="BH15" s="466">
        <f t="shared" si="12"/>
        <v>0.58289503773153439</v>
      </c>
    </row>
    <row r="16" spans="1:60" ht="12.6" customHeight="1">
      <c r="A16" s="254" t="s">
        <v>51</v>
      </c>
      <c r="B16" s="510">
        <f t="shared" si="0"/>
        <v>5607</v>
      </c>
      <c r="C16" s="23">
        <f>Domestic!D16+Europe!D16+'Asia-Pacific'!D16+'Rest of world'!D16+'North America'!D16+'Latin America'!D16</f>
        <v>75</v>
      </c>
      <c r="D16" s="23">
        <f>Domestic!E16+Europe!E16+'Asia-Pacific'!E16+'Rest of world'!E16+'North America'!E16+'Latin America'!E16</f>
        <v>18</v>
      </c>
      <c r="E16" s="257">
        <f>Domestic!G16+Europe!G16+'Asia-Pacific'!G16+'Rest of world'!G16+'North America'!G16+'Latin America'!G16</f>
        <v>0.16711156230000002</v>
      </c>
      <c r="F16" s="23">
        <f>Domestic!H16+Europe!H16+'Asia-Pacific'!H16+'Rest of world'!H16+'North America'!H16+'Latin America'!H16</f>
        <v>342</v>
      </c>
      <c r="G16" s="23">
        <f>Domestic!I16+Europe!I16+'Asia-Pacific'!I16+'Rest of world'!I16+'North America'!I16+'Latin America'!I16</f>
        <v>1</v>
      </c>
      <c r="H16" s="257">
        <f>Domestic!K16+Europe!K16+'Asia-Pacific'!K16+'Rest of world'!K16+'North America'!K16+'Latin America'!K16</f>
        <v>3.4592469999999999E-3</v>
      </c>
      <c r="I16" s="23">
        <f>Domestic!L16+Europe!L16+'Asia-Pacific'!L16+'Rest of world'!L16+'North America'!L16+'Latin America'!L16</f>
        <v>510</v>
      </c>
      <c r="J16" s="23">
        <f>Domestic!M16+Europe!M16+'Asia-Pacific'!M16+'Rest of world'!M16+'North America'!M16+'Latin America'!M16</f>
        <v>126</v>
      </c>
      <c r="K16" s="257">
        <f>Domestic!O16+Europe!O16+'Asia-Pacific'!O16+'Rest of world'!O16+'North America'!O16+'Latin America'!O16</f>
        <v>6.9527824800000082E-2</v>
      </c>
      <c r="L16" s="23">
        <f>Domestic!P16+Europe!P16+'Asia-Pacific'!P16+'Rest of world'!P16+'North America'!P16+'Latin America'!P16</f>
        <v>510</v>
      </c>
      <c r="M16" s="23">
        <f>Domestic!Q16+Europe!Q16+'Asia-Pacific'!Q16+'Rest of world'!Q16+'North America'!Q16+'Latin America'!Q16</f>
        <v>65</v>
      </c>
      <c r="N16" s="509">
        <f>Domestic!S16+Europe!S16+'Asia-Pacific'!S16+'Rest of world'!S16+'North America'!S16+'Latin America'!S16</f>
        <v>5.2838992000000001E-2</v>
      </c>
      <c r="O16" s="23">
        <f>Domestic!T16+Europe!T16+'Asia-Pacific'!T16+'Rest of world'!T16+'North America'!T16+'Latin America'!T16</f>
        <v>540</v>
      </c>
      <c r="P16" s="23">
        <f>Domestic!U16+Europe!U16+'Asia-Pacific'!U16+'Rest of world'!U16+'North America'!U16+'Latin America'!U16</f>
        <v>557</v>
      </c>
      <c r="Q16" s="510">
        <f>Domestic!W16+'North America'!W16+Europe!W16+'Asia-Pacific'!W16+'Rest of world'!W16+'Latin America'!W16</f>
        <v>5.0740369230000004</v>
      </c>
      <c r="R16" s="23">
        <f>Domestic!X16+Europe!X16+'Asia-Pacific'!X16+'Rest of world'!X16+'North America'!X16+'Latin America'!X16</f>
        <v>505</v>
      </c>
      <c r="S16" s="23">
        <f>Domestic!Y16+Europe!Y16+'Asia-Pacific'!Y16+'Rest of world'!Y16+'North America'!Y16+'Latin America'!Y16</f>
        <v>119</v>
      </c>
      <c r="T16" s="510">
        <f>Domestic!AA16+Europe!AA16+'Asia-Pacific'!AA16+'Rest of world'!AA16+'North America'!AA16+'Latin America'!AA16</f>
        <v>1.1499306569999999</v>
      </c>
      <c r="U16" s="23">
        <f>Domestic!AB16+Europe!AB16+'Asia-Pacific'!AB16+'Rest of world'!AB16+'North America'!AB16+'Latin America'!AB16</f>
        <v>520</v>
      </c>
      <c r="V16" s="23">
        <f>Domestic!AC16+Europe!AC16+'Asia-Pacific'!AC16+'Rest of world'!AC16+'North America'!AC16+'Latin America'!AC16</f>
        <v>64</v>
      </c>
      <c r="W16" s="510">
        <f>Domestic!AE16+Europe!AE16+'Asia-Pacific'!AE16+'Rest of world'!AE16+'North America'!AE16+'Latin America'!AE16</f>
        <v>0.62359256603941315</v>
      </c>
      <c r="X16" s="23">
        <f>Domestic!AF16+Europe!AF16+'Asia-Pacific'!AF16+'Rest of world'!AF16+'North America'!AF16+'Latin America'!AF16</f>
        <v>540</v>
      </c>
      <c r="Y16" s="23">
        <f>Domestic!AG16+Europe!AG16+'Asia-Pacific'!AG16+'Rest of world'!AG16+'North America'!AG16+'Latin America'!AG16</f>
        <v>60</v>
      </c>
      <c r="Z16" s="510">
        <f>Domestic!AI16+Europe!AI16+'Asia-Pacific'!AI16+'Rest of world'!AI16+'North America'!AI16+'Latin America'!AI16</f>
        <v>0.59459587199999997</v>
      </c>
      <c r="AA16" s="23">
        <f>Domestic!AJ16+Europe!AJ16+'Asia-Pacific'!AJ16+'Rest of world'!AJ16+'North America'!AJ16+'Latin America'!AJ16</f>
        <v>505</v>
      </c>
      <c r="AB16" s="23">
        <f>Domestic!AK16+Europe!AK16+'Asia-Pacific'!AK16+'Rest of world'!AK16+'North America'!AK16+'Latin America'!AK16</f>
        <v>66</v>
      </c>
      <c r="AC16" s="510">
        <f>Domestic!AM16+Europe!AM16+'Asia-Pacific'!AM16+'Rest of world'!AM16+'North America'!AM16+'Latin America'!AM16</f>
        <v>0.66328902658869482</v>
      </c>
      <c r="AD16" s="23">
        <f>Domestic!AN16+Europe!AN16+'Asia-Pacific'!AN16+'Rest of world'!AN16+'North America'!AN16+'Latin America'!AN16</f>
        <v>520</v>
      </c>
      <c r="AE16" s="23">
        <f>Domestic!AO16+Europe!AO16+'Asia-Pacific'!AO16+'Rest of world'!AO16+'North America'!AO16+'Latin America'!AO16</f>
        <v>58</v>
      </c>
      <c r="AF16" s="510">
        <f>Domestic!AQ16+Europe!AQ16+'Asia-Pacific'!AQ16+'Rest of world'!AQ16+'North America'!AQ16+'Latin America'!AQ16</f>
        <v>0.58799544518986913</v>
      </c>
      <c r="AG16" s="23">
        <f>Domestic!AR16+Europe!AR16+'Asia-Pacific'!AR16+'Rest of world'!AR16+'North America'!AR16+'Latin America'!AR16</f>
        <v>550</v>
      </c>
      <c r="AH16" s="23">
        <f>Domestic!AS16+Europe!AS16+'Asia-Pacific'!AS16+'Rest of world'!AS16+'North America'!AS16+'Latin America'!AS16</f>
        <v>112</v>
      </c>
      <c r="AI16" s="510">
        <f>Domestic!AU16+Europe!AU16+'Asia-Pacific'!AU16+'Rest of world'!AU16+'North America'!AU16+'Latin America'!AU16</f>
        <v>1.1295465535403582</v>
      </c>
      <c r="AJ16" s="23">
        <f>Domestic!AV16+Europe!AV16+'Asia-Pacific'!AV16+'Rest of world'!AV16+'North America'!AV16+'Latin America'!AV16</f>
        <v>490</v>
      </c>
      <c r="AK16" s="23">
        <f>Domestic!AQ16+Europe!AQ16+'Asia-Pacific'!AQ16+'Rest of world'!AQ16+'North America'!AQ16+'Latin America'!AQ16</f>
        <v>0.58799544518986913</v>
      </c>
      <c r="AL16" s="510">
        <f>Domestic!AY16+Europe!AY16+'Asia-Pacific'!AY16+'Rest of world'!AY16+'North America'!AY16+'Latin America'!AY16</f>
        <v>0</v>
      </c>
      <c r="AM16" s="257">
        <f t="shared" si="13"/>
        <v>927</v>
      </c>
      <c r="AN16" s="257">
        <f t="shared" si="14"/>
        <v>145</v>
      </c>
      <c r="AO16" s="257">
        <f t="shared" si="15"/>
        <v>0.2400986341000001</v>
      </c>
      <c r="AP16" s="257">
        <f t="shared" si="16"/>
        <v>1555</v>
      </c>
      <c r="AQ16" s="257">
        <f t="shared" si="17"/>
        <v>741</v>
      </c>
      <c r="AR16" s="257">
        <f t="shared" si="18"/>
        <v>6.2768065719999999</v>
      </c>
      <c r="AS16" s="257">
        <f t="shared" si="19"/>
        <v>1565</v>
      </c>
      <c r="AT16" s="257">
        <f t="shared" si="20"/>
        <v>190</v>
      </c>
      <c r="AU16" s="257">
        <f t="shared" si="21"/>
        <v>1.8814774646281081</v>
      </c>
      <c r="AV16" s="257">
        <f t="shared" si="22"/>
        <v>1560</v>
      </c>
      <c r="AW16" s="257">
        <f t="shared" si="23"/>
        <v>170.58799544518988</v>
      </c>
      <c r="AX16" s="257">
        <f t="shared" si="24"/>
        <v>1.7175419987302272</v>
      </c>
      <c r="AY16" s="257">
        <f t="shared" si="25"/>
        <v>5607</v>
      </c>
      <c r="AZ16" s="257">
        <f t="shared" si="26"/>
        <v>1246.5879954451898</v>
      </c>
      <c r="BA16" s="257">
        <f t="shared" si="27"/>
        <v>10.115924669458334</v>
      </c>
      <c r="BB16" s="257">
        <f t="shared" si="28"/>
        <v>0.22232709032373638</v>
      </c>
      <c r="BD16" s="23">
        <f t="shared" si="8"/>
        <v>2482</v>
      </c>
      <c r="BE16" s="23">
        <f t="shared" si="9"/>
        <v>886</v>
      </c>
      <c r="BF16" s="466">
        <f t="shared" si="29"/>
        <v>0.35697018533440772</v>
      </c>
      <c r="BG16" s="509">
        <f t="shared" si="11"/>
        <v>6.5169052060999997</v>
      </c>
      <c r="BH16" s="466">
        <f t="shared" si="12"/>
        <v>0.15801676475833779</v>
      </c>
    </row>
    <row r="17" spans="1:60" ht="12.6" customHeight="1">
      <c r="A17" s="254" t="s">
        <v>54</v>
      </c>
      <c r="B17" s="510">
        <f t="shared" si="0"/>
        <v>1310</v>
      </c>
      <c r="C17" s="23">
        <f>Domestic!D17+Europe!D17+'Asia-Pacific'!D17+'Rest of world'!D17+'North America'!D17+'Latin America'!D17</f>
        <v>122</v>
      </c>
      <c r="D17" s="23">
        <f>Domestic!E17+Europe!E17+'Asia-Pacific'!E17+'Rest of world'!E17+'North America'!E17+'Latin America'!E17</f>
        <v>10</v>
      </c>
      <c r="E17" s="257">
        <f>Domestic!G17+Europe!G17+'Asia-Pacific'!G17+'Rest of world'!G17+'North America'!G17+'Latin America'!G17</f>
        <v>8.7930504199999995E-2</v>
      </c>
      <c r="F17" s="23">
        <f>Domestic!H17+Europe!H17+'Asia-Pacific'!H17+'Rest of world'!H17+'North America'!H17+'Latin America'!H17</f>
        <v>120</v>
      </c>
      <c r="G17" s="23">
        <f>Domestic!I17+Europe!I17+'Asia-Pacific'!I17+'Rest of world'!I17+'North America'!I17+'Latin America'!I17</f>
        <v>168</v>
      </c>
      <c r="H17" s="257">
        <f>Domestic!K17+Europe!K17+'Asia-Pacific'!K17+'Rest of world'!K17+'North America'!K17+'Latin America'!K17</f>
        <v>1.3812699670000002</v>
      </c>
      <c r="I17" s="23">
        <f>Domestic!L17+Europe!L17+'Asia-Pacific'!L17+'Rest of world'!L17+'North America'!L17+'Latin America'!L17</f>
        <v>179</v>
      </c>
      <c r="J17" s="23">
        <f>Domestic!M17+Europe!M17+'Asia-Pacific'!M17+'Rest of world'!M17+'North America'!M17+'Latin America'!M17</f>
        <v>123</v>
      </c>
      <c r="K17" s="257">
        <f>Domestic!O17+Europe!O17+'Asia-Pacific'!O17+'Rest of world'!O17+'North America'!O17+'Latin America'!O17</f>
        <v>1.0194608728000001</v>
      </c>
      <c r="L17" s="23">
        <f>Domestic!P17+Europe!P17+'Asia-Pacific'!P17+'Rest of world'!P17+'North America'!P17+'Latin America'!P17</f>
        <v>110</v>
      </c>
      <c r="M17" s="23">
        <f>Domestic!Q17+Europe!Q17+'Asia-Pacific'!Q17+'Rest of world'!Q17+'North America'!Q17+'Latin America'!Q17</f>
        <v>111</v>
      </c>
      <c r="N17" s="509">
        <f>Domestic!S17+Europe!S17+'Asia-Pacific'!S17+'Rest of world'!S17+'North America'!S17+'Latin America'!S17</f>
        <v>0.86378100800000002</v>
      </c>
      <c r="O17" s="23">
        <f>Domestic!T17+Europe!T17+'Asia-Pacific'!T17+'Rest of world'!T17+'North America'!T17+'Latin America'!T17</f>
        <v>163</v>
      </c>
      <c r="P17" s="23">
        <f>Domestic!U17+Europe!U17+'Asia-Pacific'!U17+'Rest of world'!U17+'North America'!U17+'Latin America'!U17</f>
        <v>124</v>
      </c>
      <c r="Q17" s="510">
        <f>Domestic!W17+'North America'!W17+Europe!W17+'Asia-Pacific'!W17+'Rest of world'!W17+'Latin America'!W17</f>
        <v>0.97141532700000011</v>
      </c>
      <c r="R17" s="23">
        <f>Domestic!X17+Europe!X17+'Asia-Pacific'!X17+'Rest of world'!X17+'North America'!X17+'Latin America'!X17</f>
        <v>152</v>
      </c>
      <c r="S17" s="23">
        <f>Domestic!Y17+Europe!Y17+'Asia-Pacific'!Y17+'Rest of world'!Y17+'North America'!Y17+'Latin America'!Y17</f>
        <v>60</v>
      </c>
      <c r="T17" s="510">
        <f>Domestic!AA17+Europe!AA17+'Asia-Pacific'!AA17+'Rest of world'!AA17+'North America'!AA17+'Latin America'!AA17</f>
        <v>0.48959129699999998</v>
      </c>
      <c r="U17" s="23">
        <f>Domestic!AB17+Europe!AB17+'Asia-Pacific'!AB17+'Rest of world'!AB17+'North America'!AB17+'Latin America'!AB17</f>
        <v>134</v>
      </c>
      <c r="V17" s="23">
        <f>Domestic!AC17+Europe!AC17+'Asia-Pacific'!AC17+'Rest of world'!AC17+'North America'!AC17+'Latin America'!AC17</f>
        <v>153</v>
      </c>
      <c r="W17" s="510">
        <f>Domestic!AE17+Europe!AE17+'Asia-Pacific'!AE17+'Rest of world'!AE17+'North America'!AE17+'Latin America'!AE17</f>
        <v>1.0619812580000001</v>
      </c>
      <c r="X17" s="23">
        <f>Domestic!AF17+Europe!AF17+'Asia-Pacific'!AF17+'Rest of world'!AF17+'North America'!AF17+'Latin America'!AF17</f>
        <v>102</v>
      </c>
      <c r="Y17" s="23">
        <f>Domestic!AG17+Europe!AG17+'Asia-Pacific'!AG17+'Rest of world'!AG17+'North America'!AG17+'Latin America'!AG17</f>
        <v>58</v>
      </c>
      <c r="Z17" s="510">
        <f>Domestic!AI17+Europe!AI17+'Asia-Pacific'!AI17+'Rest of world'!AI17+'North America'!AI17+'Latin America'!AI17</f>
        <v>0.41404238599999993</v>
      </c>
      <c r="AA17" s="23">
        <f>Domestic!AJ17+Europe!AJ17+'Asia-Pacific'!AJ17+'Rest of world'!AJ17+'North America'!AJ17+'Latin America'!AJ17</f>
        <v>52</v>
      </c>
      <c r="AB17" s="23">
        <f>Domestic!AK17+Europe!AK17+'Asia-Pacific'!AK17+'Rest of world'!AK17+'North America'!AK17+'Latin America'!AK17</f>
        <v>55</v>
      </c>
      <c r="AC17" s="510">
        <f>Domestic!AM17+Europe!AM17+'Asia-Pacific'!AM17+'Rest of world'!AM17+'North America'!AM17+'Latin America'!AM17</f>
        <v>0.44772383899999996</v>
      </c>
      <c r="AD17" s="23">
        <f>Domestic!AN17+Europe!AN17+'Asia-Pacific'!AN17+'Rest of world'!AN17+'North America'!AN17+'Latin America'!AN17</f>
        <v>62</v>
      </c>
      <c r="AE17" s="23">
        <f>Domestic!AO17+Europe!AO17+'Asia-Pacific'!AO17+'Rest of world'!AO17+'North America'!AO17+'Latin America'!AO17</f>
        <v>248</v>
      </c>
      <c r="AF17" s="510">
        <f>Domestic!AQ17+Europe!AQ17+'Asia-Pacific'!AQ17+'Rest of world'!AQ17+'North America'!AQ17+'Latin America'!AQ17</f>
        <v>1.948513704</v>
      </c>
      <c r="AG17" s="23">
        <f>Domestic!AR17+Europe!AR17+'Asia-Pacific'!AR17+'Rest of world'!AR17+'North America'!AR17+'Latin America'!AR17</f>
        <v>72</v>
      </c>
      <c r="AH17" s="23">
        <f>Domestic!AS17+Europe!AS17+'Asia-Pacific'!AS17+'Rest of world'!AS17+'North America'!AS17+'Latin America'!AS17</f>
        <v>68</v>
      </c>
      <c r="AI17" s="510">
        <f>Domestic!AU17+Europe!AU17+'Asia-Pacific'!AU17+'Rest of world'!AU17+'North America'!AU17+'Latin America'!AU17</f>
        <v>0.49075443600000002</v>
      </c>
      <c r="AJ17" s="23">
        <f>Domestic!AV17+Europe!AV17+'Asia-Pacific'!AV17+'Rest of world'!AV17+'North America'!AV17+'Latin America'!AV17</f>
        <v>42</v>
      </c>
      <c r="AK17" s="23">
        <f>Domestic!AQ17+Europe!AQ17+'Asia-Pacific'!AQ17+'Rest of world'!AQ17+'North America'!AQ17+'Latin America'!AQ17</f>
        <v>1.948513704</v>
      </c>
      <c r="AL17" s="510">
        <f>Domestic!AY17+Europe!AY17+'Asia-Pacific'!AY17+'Rest of world'!AY17+'North America'!AY17+'Latin America'!AY17</f>
        <v>0</v>
      </c>
      <c r="AM17" s="257">
        <f t="shared" si="13"/>
        <v>421</v>
      </c>
      <c r="AN17" s="257">
        <f t="shared" si="14"/>
        <v>301</v>
      </c>
      <c r="AO17" s="257">
        <f t="shared" si="15"/>
        <v>2.4886613440000005</v>
      </c>
      <c r="AP17" s="257">
        <f t="shared" si="16"/>
        <v>425</v>
      </c>
      <c r="AQ17" s="257">
        <f t="shared" si="17"/>
        <v>295</v>
      </c>
      <c r="AR17" s="257">
        <f t="shared" si="18"/>
        <v>2.324787632</v>
      </c>
      <c r="AS17" s="257">
        <f t="shared" si="19"/>
        <v>288</v>
      </c>
      <c r="AT17" s="257">
        <f t="shared" si="20"/>
        <v>266</v>
      </c>
      <c r="AU17" s="257">
        <f t="shared" si="21"/>
        <v>1.9237474830000001</v>
      </c>
      <c r="AV17" s="257">
        <f t="shared" si="22"/>
        <v>176</v>
      </c>
      <c r="AW17" s="257">
        <f t="shared" si="23"/>
        <v>317.94851370399999</v>
      </c>
      <c r="AX17" s="257">
        <f t="shared" si="24"/>
        <v>2.4392681400000003</v>
      </c>
      <c r="AY17" s="257">
        <f t="shared" si="25"/>
        <v>1310</v>
      </c>
      <c r="AZ17" s="257">
        <f t="shared" si="26"/>
        <v>1179.9485137040001</v>
      </c>
      <c r="BA17" s="257">
        <f t="shared" si="27"/>
        <v>9.1764645989999991</v>
      </c>
      <c r="BB17" s="257">
        <f t="shared" si="28"/>
        <v>0.90072405626259555</v>
      </c>
      <c r="BD17" s="23">
        <f t="shared" si="8"/>
        <v>846</v>
      </c>
      <c r="BE17" s="23">
        <f t="shared" si="9"/>
        <v>596</v>
      </c>
      <c r="BF17" s="466">
        <f t="shared" si="29"/>
        <v>0.70449172576832153</v>
      </c>
      <c r="BG17" s="509">
        <f t="shared" si="11"/>
        <v>4.8134489760000001</v>
      </c>
      <c r="BH17" s="466">
        <f t="shared" si="12"/>
        <v>0.45496183206106872</v>
      </c>
    </row>
    <row r="18" spans="1:60" ht="12.6" customHeight="1">
      <c r="A18" s="254" t="s">
        <v>55</v>
      </c>
      <c r="B18" s="510">
        <f t="shared" si="0"/>
        <v>1066</v>
      </c>
      <c r="C18" s="23">
        <f>Domestic!D18+Europe!D18+'Asia-Pacific'!D18+'Rest of world'!D18+'North America'!D18+'Latin America'!D18</f>
        <v>80</v>
      </c>
      <c r="D18" s="23">
        <f>Domestic!E18+Europe!E18+'Asia-Pacific'!E18+'Rest of world'!E18+'North America'!E18+'Latin America'!E18</f>
        <v>20</v>
      </c>
      <c r="E18" s="257">
        <f>Domestic!G18+Europe!G18+'Asia-Pacific'!G18+'Rest of world'!G18+'North America'!G18+'Latin America'!G18</f>
        <v>0.15261511999999999</v>
      </c>
      <c r="F18" s="23">
        <f>Domestic!H18+Europe!H18+'Asia-Pacific'!H18+'Rest of world'!H18+'North America'!H18+'Latin America'!H18</f>
        <v>80</v>
      </c>
      <c r="G18" s="23">
        <f>Domestic!I18+Europe!I18+'Asia-Pacific'!I18+'Rest of world'!I18+'North America'!I18+'Latin America'!I18</f>
        <v>0</v>
      </c>
      <c r="H18" s="257">
        <f>Domestic!K18+Europe!K18+'Asia-Pacific'!K18+'Rest of world'!K18+'North America'!K18+'Latin America'!K18</f>
        <v>0</v>
      </c>
      <c r="I18" s="23">
        <f>Domestic!L18+Europe!L18+'Asia-Pacific'!L18+'Rest of world'!L18+'North America'!L18+'Latin America'!L18</f>
        <v>80</v>
      </c>
      <c r="J18" s="23">
        <f>Domestic!M18+Europe!M18+'Asia-Pacific'!M18+'Rest of world'!M18+'North America'!M18+'Latin America'!M18</f>
        <v>36</v>
      </c>
      <c r="K18" s="257">
        <f>Domestic!O18+Europe!O18+'Asia-Pacific'!O18+'Rest of world'!O18+'North America'!O18+'Latin America'!O18</f>
        <v>0.24259553279999999</v>
      </c>
      <c r="L18" s="23">
        <f>Domestic!P18+Europe!P18+'Asia-Pacific'!P18+'Rest of world'!P18+'North America'!P18+'Latin America'!P18</f>
        <v>130</v>
      </c>
      <c r="M18" s="23">
        <f>Domestic!Q18+Europe!Q18+'Asia-Pacific'!Q18+'Rest of world'!Q18+'North America'!Q18+'Latin America'!Q18</f>
        <v>0</v>
      </c>
      <c r="N18" s="509">
        <f>Domestic!S18+Europe!S18+'Asia-Pacific'!S18+'Rest of world'!S18+'North America'!S18+'Latin America'!S18</f>
        <v>0</v>
      </c>
      <c r="O18" s="23">
        <f>Domestic!T18+Europe!T18+'Asia-Pacific'!T18+'Rest of world'!T18+'North America'!T18+'Latin America'!T18</f>
        <v>80</v>
      </c>
      <c r="P18" s="23">
        <f>Domestic!U18+Europe!U18+'Asia-Pacific'!U18+'Rest of world'!U18+'North America'!U18+'Latin America'!U18</f>
        <v>16</v>
      </c>
      <c r="Q18" s="510">
        <f>Domestic!W18+'North America'!W18+Europe!W18+'Asia-Pacific'!W18+'Rest of world'!W18+'Latin America'!W18</f>
        <v>0.11426289600000002</v>
      </c>
      <c r="R18" s="23">
        <f>Domestic!X18+Europe!X18+'Asia-Pacific'!X18+'Rest of world'!X18+'North America'!X18+'Latin America'!X18</f>
        <v>80</v>
      </c>
      <c r="S18" s="23">
        <f>Domestic!Y18+Europe!Y18+'Asia-Pacific'!Y18+'Rest of world'!Y18+'North America'!Y18+'Latin America'!Y18</f>
        <v>20</v>
      </c>
      <c r="T18" s="510">
        <f>Domestic!AA18+Europe!AA18+'Asia-Pacific'!AA18+'Rest of world'!AA18+'North America'!AA18+'Latin America'!AA18</f>
        <v>0.19953648000000002</v>
      </c>
      <c r="U18" s="23">
        <f>Domestic!AB18+Europe!AB18+'Asia-Pacific'!AB18+'Rest of world'!AB18+'North America'!AB18+'Latin America'!AB18</f>
        <v>80</v>
      </c>
      <c r="V18" s="23">
        <f>Domestic!AC18+Europe!AC18+'Asia-Pacific'!AC18+'Rest of world'!AC18+'North America'!AC18+'Latin America'!AC18</f>
        <v>49</v>
      </c>
      <c r="W18" s="510">
        <f>Domestic!AE18+Europe!AE18+'Asia-Pacific'!AE18+'Rest of world'!AE18+'North America'!AE18+'Latin America'!AE18</f>
        <v>0.28610487499999998</v>
      </c>
      <c r="X18" s="23">
        <f>Domestic!AF18+Europe!AF18+'Asia-Pacific'!AF18+'Rest of world'!AF18+'North America'!AF18+'Latin America'!AF18</f>
        <v>80</v>
      </c>
      <c r="Y18" s="23">
        <f>Domestic!AG18+Europe!AG18+'Asia-Pacific'!AG18+'Rest of world'!AG18+'North America'!AG18+'Latin America'!AG18</f>
        <v>4</v>
      </c>
      <c r="Z18" s="510">
        <f>Domestic!AI18+Europe!AI18+'Asia-Pacific'!AI18+'Rest of world'!AI18+'North America'!AI18+'Latin America'!AI18</f>
        <v>4.2007727999999994E-2</v>
      </c>
      <c r="AA18" s="23">
        <f>Domestic!AJ18+Europe!AJ18+'Asia-Pacific'!AJ18+'Rest of world'!AJ18+'North America'!AJ18+'Latin America'!AJ18</f>
        <v>136</v>
      </c>
      <c r="AB18" s="23">
        <f>Domestic!AK18+Europe!AK18+'Asia-Pacific'!AK18+'Rest of world'!AK18+'North America'!AK18+'Latin America'!AK18</f>
        <v>14</v>
      </c>
      <c r="AC18" s="510">
        <f>Domestic!AM18+Europe!AM18+'Asia-Pacific'!AM18+'Rest of world'!AM18+'North America'!AM18+'Latin America'!AM18</f>
        <v>0.13611880399999998</v>
      </c>
      <c r="AD18" s="23">
        <f>Domestic!AN18+Europe!AN18+'Asia-Pacific'!AN18+'Rest of world'!AN18+'North America'!AN18+'Latin America'!AN18</f>
        <v>80</v>
      </c>
      <c r="AE18" s="23">
        <f>Domestic!AO18+Europe!AO18+'Asia-Pacific'!AO18+'Rest of world'!AO18+'North America'!AO18+'Latin America'!AO18</f>
        <v>-6</v>
      </c>
      <c r="AF18" s="510">
        <f>Domestic!AQ18+Europe!AQ18+'Asia-Pacific'!AQ18+'Rest of world'!AQ18+'North America'!AQ18+'Latin America'!AQ18</f>
        <v>-0.14567742000000003</v>
      </c>
      <c r="AG18" s="23">
        <f>Domestic!AR18+Europe!AR18+'Asia-Pacific'!AR18+'Rest of world'!AR18+'North America'!AR18+'Latin America'!AR18</f>
        <v>80</v>
      </c>
      <c r="AH18" s="23">
        <f>Domestic!AS18+Europe!AS18+'Asia-Pacific'!AS18+'Rest of world'!AS18+'North America'!AS18+'Latin America'!AS18</f>
        <v>25</v>
      </c>
      <c r="AI18" s="510">
        <f>Domestic!AU18+Europe!AU18+'Asia-Pacific'!AU18+'Rest of world'!AU18+'North America'!AU18+'Latin America'!AU18</f>
        <v>0.12899425</v>
      </c>
      <c r="AJ18" s="23">
        <f>Domestic!AV18+Europe!AV18+'Asia-Pacific'!AV18+'Rest of world'!AV18+'North America'!AV18+'Latin America'!AV18</f>
        <v>80</v>
      </c>
      <c r="AK18" s="23">
        <f>Domestic!AQ18+Europe!AQ18+'Asia-Pacific'!AQ18+'Rest of world'!AQ18+'North America'!AQ18+'Latin America'!AQ18</f>
        <v>-0.14567742000000003</v>
      </c>
      <c r="AL18" s="510">
        <f>Domestic!AY18+Europe!AY18+'Asia-Pacific'!AY18+'Rest of world'!AY18+'North America'!AY18+'Latin America'!AY18</f>
        <v>0</v>
      </c>
      <c r="AM18" s="257">
        <f t="shared" si="13"/>
        <v>240</v>
      </c>
      <c r="AN18" s="257">
        <f t="shared" si="14"/>
        <v>56</v>
      </c>
      <c r="AO18" s="257">
        <f t="shared" si="15"/>
        <v>0.39521065280000001</v>
      </c>
      <c r="AP18" s="257">
        <f t="shared" si="16"/>
        <v>290</v>
      </c>
      <c r="AQ18" s="257">
        <f t="shared" si="17"/>
        <v>36</v>
      </c>
      <c r="AR18" s="257">
        <f t="shared" si="18"/>
        <v>0.31379937600000002</v>
      </c>
      <c r="AS18" s="257">
        <f t="shared" si="19"/>
        <v>296</v>
      </c>
      <c r="AT18" s="257">
        <f t="shared" si="20"/>
        <v>67</v>
      </c>
      <c r="AU18" s="257">
        <f t="shared" si="21"/>
        <v>0.46423140699999998</v>
      </c>
      <c r="AV18" s="257">
        <f t="shared" si="22"/>
        <v>240</v>
      </c>
      <c r="AW18" s="257">
        <f t="shared" si="23"/>
        <v>18.854322580000002</v>
      </c>
      <c r="AX18" s="257">
        <f t="shared" si="24"/>
        <v>-1.6683170000000025E-2</v>
      </c>
      <c r="AY18" s="257">
        <f t="shared" si="25"/>
        <v>1066</v>
      </c>
      <c r="AZ18" s="257">
        <f t="shared" si="26"/>
        <v>177.85432258</v>
      </c>
      <c r="BA18" s="257">
        <f t="shared" si="27"/>
        <v>1.1565582658</v>
      </c>
      <c r="BB18" s="257">
        <f t="shared" si="28"/>
        <v>0.16684270410881802</v>
      </c>
      <c r="BD18" s="23">
        <f t="shared" si="8"/>
        <v>530</v>
      </c>
      <c r="BE18" s="23">
        <f t="shared" si="9"/>
        <v>92</v>
      </c>
      <c r="BF18" s="466">
        <f t="shared" si="29"/>
        <v>0.17358490566037735</v>
      </c>
      <c r="BG18" s="509">
        <f t="shared" si="11"/>
        <v>0.70901002880000008</v>
      </c>
      <c r="BH18" s="466">
        <f t="shared" si="12"/>
        <v>8.6303939962476553E-2</v>
      </c>
    </row>
    <row r="19" spans="1:60" ht="12.6" customHeight="1">
      <c r="A19" s="254" t="s">
        <v>50</v>
      </c>
      <c r="B19" s="510">
        <f t="shared" si="0"/>
        <v>1014</v>
      </c>
      <c r="C19" s="23">
        <f>Domestic!D19+Europe!D19+'Asia-Pacific'!D19+'Rest of world'!D19+'North America'!D19+'Latin America'!D19</f>
        <v>87</v>
      </c>
      <c r="D19" s="23">
        <f>Domestic!E19+Europe!E19+'Asia-Pacific'!E19+'Rest of world'!E19+'North America'!E19+'Latin America'!E19</f>
        <v>47</v>
      </c>
      <c r="E19" s="257">
        <f>Domestic!G19+Europe!G19+'Asia-Pacific'!G19+'Rest of world'!G19+'North America'!G19+'Latin America'!G19</f>
        <v>0.48923249399999996</v>
      </c>
      <c r="F19" s="23">
        <f>Domestic!H19+Europe!H19+'Asia-Pacific'!H19+'Rest of world'!H19+'North America'!H19+'Latin America'!H19</f>
        <v>77</v>
      </c>
      <c r="G19" s="23">
        <f>Domestic!I19+Europe!I19+'Asia-Pacific'!I19+'Rest of world'!I19+'North America'!I19+'Latin America'!I19</f>
        <v>94</v>
      </c>
      <c r="H19" s="257">
        <f>Domestic!K19+Europe!K19+'Asia-Pacific'!K19+'Rest of world'!K19+'North America'!K19+'Latin America'!K19</f>
        <v>0.73702970839999993</v>
      </c>
      <c r="I19" s="23">
        <f>Domestic!L19+Europe!L19+'Asia-Pacific'!L19+'Rest of world'!L19+'North America'!L19+'Latin America'!L19</f>
        <v>99</v>
      </c>
      <c r="J19" s="23">
        <f>Domestic!M19+Europe!M19+'Asia-Pacific'!M19+'Rest of world'!M19+'North America'!M19+'Latin America'!M19</f>
        <v>68</v>
      </c>
      <c r="K19" s="257">
        <f>Domestic!O19+Europe!O19+'Asia-Pacific'!O19+'Rest of world'!O19+'North America'!O19+'Latin America'!O19</f>
        <v>0.62850553919999996</v>
      </c>
      <c r="L19" s="23">
        <f>Domestic!P19+Europe!P19+'Asia-Pacific'!P19+'Rest of world'!P19+'North America'!P19+'Latin America'!P19</f>
        <v>87</v>
      </c>
      <c r="M19" s="23">
        <f>Domestic!Q19+Europe!Q19+'Asia-Pacific'!Q19+'Rest of world'!Q19+'North America'!Q19+'Latin America'!Q19</f>
        <v>66</v>
      </c>
      <c r="N19" s="509">
        <f>Domestic!S19+Europe!S19+'Asia-Pacific'!S19+'Rest of world'!S19+'North America'!S19+'Latin America'!S19</f>
        <v>0.57992668800000002</v>
      </c>
      <c r="O19" s="23">
        <f>Domestic!T19+Europe!T19+'Asia-Pacific'!T19+'Rest of world'!T19+'North America'!T19+'Latin America'!T19</f>
        <v>97</v>
      </c>
      <c r="P19" s="23">
        <f>Domestic!U19+Europe!U19+'Asia-Pacific'!U19+'Rest of world'!U19+'North America'!U19+'Latin America'!U19</f>
        <v>50</v>
      </c>
      <c r="Q19" s="510">
        <f>Domestic!W19+'North America'!W19+Europe!W19+'Asia-Pacific'!W19+'Rest of world'!W19+'Latin America'!W19</f>
        <v>0.5158295100000001</v>
      </c>
      <c r="R19" s="23">
        <f>Domestic!X19+Europe!X19+'Asia-Pacific'!X19+'Rest of world'!X19+'North America'!X19+'Latin America'!X19</f>
        <v>107</v>
      </c>
      <c r="S19" s="23">
        <f>Domestic!Y19+Europe!Y19+'Asia-Pacific'!Y19+'Rest of world'!Y19+'North America'!Y19+'Latin America'!Y19</f>
        <v>70</v>
      </c>
      <c r="T19" s="510">
        <f>Domestic!AA19+Europe!AA19+'Asia-Pacific'!AA19+'Rest of world'!AA19+'North America'!AA19+'Latin America'!AA19</f>
        <v>0.66063114000000001</v>
      </c>
      <c r="U19" s="23">
        <f>Domestic!AB19+Europe!AB19+'Asia-Pacific'!AB19+'Rest of world'!AB19+'North America'!AB19+'Latin America'!AB19</f>
        <v>92</v>
      </c>
      <c r="V19" s="23">
        <f>Domestic!AC19+Europe!AC19+'Asia-Pacific'!AC19+'Rest of world'!AC19+'North America'!AC19+'Latin America'!AC19</f>
        <v>22</v>
      </c>
      <c r="W19" s="510">
        <f>Domestic!AE19+Europe!AE19+'Asia-Pacific'!AE19+'Rest of world'!AE19+'North America'!AE19+'Latin America'!AE19</f>
        <v>0.21073333999999999</v>
      </c>
      <c r="X19" s="23">
        <f>Domestic!AF19+Europe!AF19+'Asia-Pacific'!AF19+'Rest of world'!AF19+'North America'!AF19+'Latin America'!AF19</f>
        <v>92</v>
      </c>
      <c r="Y19" s="23">
        <f>Domestic!AG19+Europe!AG19+'Asia-Pacific'!AG19+'Rest of world'!AG19+'North America'!AG19+'Latin America'!AG19</f>
        <v>40</v>
      </c>
      <c r="Z19" s="510">
        <f>Domestic!AI19+Europe!AI19+'Asia-Pacific'!AI19+'Rest of world'!AI19+'North America'!AI19+'Latin America'!AI19</f>
        <v>0.34952376000000002</v>
      </c>
      <c r="AA19" s="23">
        <f>Domestic!AJ19+Europe!AJ19+'Asia-Pacific'!AJ19+'Rest of world'!AJ19+'North America'!AJ19+'Latin America'!AJ19</f>
        <v>72</v>
      </c>
      <c r="AB19" s="23">
        <f>Domestic!AK19+Europe!AK19+'Asia-Pacific'!AK19+'Rest of world'!AK19+'North America'!AK19+'Latin America'!AK19</f>
        <v>0</v>
      </c>
      <c r="AC19" s="510">
        <f>Domestic!AM19+Europe!AM19+'Asia-Pacific'!AM19+'Rest of world'!AM19+'North America'!AM19+'Latin America'!AM19</f>
        <v>0</v>
      </c>
      <c r="AD19" s="23">
        <f>Domestic!AN19+Europe!AN19+'Asia-Pacific'!AN19+'Rest of world'!AN19+'North America'!AN19+'Latin America'!AN19</f>
        <v>92</v>
      </c>
      <c r="AE19" s="23">
        <f>Domestic!AO19+Europe!AO19+'Asia-Pacific'!AO19+'Rest of world'!AO19+'North America'!AO19+'Latin America'!AO19</f>
        <v>60</v>
      </c>
      <c r="AF19" s="510">
        <f>Domestic!AQ19+Europe!AQ19+'Asia-Pacific'!AQ19+'Rest of world'!AQ19+'North America'!AQ19+'Latin America'!AQ19</f>
        <v>0.57128400000000001</v>
      </c>
      <c r="AG19" s="23">
        <f>Domestic!AR19+Europe!AR19+'Asia-Pacific'!AR19+'Rest of world'!AR19+'North America'!AR19+'Latin America'!AR19</f>
        <v>72</v>
      </c>
      <c r="AH19" s="23">
        <f>Domestic!AS19+Europe!AS19+'Asia-Pacific'!AS19+'Rest of world'!AS19+'North America'!AS19+'Latin America'!AS19</f>
        <v>70</v>
      </c>
      <c r="AI19" s="510">
        <f>Domestic!AU19+Europe!AU19+'Asia-Pacific'!AU19+'Rest of world'!AU19+'North America'!AU19+'Latin America'!AU19</f>
        <v>0.57353859000000007</v>
      </c>
      <c r="AJ19" s="23">
        <f>Domestic!AV19+Europe!AV19+'Asia-Pacific'!AV19+'Rest of world'!AV19+'North America'!AV19+'Latin America'!AV19</f>
        <v>40</v>
      </c>
      <c r="AK19" s="23">
        <f>Domestic!AQ19+Europe!AQ19+'Asia-Pacific'!AQ19+'Rest of world'!AQ19+'North America'!AQ19+'Latin America'!AQ19</f>
        <v>0.57128400000000001</v>
      </c>
      <c r="AL19" s="510">
        <f>Domestic!AY19+Europe!AY19+'Asia-Pacific'!AY19+'Rest of world'!AY19+'North America'!AY19+'Latin America'!AY19</f>
        <v>0</v>
      </c>
      <c r="AM19" s="257">
        <f t="shared" si="13"/>
        <v>263</v>
      </c>
      <c r="AN19" s="257">
        <f t="shared" si="14"/>
        <v>209</v>
      </c>
      <c r="AO19" s="257">
        <f t="shared" si="15"/>
        <v>1.8547677415999999</v>
      </c>
      <c r="AP19" s="257">
        <f t="shared" si="16"/>
        <v>291</v>
      </c>
      <c r="AQ19" s="257">
        <f t="shared" si="17"/>
        <v>186</v>
      </c>
      <c r="AR19" s="257">
        <f t="shared" si="18"/>
        <v>1.7563873380000001</v>
      </c>
      <c r="AS19" s="257">
        <f t="shared" si="19"/>
        <v>256</v>
      </c>
      <c r="AT19" s="257">
        <f t="shared" si="20"/>
        <v>62</v>
      </c>
      <c r="AU19" s="257">
        <f t="shared" si="21"/>
        <v>0.56025710000000006</v>
      </c>
      <c r="AV19" s="257">
        <f t="shared" si="22"/>
        <v>204</v>
      </c>
      <c r="AW19" s="257">
        <f t="shared" si="23"/>
        <v>130.57128399999999</v>
      </c>
      <c r="AX19" s="257">
        <f t="shared" si="24"/>
        <v>1.14482259</v>
      </c>
      <c r="AY19" s="257">
        <f t="shared" si="25"/>
        <v>1014</v>
      </c>
      <c r="AZ19" s="257">
        <f t="shared" si="26"/>
        <v>587.57128399999999</v>
      </c>
      <c r="BA19" s="257">
        <f t="shared" si="27"/>
        <v>5.3162347695999994</v>
      </c>
      <c r="BB19" s="257">
        <f t="shared" si="28"/>
        <v>0.57945885996055224</v>
      </c>
      <c r="BD19" s="23">
        <f t="shared" si="8"/>
        <v>554</v>
      </c>
      <c r="BE19" s="23">
        <f t="shared" si="9"/>
        <v>395</v>
      </c>
      <c r="BF19" s="466">
        <f t="shared" si="29"/>
        <v>0.71299638989169678</v>
      </c>
      <c r="BG19" s="509">
        <f t="shared" si="11"/>
        <v>3.6111550796</v>
      </c>
      <c r="BH19" s="466">
        <f t="shared" si="12"/>
        <v>0.38954635108481261</v>
      </c>
    </row>
    <row r="20" spans="1:60" ht="12.6" customHeight="1">
      <c r="A20" s="503" t="s">
        <v>84</v>
      </c>
      <c r="B20" s="510">
        <f t="shared" si="0"/>
        <v>300</v>
      </c>
      <c r="C20" s="23">
        <f>Domestic!D20+Europe!D20+'Asia-Pacific'!D20+'Rest of world'!D20+'North America'!D20+'Latin America'!D20</f>
        <v>24</v>
      </c>
      <c r="D20" s="23">
        <f>Domestic!E20+Europe!E20+'Asia-Pacific'!E20+'Rest of world'!E20+'North America'!E20+'Latin America'!E20</f>
        <v>24</v>
      </c>
      <c r="E20" s="257">
        <f>Domestic!G20+Europe!G20+'Asia-Pacific'!G20+'Rest of world'!G20+'North America'!G20+'Latin America'!G20</f>
        <v>0.22286061600000001</v>
      </c>
      <c r="F20" s="23">
        <f>Domestic!H20+Europe!H20+'Asia-Pacific'!H20+'Rest of world'!H20+'North America'!H20+'Latin America'!H20</f>
        <v>60</v>
      </c>
      <c r="G20" s="23">
        <f>Domestic!I20+Europe!I20+'Asia-Pacific'!I20+'Rest of world'!I20+'North America'!I20+'Latin America'!I20</f>
        <v>60</v>
      </c>
      <c r="H20" s="257">
        <f>Domestic!K20+Europe!K20+'Asia-Pacific'!K20+'Rest of world'!K20+'North America'!K20+'Latin America'!K20</f>
        <v>0.36833955000000002</v>
      </c>
      <c r="I20" s="23">
        <f>Domestic!L20+Europe!L20+'Asia-Pacific'!L20+'Rest of world'!L20+'North America'!L20+'Latin America'!L20</f>
        <v>60</v>
      </c>
      <c r="J20" s="23">
        <f>Domestic!M20+Europe!M20+'Asia-Pacific'!M20+'Rest of world'!M20+'North America'!M20+'Latin America'!M20</f>
        <v>60</v>
      </c>
      <c r="K20" s="257">
        <f>Domestic!O20+Europe!O20+'Asia-Pacific'!O20+'Rest of world'!O20+'North America'!O20+'Latin America'!O20</f>
        <v>0.40432588799999997</v>
      </c>
      <c r="L20" s="23">
        <f>Domestic!P20+Europe!P20+'Asia-Pacific'!P20+'Rest of world'!P20+'North America'!P20+'Latin America'!P20</f>
        <v>0</v>
      </c>
      <c r="M20" s="23">
        <f>Domestic!Q20+Europe!Q20+'Asia-Pacific'!Q20+'Rest of world'!Q20+'North America'!Q20+'Latin America'!Q20</f>
        <v>0</v>
      </c>
      <c r="N20" s="509">
        <f>Domestic!S20+Europe!S20+'Asia-Pacific'!S20+'Rest of world'!S20+'North America'!S20+'Latin America'!S20</f>
        <v>0</v>
      </c>
      <c r="O20" s="23">
        <f>Domestic!T20+Europe!T20+'Asia-Pacific'!T20+'Rest of world'!T20+'North America'!T20+'Latin America'!T20</f>
        <v>0</v>
      </c>
      <c r="P20" s="23">
        <f>Domestic!U20+Europe!U20+'Asia-Pacific'!U20+'Rest of world'!U20+'North America'!U20+'Latin America'!U20</f>
        <v>0</v>
      </c>
      <c r="Q20" s="510">
        <f>Domestic!W20+'North America'!W20+Europe!W20+'Asia-Pacific'!W20+'Rest of world'!W20+'Latin America'!W20</f>
        <v>0</v>
      </c>
      <c r="R20" s="23">
        <f>Domestic!X20+Europe!X20+'Asia-Pacific'!X20+'Rest of world'!X20+'North America'!X20+'Latin America'!X20</f>
        <v>0</v>
      </c>
      <c r="S20" s="23">
        <f>Domestic!Y20+Europe!Y20+'Asia-Pacific'!Y20+'Rest of world'!Y20+'North America'!Y20+'Latin America'!Y20</f>
        <v>0</v>
      </c>
      <c r="T20" s="510">
        <f>Domestic!AA20+Europe!AA20+'Asia-Pacific'!AA20+'Rest of world'!AA20+'North America'!AA20+'Latin America'!AA20</f>
        <v>0</v>
      </c>
      <c r="U20" s="23">
        <f>Domestic!AB20+Europe!AB20+'Asia-Pacific'!AB20+'Rest of world'!AB20+'North America'!AB20+'Latin America'!AB20</f>
        <v>60</v>
      </c>
      <c r="V20" s="23">
        <f>Domestic!AC20+Europe!AC20+'Asia-Pacific'!AC20+'Rest of world'!AC20+'North America'!AC20+'Latin America'!AC20</f>
        <v>32</v>
      </c>
      <c r="W20" s="510">
        <f>Domestic!AE20+Europe!AE20+'Asia-Pacific'!AE20+'Rest of world'!AE20+'North America'!AE20+'Latin America'!AE20</f>
        <v>0.253680768</v>
      </c>
      <c r="X20" s="23">
        <f>Domestic!AF20+Europe!AF20+'Asia-Pacific'!AF20+'Rest of world'!AF20+'North America'!AF20+'Latin America'!AF20</f>
        <v>0</v>
      </c>
      <c r="Y20" s="23">
        <f>Domestic!AG20+Europe!AG20+'Asia-Pacific'!AG20+'Rest of world'!AG20+'North America'!AG20+'Latin America'!AG20</f>
        <v>0</v>
      </c>
      <c r="Z20" s="510">
        <f>Domestic!AI20+Europe!AI20+'Asia-Pacific'!AI20+'Rest of world'!AI20+'North America'!AI20+'Latin America'!AI20</f>
        <v>0</v>
      </c>
      <c r="AA20" s="23">
        <f>Domestic!AJ20+Europe!AJ20+'Asia-Pacific'!AJ20+'Rest of world'!AJ20+'North America'!AJ20+'Latin America'!AJ20</f>
        <v>36</v>
      </c>
      <c r="AB20" s="23">
        <f>Domestic!AK20+Europe!AK20+'Asia-Pacific'!AK20+'Rest of world'!AK20+'North America'!AK20+'Latin America'!AK20</f>
        <v>0</v>
      </c>
      <c r="AC20" s="510">
        <f>Domestic!AM20+Europe!AM20+'Asia-Pacific'!AM20+'Rest of world'!AM20+'North America'!AM20+'Latin America'!AM20</f>
        <v>0</v>
      </c>
      <c r="AD20" s="23">
        <f>Domestic!AN20+Europe!AN20+'Asia-Pacific'!AN20+'Rest of world'!AN20+'North America'!AN20+'Latin America'!AN20</f>
        <v>0</v>
      </c>
      <c r="AE20" s="23">
        <f>Domestic!AO20+Europe!AO20+'Asia-Pacific'!AO20+'Rest of world'!AO20+'North America'!AO20+'Latin America'!AO20</f>
        <v>0</v>
      </c>
      <c r="AF20" s="510">
        <f>Domestic!AQ20+Europe!AQ20+'Asia-Pacific'!AQ20+'Rest of world'!AQ20+'North America'!AQ20+'Latin America'!AQ20</f>
        <v>0</v>
      </c>
      <c r="AG20" s="23">
        <f>Domestic!AR20+Europe!AR20+'Asia-Pacific'!AR20+'Rest of world'!AR20+'North America'!AR20+'Latin America'!AR20</f>
        <v>60</v>
      </c>
      <c r="AH20" s="23">
        <f>Domestic!AS20+Europe!AS20+'Asia-Pacific'!AS20+'Rest of world'!AS20+'North America'!AS20+'Latin America'!AS20</f>
        <v>0</v>
      </c>
      <c r="AI20" s="510">
        <f>Domestic!AU20+Europe!AU20+'Asia-Pacific'!AU20+'Rest of world'!AU20+'North America'!AU20+'Latin America'!AU20</f>
        <v>0</v>
      </c>
      <c r="AJ20" s="23">
        <f>Domestic!AV20+Europe!AV20+'Asia-Pacific'!AV20+'Rest of world'!AV20+'North America'!AV20+'Latin America'!AV20</f>
        <v>0</v>
      </c>
      <c r="AK20" s="23">
        <f>Domestic!AQ20+Europe!AQ20+'Asia-Pacific'!AQ20+'Rest of world'!AQ20+'North America'!AQ20+'Latin America'!AQ20</f>
        <v>0</v>
      </c>
      <c r="AL20" s="510">
        <f>Domestic!AY20+Europe!AY20+'Asia-Pacific'!AY20+'Rest of world'!AY20+'North America'!AY20+'Latin America'!AY20</f>
        <v>0</v>
      </c>
      <c r="AM20" s="257">
        <f t="shared" si="13"/>
        <v>144</v>
      </c>
      <c r="AN20" s="257">
        <f t="shared" si="14"/>
        <v>144</v>
      </c>
      <c r="AO20" s="257">
        <f t="shared" si="15"/>
        <v>0.99552605399999994</v>
      </c>
      <c r="AP20" s="257">
        <f t="shared" si="16"/>
        <v>0</v>
      </c>
      <c r="AQ20" s="257">
        <f t="shared" si="17"/>
        <v>0</v>
      </c>
      <c r="AR20" s="257">
        <f t="shared" si="18"/>
        <v>0</v>
      </c>
      <c r="AS20" s="257">
        <f t="shared" si="19"/>
        <v>96</v>
      </c>
      <c r="AT20" s="257">
        <f t="shared" si="20"/>
        <v>32</v>
      </c>
      <c r="AU20" s="257">
        <f t="shared" si="21"/>
        <v>0.253680768</v>
      </c>
      <c r="AV20" s="257">
        <f t="shared" si="22"/>
        <v>60</v>
      </c>
      <c r="AW20" s="257">
        <f t="shared" si="23"/>
        <v>0</v>
      </c>
      <c r="AX20" s="257">
        <f t="shared" si="24"/>
        <v>0</v>
      </c>
      <c r="AY20" s="257">
        <f t="shared" si="25"/>
        <v>300</v>
      </c>
      <c r="AZ20" s="257">
        <f t="shared" si="26"/>
        <v>176</v>
      </c>
      <c r="BA20" s="257">
        <f t="shared" si="27"/>
        <v>1.2492068219999999</v>
      </c>
      <c r="BB20" s="257">
        <f t="shared" si="28"/>
        <v>0.58666666666666667</v>
      </c>
      <c r="BD20" s="23">
        <f t="shared" si="8"/>
        <v>144</v>
      </c>
      <c r="BE20" s="23">
        <f t="shared" si="9"/>
        <v>144</v>
      </c>
      <c r="BF20" s="466">
        <f t="shared" si="29"/>
        <v>1</v>
      </c>
      <c r="BG20" s="509">
        <f t="shared" si="11"/>
        <v>0.99552605399999994</v>
      </c>
      <c r="BH20" s="466">
        <f t="shared" si="12"/>
        <v>0.48</v>
      </c>
    </row>
    <row r="21" spans="1:60" ht="12.6" customHeight="1">
      <c r="A21" s="254" t="s">
        <v>111</v>
      </c>
      <c r="B21" s="510">
        <f t="shared" si="0"/>
        <v>420</v>
      </c>
      <c r="C21" s="23">
        <f>Domestic!D21+Europe!D21+'Asia-Pacific'!D21+'Rest of world'!D21+'North America'!D21+'Latin America'!D21</f>
        <v>20</v>
      </c>
      <c r="D21" s="23">
        <f>Domestic!E21+Europe!E21+'Asia-Pacific'!E21+'Rest of world'!E21+'North America'!E21+'Latin America'!E21</f>
        <v>18</v>
      </c>
      <c r="E21" s="257">
        <f>Domestic!G21+Europe!G21+'Asia-Pacific'!G21+'Rest of world'!G21+'North America'!G21+'Latin America'!G21</f>
        <v>2.6202474E-2</v>
      </c>
      <c r="F21" s="23">
        <f>Domestic!H21+Europe!H21+'Asia-Pacific'!H21+'Rest of world'!H21+'North America'!H21+'Latin America'!H21</f>
        <v>38</v>
      </c>
      <c r="G21" s="23">
        <f>Domestic!I21+Europe!I21+'Asia-Pacific'!I21+'Rest of world'!I21+'North America'!I21+'Latin America'!I21</f>
        <v>0</v>
      </c>
      <c r="H21" s="257">
        <f>Domestic!K21+Europe!K21+'Asia-Pacific'!K21+'Rest of world'!K21+'North America'!K21+'Latin America'!K21</f>
        <v>0</v>
      </c>
      <c r="I21" s="23">
        <f>Domestic!L21+Europe!L21+'Asia-Pacific'!L21+'Rest of world'!L21+'North America'!L21+'Latin America'!L21</f>
        <v>38</v>
      </c>
      <c r="J21" s="23">
        <f>Domestic!M21+Europe!M21+'Asia-Pacific'!M21+'Rest of world'!M21+'North America'!M21+'Latin America'!M21</f>
        <v>55</v>
      </c>
      <c r="K21" s="257">
        <f>Domestic!O21+Europe!O21+'Asia-Pacific'!O21+'Rest of world'!O21+'North America'!O21+'Latin America'!O21</f>
        <v>3.9557276000000037E-2</v>
      </c>
      <c r="L21" s="23">
        <f>Domestic!P21+Europe!P21+'Asia-Pacific'!P21+'Rest of world'!P21+'North America'!P21+'Latin America'!P21</f>
        <v>38</v>
      </c>
      <c r="M21" s="23">
        <f>Domestic!Q21+Europe!Q21+'Asia-Pacific'!Q21+'Rest of world'!Q21+'North America'!Q21+'Latin America'!Q21</f>
        <v>0</v>
      </c>
      <c r="N21" s="509">
        <f>Domestic!S21+Europe!S21+'Asia-Pacific'!S21+'Rest of world'!S21+'North America'!S21+'Latin America'!S21</f>
        <v>0</v>
      </c>
      <c r="O21" s="23">
        <f>Domestic!T21+Europe!T21+'Asia-Pacific'!T21+'Rest of world'!T21+'North America'!T21+'Latin America'!T21</f>
        <v>20</v>
      </c>
      <c r="P21" s="23">
        <f>Domestic!U21+Europe!U21+'Asia-Pacific'!U21+'Rest of world'!U21+'North America'!U21+'Latin America'!U21</f>
        <v>55</v>
      </c>
      <c r="Q21" s="510">
        <f>Domestic!W21+'North America'!W21+Europe!W21+'Asia-Pacific'!W21+'Rest of world'!W21+'Latin America'!W21</f>
        <v>0.10712146500000001</v>
      </c>
      <c r="R21" s="23">
        <f>Domestic!X21+Europe!X21+'Asia-Pacific'!X21+'Rest of world'!X21+'North America'!X21+'Latin America'!X21</f>
        <v>38</v>
      </c>
      <c r="S21" s="23">
        <f>Domestic!Y21+Europe!Y21+'Asia-Pacific'!Y21+'Rest of world'!Y21+'North America'!Y21+'Latin America'!Y21</f>
        <v>18</v>
      </c>
      <c r="T21" s="510">
        <f>Domestic!AA21+Europe!AA21+'Asia-Pacific'!AA21+'Rest of world'!AA21+'North America'!AA21+'Latin America'!AA21</f>
        <v>1.9926972000000001E-2</v>
      </c>
      <c r="U21" s="23">
        <f>Domestic!AB21+Europe!AB21+'Asia-Pacific'!AB21+'Rest of world'!AB21+'North America'!AB21+'Latin America'!AB21</f>
        <v>38</v>
      </c>
      <c r="V21" s="23">
        <f>Domestic!AC21+Europe!AC21+'Asia-Pacific'!AC21+'Rest of world'!AC21+'North America'!AC21+'Latin America'!AC21</f>
        <v>38</v>
      </c>
      <c r="W21" s="510">
        <f>Domestic!AE21+Europe!AE21+'Asia-Pacific'!AE21+'Rest of world'!AE21+'North America'!AE21+'Latin America'!AE21</f>
        <v>5.0207651999999998E-2</v>
      </c>
      <c r="X21" s="23">
        <f>Domestic!AF21+Europe!AF21+'Asia-Pacific'!AF21+'Rest of world'!AF21+'North America'!AF21+'Latin America'!AF21</f>
        <v>38</v>
      </c>
      <c r="Y21" s="23">
        <f>Domestic!AG21+Europe!AG21+'Asia-Pacific'!AG21+'Rest of world'!AG21+'North America'!AG21+'Latin America'!AG21</f>
        <v>40</v>
      </c>
      <c r="Z21" s="510">
        <f>Domestic!AI21+Europe!AI21+'Asia-Pacific'!AI21+'Rest of world'!AI21+'North America'!AI21+'Latin America'!AI21</f>
        <v>6.0822000000000001E-2</v>
      </c>
      <c r="AA21" s="23">
        <f>Domestic!AJ21+Europe!AJ21+'Asia-Pacific'!AJ21+'Rest of world'!AJ21+'North America'!AJ21+'Latin America'!AJ21</f>
        <v>38</v>
      </c>
      <c r="AB21" s="23">
        <f>Domestic!AK21+Europe!AK21+'Asia-Pacific'!AK21+'Rest of world'!AK21+'North America'!AK21+'Latin America'!AK21</f>
        <v>19</v>
      </c>
      <c r="AC21" s="510">
        <f>Domestic!AM21+Europe!AM21+'Asia-Pacific'!AM21+'Rest of world'!AM21+'North America'!AM21+'Latin America'!AM21</f>
        <v>1.6257653999999996E-2</v>
      </c>
      <c r="AD21" s="23">
        <f>Domestic!AN21+Europe!AN21+'Asia-Pacific'!AN21+'Rest of world'!AN21+'North America'!AN21+'Latin America'!AN21</f>
        <v>38</v>
      </c>
      <c r="AE21" s="23">
        <f>Domestic!AO21+Europe!AO21+'Asia-Pacific'!AO21+'Rest of world'!AO21+'North America'!AO21+'Latin America'!AO21</f>
        <v>18</v>
      </c>
      <c r="AF21" s="510">
        <f>Domestic!AQ21+Europe!AQ21+'Asia-Pacific'!AQ21+'Rest of world'!AQ21+'North America'!AQ21+'Latin America'!AQ21</f>
        <v>1.5179832000000001E-2</v>
      </c>
      <c r="AG21" s="23">
        <f>Domestic!AR21+Europe!AR21+'Asia-Pacific'!AR21+'Rest of world'!AR21+'North America'!AR21+'Latin America'!AR21</f>
        <v>38</v>
      </c>
      <c r="AH21" s="23">
        <f>Domestic!AS21+Europe!AS21+'Asia-Pacific'!AS21+'Rest of world'!AS21+'North America'!AS21+'Latin America'!AS21</f>
        <v>98</v>
      </c>
      <c r="AI21" s="510">
        <f>Domestic!AU21+Europe!AU21+'Asia-Pacific'!AU21+'Rest of world'!AU21+'North America'!AU21+'Latin America'!AU21</f>
        <v>0.145786956</v>
      </c>
      <c r="AJ21" s="23">
        <f>Domestic!AV21+Europe!AV21+'Asia-Pacific'!AV21+'Rest of world'!AV21+'North America'!AV21+'Latin America'!AV21</f>
        <v>38</v>
      </c>
      <c r="AK21" s="23">
        <f>Domestic!AQ21+Europe!AQ21+'Asia-Pacific'!AQ21+'Rest of world'!AQ21+'North America'!AQ21+'Latin America'!AQ21</f>
        <v>1.5179832000000001E-2</v>
      </c>
      <c r="AL21" s="510">
        <f>Domestic!AY21+Europe!AY21+'Asia-Pacific'!AY21+'Rest of world'!AY21+'North America'!AY21+'Latin America'!AY21</f>
        <v>0</v>
      </c>
      <c r="AM21" s="257">
        <f t="shared" si="13"/>
        <v>96</v>
      </c>
      <c r="AN21" s="257">
        <f t="shared" si="14"/>
        <v>73</v>
      </c>
      <c r="AO21" s="257">
        <f t="shared" si="15"/>
        <v>6.5759750000000033E-2</v>
      </c>
      <c r="AP21" s="257">
        <f t="shared" si="16"/>
        <v>96</v>
      </c>
      <c r="AQ21" s="257">
        <f t="shared" si="17"/>
        <v>73</v>
      </c>
      <c r="AR21" s="257">
        <f t="shared" si="18"/>
        <v>0.12704843700000001</v>
      </c>
      <c r="AS21" s="257">
        <f t="shared" si="19"/>
        <v>114</v>
      </c>
      <c r="AT21" s="257">
        <f t="shared" si="20"/>
        <v>97</v>
      </c>
      <c r="AU21" s="257">
        <f t="shared" si="21"/>
        <v>0.12728730599999999</v>
      </c>
      <c r="AV21" s="257">
        <f t="shared" si="22"/>
        <v>114</v>
      </c>
      <c r="AW21" s="257">
        <f t="shared" si="23"/>
        <v>116.015179832</v>
      </c>
      <c r="AX21" s="257">
        <f t="shared" si="24"/>
        <v>0.160966788</v>
      </c>
      <c r="AY21" s="257">
        <f t="shared" si="25"/>
        <v>420</v>
      </c>
      <c r="AZ21" s="257">
        <f t="shared" si="26"/>
        <v>359.015179832</v>
      </c>
      <c r="BA21" s="257">
        <f t="shared" si="27"/>
        <v>0.48106228100000004</v>
      </c>
      <c r="BB21" s="257">
        <f t="shared" si="28"/>
        <v>0.85479804721904762</v>
      </c>
      <c r="BD21" s="23">
        <f t="shared" si="8"/>
        <v>192</v>
      </c>
      <c r="BE21" s="23">
        <f t="shared" si="9"/>
        <v>146</v>
      </c>
      <c r="BF21" s="466">
        <f t="shared" si="29"/>
        <v>0.76041666666666663</v>
      </c>
      <c r="BG21" s="509">
        <f t="shared" si="11"/>
        <v>0.19280818700000002</v>
      </c>
      <c r="BH21" s="466">
        <f t="shared" si="12"/>
        <v>0.34761904761904761</v>
      </c>
    </row>
    <row r="22" spans="1:60" ht="12.6" customHeight="1">
      <c r="A22" s="503" t="s">
        <v>106</v>
      </c>
      <c r="B22" s="510">
        <f t="shared" si="0"/>
        <v>0</v>
      </c>
      <c r="C22" s="23">
        <f>Domestic!D22+Europe!D22+'Asia-Pacific'!D22+'Rest of world'!D22+'North America'!D22+'Latin America'!D22</f>
        <v>0</v>
      </c>
      <c r="D22" s="23">
        <f>Domestic!E22+Europe!E22+'Asia-Pacific'!E22+'Rest of world'!E22+'North America'!E22+'Latin America'!E22</f>
        <v>0</v>
      </c>
      <c r="E22" s="257">
        <f>Domestic!G22+Europe!G22+'Asia-Pacific'!G22+'Rest of world'!G22+'North America'!G22+'Latin America'!G22</f>
        <v>0</v>
      </c>
      <c r="F22" s="23">
        <f>Domestic!H22+Europe!H22+'Asia-Pacific'!H22+'Rest of world'!H22+'North America'!H22+'Latin America'!H22</f>
        <v>0</v>
      </c>
      <c r="G22" s="23">
        <f>Domestic!I22+Europe!I22+'Asia-Pacific'!I22+'Rest of world'!I22+'North America'!I22+'Latin America'!I22</f>
        <v>0</v>
      </c>
      <c r="H22" s="257">
        <f>Domestic!K22+Europe!K22+'Asia-Pacific'!K22+'Rest of world'!K22+'North America'!K22+'Latin America'!K22</f>
        <v>0</v>
      </c>
      <c r="I22" s="23">
        <f>Domestic!L22+Europe!L22+'Asia-Pacific'!L22+'Rest of world'!L22+'North America'!L22+'Latin America'!L22</f>
        <v>0</v>
      </c>
      <c r="J22" s="23">
        <f>Domestic!M22+Europe!M22+'Asia-Pacific'!M22+'Rest of world'!M22+'North America'!M22+'Latin America'!M22</f>
        <v>0</v>
      </c>
      <c r="K22" s="257">
        <f>Domestic!O22+Europe!O22+'Asia-Pacific'!O22+'Rest of world'!O22+'North America'!O22+'Latin America'!O22</f>
        <v>0</v>
      </c>
      <c r="L22" s="23">
        <f>Domestic!P22+Europe!P22+'Asia-Pacific'!P22+'Rest of world'!P22+'North America'!P22+'Latin America'!P22</f>
        <v>0</v>
      </c>
      <c r="M22" s="23">
        <f>Domestic!Q22+Europe!Q22+'Asia-Pacific'!Q22+'Rest of world'!Q22+'North America'!Q22+'Latin America'!Q22</f>
        <v>0</v>
      </c>
      <c r="N22" s="509">
        <f>Domestic!S22+Europe!S22+'Asia-Pacific'!S22+'Rest of world'!S22+'North America'!S22+'Latin America'!S22</f>
        <v>0</v>
      </c>
      <c r="O22" s="23">
        <f>Domestic!T22+Europe!T22+'Asia-Pacific'!T22+'Rest of world'!T22+'North America'!T22+'Latin America'!T22</f>
        <v>0</v>
      </c>
      <c r="P22" s="23">
        <f>Domestic!U22+Europe!U22+'Asia-Pacific'!U22+'Rest of world'!U22+'North America'!U22+'Latin America'!U22</f>
        <v>0</v>
      </c>
      <c r="Q22" s="510">
        <f>Domestic!W22+'North America'!W22+Europe!W22+'Asia-Pacific'!W22+'Rest of world'!W22+'Latin America'!W22</f>
        <v>0</v>
      </c>
      <c r="R22" s="23">
        <f>Domestic!X22+Europe!X22+'Asia-Pacific'!X22+'Rest of world'!X22+'North America'!X22+'Latin America'!X22</f>
        <v>0</v>
      </c>
      <c r="S22" s="23">
        <f>Domestic!Y22+Europe!Y22+'Asia-Pacific'!Y22+'Rest of world'!Y22+'North America'!Y22+'Latin America'!Y22</f>
        <v>11</v>
      </c>
      <c r="T22" s="510">
        <f>Domestic!AA22+Europe!AA22+'Asia-Pacific'!AA22+'Rest of world'!AA22+'North America'!AA22+'Latin America'!AA22</f>
        <v>0.19799594099999998</v>
      </c>
      <c r="U22" s="23">
        <f>Domestic!AB22+Europe!AB22+'Asia-Pacific'!AB22+'Rest of world'!AB22+'North America'!AB22+'Latin America'!AB22</f>
        <v>0</v>
      </c>
      <c r="V22" s="23">
        <f>Domestic!AC22+Europe!AC22+'Asia-Pacific'!AC22+'Rest of world'!AC22+'North America'!AC22+'Latin America'!AC22</f>
        <v>0</v>
      </c>
      <c r="W22" s="510">
        <f>Domestic!AE22+Europe!AE22+'Asia-Pacific'!AE22+'Rest of world'!AE22+'North America'!AE22+'Latin America'!AE22</f>
        <v>0</v>
      </c>
      <c r="X22" s="23">
        <f>Domestic!AF22+Europe!AF22+'Asia-Pacific'!AF22+'Rest of world'!AF22+'North America'!AF22+'Latin America'!AF22</f>
        <v>0</v>
      </c>
      <c r="Y22" s="23">
        <f>Domestic!AG22+Europe!AG22+'Asia-Pacific'!AG22+'Rest of world'!AG22+'North America'!AG22+'Latin America'!AG22</f>
        <v>239</v>
      </c>
      <c r="Z22" s="510">
        <f>Domestic!AI22+Europe!AI22+'Asia-Pacific'!AI22+'Rest of world'!AI22+'North America'!AI22+'Latin America'!AI22</f>
        <v>0.83826907799999995</v>
      </c>
      <c r="AA22" s="23">
        <f>Domestic!AJ22+Europe!AJ22+'Asia-Pacific'!AJ22+'Rest of world'!AJ22+'North America'!AJ22+'Latin America'!AJ22</f>
        <v>0</v>
      </c>
      <c r="AB22" s="23">
        <f>Domestic!AK22+Europe!AK22+'Asia-Pacific'!AK22+'Rest of world'!AK22+'North America'!AK22+'Latin America'!AK22</f>
        <v>0</v>
      </c>
      <c r="AC22" s="510">
        <f>Domestic!AM22+Europe!AM22+'Asia-Pacific'!AM22+'Rest of world'!AM22+'North America'!AM22+'Latin America'!AM22</f>
        <v>0</v>
      </c>
      <c r="AD22" s="23">
        <f>Domestic!AN22+Europe!AN22+'Asia-Pacific'!AN22+'Rest of world'!AN22+'North America'!AN22+'Latin America'!AN22</f>
        <v>0</v>
      </c>
      <c r="AE22" s="23">
        <f>Domestic!AO22+Europe!AO22+'Asia-Pacific'!AO22+'Rest of world'!AO22+'North America'!AO22+'Latin America'!AO22</f>
        <v>0</v>
      </c>
      <c r="AF22" s="510">
        <f>Domestic!AQ22+Europe!AQ22+'Asia-Pacific'!AQ22+'Rest of world'!AQ22+'North America'!AQ22+'Latin America'!AQ22</f>
        <v>0</v>
      </c>
      <c r="AG22" s="23">
        <f>Domestic!AR22+Europe!AR22+'Asia-Pacific'!AR22+'Rest of world'!AR22+'North America'!AR22+'Latin America'!AR22</f>
        <v>0</v>
      </c>
      <c r="AH22" s="23">
        <f>Domestic!AS22+Europe!AS22+'Asia-Pacific'!AS22+'Rest of world'!AS22+'North America'!AS22+'Latin America'!AS22</f>
        <v>143</v>
      </c>
      <c r="AI22" s="510">
        <f>Domestic!AU22+Europe!AU22+'Asia-Pacific'!AU22+'Rest of world'!AU22+'North America'!AU22+'Latin America'!AU22</f>
        <v>1.0023221780000002</v>
      </c>
      <c r="AJ22" s="23">
        <f>Domestic!AV22+Europe!AV22+'Asia-Pacific'!AV22+'Rest of world'!AV22+'North America'!AV22+'Latin America'!AV22</f>
        <v>0</v>
      </c>
      <c r="AK22" s="23">
        <f>Domestic!AQ22+Europe!AQ22+'Asia-Pacific'!AQ22+'Rest of world'!AQ22+'North America'!AQ22+'Latin America'!AQ22</f>
        <v>0</v>
      </c>
      <c r="AL22" s="510">
        <f>Domestic!AY22+Europe!AY22+'Asia-Pacific'!AY22+'Rest of world'!AY22+'North America'!AY22+'Latin America'!AY22</f>
        <v>0</v>
      </c>
      <c r="AM22" s="257">
        <f t="shared" si="13"/>
        <v>0</v>
      </c>
      <c r="AN22" s="257">
        <f t="shared" si="14"/>
        <v>0</v>
      </c>
      <c r="AO22" s="257">
        <f t="shared" si="15"/>
        <v>0</v>
      </c>
      <c r="AP22" s="257">
        <f t="shared" si="16"/>
        <v>0</v>
      </c>
      <c r="AQ22" s="257">
        <f t="shared" si="17"/>
        <v>11</v>
      </c>
      <c r="AR22" s="257">
        <f t="shared" si="18"/>
        <v>0.19799594099999998</v>
      </c>
      <c r="AS22" s="257">
        <f t="shared" si="19"/>
        <v>0</v>
      </c>
      <c r="AT22" s="257">
        <f t="shared" si="20"/>
        <v>239</v>
      </c>
      <c r="AU22" s="257">
        <f t="shared" si="21"/>
        <v>0.83826907799999995</v>
      </c>
      <c r="AV22" s="257">
        <f t="shared" si="22"/>
        <v>0</v>
      </c>
      <c r="AW22" s="257">
        <f t="shared" si="23"/>
        <v>143</v>
      </c>
      <c r="AX22" s="257">
        <f t="shared" si="24"/>
        <v>1.0023221780000002</v>
      </c>
      <c r="AY22" s="257">
        <f t="shared" si="25"/>
        <v>0</v>
      </c>
      <c r="AZ22" s="257">
        <f t="shared" si="26"/>
        <v>393</v>
      </c>
      <c r="BA22" s="257">
        <f t="shared" si="27"/>
        <v>2.038587197</v>
      </c>
      <c r="BB22" s="257">
        <f t="shared" si="28"/>
        <v>0</v>
      </c>
      <c r="BD22" s="23">
        <f t="shared" si="8"/>
        <v>0</v>
      </c>
      <c r="BE22" s="23">
        <f t="shared" si="9"/>
        <v>11</v>
      </c>
      <c r="BF22" s="466">
        <f t="shared" si="29"/>
        <v>0</v>
      </c>
      <c r="BG22" s="509">
        <f t="shared" si="11"/>
        <v>0.19799594099999998</v>
      </c>
      <c r="BH22" s="466">
        <f t="shared" si="12"/>
        <v>0</v>
      </c>
    </row>
    <row r="23" spans="1:60" ht="12.6" customHeight="1">
      <c r="A23" s="503" t="s">
        <v>243</v>
      </c>
      <c r="B23" s="510">
        <f t="shared" si="0"/>
        <v>0</v>
      </c>
      <c r="C23" s="23">
        <f>Domestic!D23+Europe!D23+'Asia-Pacific'!D23+'Rest of world'!D23+'North America'!D23+'Latin America'!D23</f>
        <v>0</v>
      </c>
      <c r="D23" s="23">
        <f>Domestic!E23+Europe!E23+'Asia-Pacific'!E23+'Rest of world'!E23+'North America'!E23+'Latin America'!E23</f>
        <v>0</v>
      </c>
      <c r="E23" s="257">
        <f>Domestic!G23+Europe!G23+'Asia-Pacific'!G23+'Rest of world'!G23+'North America'!G23+'Latin America'!G23</f>
        <v>0</v>
      </c>
      <c r="F23" s="23">
        <f>Domestic!H23+Europe!H23+'Asia-Pacific'!H23+'Rest of world'!H23+'North America'!H23+'Latin America'!H23</f>
        <v>0</v>
      </c>
      <c r="G23" s="23">
        <f>Domestic!I23+Europe!I23+'Asia-Pacific'!I23+'Rest of world'!I23+'North America'!I23+'Latin America'!I23</f>
        <v>0</v>
      </c>
      <c r="H23" s="257">
        <f>Domestic!K23+Europe!K23+'Asia-Pacific'!K23+'Rest of world'!K23+'North America'!K23+'Latin America'!K23</f>
        <v>0</v>
      </c>
      <c r="I23" s="23">
        <f>Domestic!L23+Europe!L23+'Asia-Pacific'!L23+'Rest of world'!L23+'North America'!L23+'Latin America'!L23</f>
        <v>0</v>
      </c>
      <c r="J23" s="23">
        <f>Domestic!M23+Europe!M23+'Asia-Pacific'!M23+'Rest of world'!M23+'North America'!M23+'Latin America'!M23</f>
        <v>482</v>
      </c>
      <c r="K23" s="257">
        <f>Domestic!O23+Europe!O23+'Asia-Pacific'!O23+'Rest of world'!O23+'North America'!O23+'Latin America'!O23</f>
        <v>3.9661882944000002</v>
      </c>
      <c r="L23" s="23">
        <f>Domestic!P23+Europe!P23+'Asia-Pacific'!P23+'Rest of world'!P23+'North America'!P23+'Latin America'!P23</f>
        <v>0</v>
      </c>
      <c r="M23" s="23">
        <f>Domestic!Q23+Europe!Q23+'Asia-Pacific'!Q23+'Rest of world'!Q23+'North America'!Q23+'Latin America'!Q23</f>
        <v>877</v>
      </c>
      <c r="N23" s="509">
        <f>Domestic!S23+Europe!S23+'Asia-Pacific'!S23+'Rest of world'!S23+'North America'!S23+'Latin America'!S23</f>
        <v>7.1529294088000013</v>
      </c>
      <c r="O23" s="23">
        <f>Domestic!T23+Europe!T23+'Asia-Pacific'!T23+'Rest of world'!T23+'North America'!T23+'Latin America'!T23</f>
        <v>0</v>
      </c>
      <c r="P23" s="23">
        <f>Domestic!U23+Europe!U23+'Asia-Pacific'!U23+'Rest of world'!U23+'North America'!U23+'Latin America'!U23</f>
        <v>282</v>
      </c>
      <c r="Q23" s="510">
        <f>Domestic!W23+'North America'!W23+Europe!W23+'Asia-Pacific'!W23+'Rest of world'!W23+'Latin America'!W23</f>
        <v>2.2014267564000005</v>
      </c>
      <c r="R23" s="23">
        <f>Domestic!X23+Europe!X23+'Asia-Pacific'!X23+'Rest of world'!X23+'North America'!X23+'Latin America'!X23</f>
        <v>0</v>
      </c>
      <c r="S23" s="23">
        <f ca="1">Domestic!Y23+Europe!Y23+'Asia-Pacific'!Y23+'Rest of world'!Y23+'North America'!Y23+'Latin America'!Y23</f>
        <v>417</v>
      </c>
      <c r="T23" s="510">
        <f ca="1">Domestic!AA23+Europe!AA23+'Asia-Pacific'!AA23+'Rest of world'!AA23+'North America'!AA23+'Latin America'!AA23</f>
        <v>3.3742534431000002</v>
      </c>
      <c r="U23" s="23">
        <f>Domestic!AB23+Europe!AB23+'Asia-Pacific'!AB23+'Rest of world'!AB23+'North America'!AB23+'Latin America'!AB23</f>
        <v>0</v>
      </c>
      <c r="V23" s="23">
        <f>Domestic!AC23+Europe!AC23+'Asia-Pacific'!AC23+'Rest of world'!AC23+'North America'!AC23+'Latin America'!AC23</f>
        <v>0</v>
      </c>
      <c r="W23" s="510">
        <f>Domestic!AE23+Europe!AE23+'Asia-Pacific'!AE23+'Rest of world'!AE23+'North America'!AE23+'Latin America'!AE23</f>
        <v>0</v>
      </c>
      <c r="X23" s="23">
        <f>Domestic!AF23+Europe!AF23+'Asia-Pacific'!AF23+'Rest of world'!AF23+'North America'!AF23+'Latin America'!AF23</f>
        <v>0</v>
      </c>
      <c r="Y23" s="23">
        <f>Domestic!AG23+Europe!AG23+'Asia-Pacific'!AG23+'Rest of world'!AG23+'North America'!AG23+'Latin America'!AG23</f>
        <v>0</v>
      </c>
      <c r="Z23" s="510">
        <f>Domestic!AI23+Europe!AI23+'Asia-Pacific'!AI23+'Rest of world'!AI23+'North America'!AI23+'Latin America'!AI23</f>
        <v>0</v>
      </c>
      <c r="AA23" s="23">
        <f>Domestic!AJ23+Europe!AJ23+'Asia-Pacific'!AJ23+'Rest of world'!AJ23+'North America'!AJ23+'Latin America'!AJ23</f>
        <v>0</v>
      </c>
      <c r="AB23" s="23">
        <f>Domestic!AK23+Europe!AK23+'Asia-Pacific'!AK23+'Rest of world'!AK23+'North America'!AK23+'Latin America'!AK23</f>
        <v>0</v>
      </c>
      <c r="AC23" s="510">
        <f>Domestic!AM23+Europe!AM23+'Asia-Pacific'!AM23+'Rest of world'!AM23+'North America'!AM23+'Latin America'!AM23</f>
        <v>0</v>
      </c>
      <c r="AD23" s="23">
        <f>Domestic!AN23+Europe!AN23+'Asia-Pacific'!AN23+'Rest of world'!AN23+'North America'!AN23+'Latin America'!AN23</f>
        <v>0</v>
      </c>
      <c r="AE23" s="23">
        <f>Domestic!AO23+Europe!AO23+'Asia-Pacific'!AO23+'Rest of world'!AO23+'North America'!AO23+'Latin America'!AO23</f>
        <v>0</v>
      </c>
      <c r="AF23" s="510">
        <f>Domestic!AQ23+Europe!AQ23+'Asia-Pacific'!AQ23+'Rest of world'!AQ23+'North America'!AQ23+'Latin America'!AQ23</f>
        <v>0</v>
      </c>
      <c r="AG23" s="23">
        <f>Domestic!AR23+Europe!AR23+'Asia-Pacific'!AR23+'Rest of world'!AR23+'North America'!AR23+'Latin America'!AR23</f>
        <v>0</v>
      </c>
      <c r="AH23" s="23">
        <f>Domestic!AS23+Europe!AS23+'Asia-Pacific'!AS23+'Rest of world'!AS23+'North America'!AS23+'Latin America'!AS23</f>
        <v>0</v>
      </c>
      <c r="AI23" s="510">
        <f>Domestic!AU23+Europe!AU23+'Asia-Pacific'!AU23+'Rest of world'!AU23+'North America'!AU23+'Latin America'!AU23</f>
        <v>0</v>
      </c>
      <c r="AJ23" s="23">
        <f>Domestic!AV23+Europe!AV23+'Asia-Pacific'!AV23+'Rest of world'!AV23+'North America'!AV23+'Latin America'!AV23</f>
        <v>0</v>
      </c>
      <c r="AK23" s="23">
        <f>Domestic!AQ23+Europe!AQ23+'Asia-Pacific'!AQ23+'Rest of world'!AQ23+'North America'!AQ23+'Latin America'!AQ23</f>
        <v>0</v>
      </c>
      <c r="AL23" s="510">
        <f ca="1">Domestic!AY23+Europe!AY23+'Asia-Pacific'!AY23+'Rest of world'!AY23+'North America'!AY23+'Latin America'!AY23</f>
        <v>0</v>
      </c>
      <c r="AM23" s="257">
        <f t="shared" si="13"/>
        <v>0</v>
      </c>
      <c r="AN23" s="257">
        <f t="shared" si="14"/>
        <v>482</v>
      </c>
      <c r="AO23" s="257">
        <f t="shared" si="15"/>
        <v>3.9661882944000002</v>
      </c>
      <c r="AP23" s="257">
        <f t="shared" si="16"/>
        <v>0</v>
      </c>
      <c r="AQ23" s="257">
        <f t="shared" ca="1" si="17"/>
        <v>1576</v>
      </c>
      <c r="AR23" s="257">
        <f t="shared" ca="1" si="18"/>
        <v>12.728609608300003</v>
      </c>
      <c r="AS23" s="257">
        <f t="shared" si="19"/>
        <v>0</v>
      </c>
      <c r="AT23" s="257">
        <f t="shared" si="20"/>
        <v>0</v>
      </c>
      <c r="AU23" s="257">
        <f t="shared" si="21"/>
        <v>0</v>
      </c>
      <c r="AV23" s="257">
        <f t="shared" si="22"/>
        <v>0</v>
      </c>
      <c r="AW23" s="257">
        <f t="shared" si="23"/>
        <v>0</v>
      </c>
      <c r="AX23" s="257">
        <f t="shared" ca="1" si="24"/>
        <v>0</v>
      </c>
      <c r="AY23" s="257">
        <f t="shared" si="25"/>
        <v>0</v>
      </c>
      <c r="AZ23" s="257">
        <f t="shared" ca="1" si="26"/>
        <v>2058</v>
      </c>
      <c r="BA23" s="257">
        <f t="shared" ca="1" si="27"/>
        <v>16.694797902700003</v>
      </c>
      <c r="BB23" s="257">
        <f t="shared" ca="1" si="28"/>
        <v>0</v>
      </c>
      <c r="BD23" s="23">
        <f t="shared" si="8"/>
        <v>0</v>
      </c>
      <c r="BE23" s="23">
        <f t="shared" ca="1" si="9"/>
        <v>2058</v>
      </c>
      <c r="BF23" s="466">
        <f t="shared" ca="1" si="29"/>
        <v>0</v>
      </c>
      <c r="BG23" s="509">
        <f t="shared" ca="1" si="11"/>
        <v>16.6947979027</v>
      </c>
      <c r="BH23" s="466">
        <f t="shared" ca="1" si="12"/>
        <v>0</v>
      </c>
    </row>
    <row r="24" spans="1:60" ht="12.6" customHeight="1">
      <c r="A24" s="482" t="s">
        <v>73</v>
      </c>
      <c r="B24" s="484">
        <f>SUM(B6:B23)</f>
        <v>88804</v>
      </c>
      <c r="C24" s="457">
        <f t="shared" ref="C24:M24" si="30">SUM(C6:C23)</f>
        <v>4593</v>
      </c>
      <c r="D24" s="457">
        <f t="shared" si="30"/>
        <v>3243</v>
      </c>
      <c r="E24" s="458">
        <f t="shared" ref="E24" si="31">SUM(E6:E23)</f>
        <v>12.942294600699999</v>
      </c>
      <c r="F24" s="457">
        <f t="shared" si="30"/>
        <v>6748</v>
      </c>
      <c r="G24" s="457">
        <f t="shared" si="30"/>
        <v>5260</v>
      </c>
      <c r="H24" s="458">
        <f t="shared" ref="H24" si="32">SUM(H6:H23)</f>
        <v>20.054302669600006</v>
      </c>
      <c r="I24" s="457">
        <f t="shared" si="30"/>
        <v>6456</v>
      </c>
      <c r="J24" s="457">
        <f t="shared" si="30"/>
        <v>5212</v>
      </c>
      <c r="K24" s="458">
        <f t="shared" ref="K24" si="33">SUM(K6:K23)</f>
        <v>22.013874039199997</v>
      </c>
      <c r="L24" s="457">
        <f t="shared" si="30"/>
        <v>8406</v>
      </c>
      <c r="M24" s="457">
        <f t="shared" si="30"/>
        <v>6342</v>
      </c>
      <c r="N24" s="458">
        <f t="shared" ref="N24:S24" si="34">SUM(N6:N23)</f>
        <v>30.206483827568039</v>
      </c>
      <c r="O24" s="457">
        <f t="shared" si="34"/>
        <v>7433</v>
      </c>
      <c r="P24" s="457">
        <f t="shared" si="34"/>
        <v>5354</v>
      </c>
      <c r="Q24" s="458">
        <f t="shared" si="34"/>
        <v>25.2898304649</v>
      </c>
      <c r="R24" s="457">
        <f t="shared" si="34"/>
        <v>8786</v>
      </c>
      <c r="S24" s="457">
        <f t="shared" ca="1" si="34"/>
        <v>5388</v>
      </c>
      <c r="T24" s="458">
        <f t="shared" ref="T24:AJ24" ca="1" si="35">SUM(T6:T23)</f>
        <v>23.894656435699996</v>
      </c>
      <c r="U24" s="457">
        <f t="shared" si="35"/>
        <v>7706</v>
      </c>
      <c r="V24" s="457">
        <f t="shared" si="35"/>
        <v>5193</v>
      </c>
      <c r="W24" s="458">
        <f t="shared" si="35"/>
        <v>20.334371382738379</v>
      </c>
      <c r="X24" s="457">
        <f t="shared" si="35"/>
        <v>8441</v>
      </c>
      <c r="Y24" s="457">
        <f t="shared" si="35"/>
        <v>3977</v>
      </c>
      <c r="Z24" s="458">
        <f t="shared" si="35"/>
        <v>10.780536344116015</v>
      </c>
      <c r="AA24" s="457">
        <f t="shared" si="35"/>
        <v>7835</v>
      </c>
      <c r="AB24" s="457">
        <f t="shared" si="35"/>
        <v>4355</v>
      </c>
      <c r="AC24" s="458">
        <f t="shared" si="35"/>
        <v>19.678501922009087</v>
      </c>
      <c r="AD24" s="457">
        <f t="shared" si="35"/>
        <v>7523</v>
      </c>
      <c r="AE24" s="457">
        <f t="shared" si="35"/>
        <v>4813</v>
      </c>
      <c r="AF24" s="458">
        <f t="shared" si="35"/>
        <v>19.885583900051579</v>
      </c>
      <c r="AG24" s="457">
        <f t="shared" si="35"/>
        <v>8523</v>
      </c>
      <c r="AH24" s="457">
        <f t="shared" si="35"/>
        <v>4856</v>
      </c>
      <c r="AI24" s="458">
        <f t="shared" si="35"/>
        <v>15.090249080411075</v>
      </c>
      <c r="AJ24" s="457">
        <f t="shared" si="35"/>
        <v>6354</v>
      </c>
      <c r="AK24" s="457">
        <f t="shared" ref="AK24" si="36">SUM(AK6:AK23)</f>
        <v>19.885583900051579</v>
      </c>
      <c r="AL24" s="458">
        <f ca="1">SUM(AL6:AL23)</f>
        <v>0</v>
      </c>
      <c r="AM24" s="457">
        <f t="shared" ref="AM24:AX24" si="37">SUM(AM6:AM23)</f>
        <v>17797</v>
      </c>
      <c r="AN24" s="457">
        <f t="shared" si="37"/>
        <v>13715</v>
      </c>
      <c r="AO24" s="457">
        <f t="shared" si="37"/>
        <v>55.010471309500005</v>
      </c>
      <c r="AP24" s="457">
        <f t="shared" si="37"/>
        <v>24625</v>
      </c>
      <c r="AQ24" s="457">
        <f t="shared" ca="1" si="37"/>
        <v>17084</v>
      </c>
      <c r="AR24" s="457">
        <f t="shared" ca="1" si="37"/>
        <v>79.390970728168043</v>
      </c>
      <c r="AS24" s="457">
        <f t="shared" si="37"/>
        <v>23982</v>
      </c>
      <c r="AT24" s="457">
        <f t="shared" si="37"/>
        <v>13525</v>
      </c>
      <c r="AU24" s="457">
        <f t="shared" si="37"/>
        <v>50.793409648863495</v>
      </c>
      <c r="AV24" s="457">
        <f t="shared" si="37"/>
        <v>22400</v>
      </c>
      <c r="AW24" s="457">
        <f t="shared" si="37"/>
        <v>9688.8855839000516</v>
      </c>
      <c r="AX24" s="457">
        <f t="shared" ca="1" si="37"/>
        <v>34.975832980462648</v>
      </c>
      <c r="AY24" s="457">
        <f>SUM(AY6:AY23)</f>
        <v>88804</v>
      </c>
      <c r="AZ24" s="457">
        <f t="shared" ref="AZ24:BA24" ca="1" si="38">SUM(AZ6:AZ23)</f>
        <v>54012.885583900046</v>
      </c>
      <c r="BA24" s="457">
        <f t="shared" ca="1" si="38"/>
        <v>220.17068466699413</v>
      </c>
      <c r="BB24" s="458">
        <f t="shared" ca="1" si="28"/>
        <v>0.6082258184755196</v>
      </c>
      <c r="BD24" s="457">
        <f>SUM(BD6:BD23)</f>
        <v>42422</v>
      </c>
      <c r="BE24" s="457">
        <f ca="1">SUM(BE6:BE23)</f>
        <v>30799</v>
      </c>
      <c r="BF24" s="467">
        <f t="shared" ca="1" si="10"/>
        <v>0.7260148036396209</v>
      </c>
      <c r="BG24" s="511">
        <f t="shared" ref="BG24" ca="1" si="39">SUM(BG6:BG23)</f>
        <v>134.40144203766803</v>
      </c>
      <c r="BH24" s="525">
        <f t="shared" ca="1" si="12"/>
        <v>0.34681996306472679</v>
      </c>
    </row>
    <row r="25" spans="1:60" s="31" customFormat="1" ht="9" customHeight="1">
      <c r="A25" s="504"/>
      <c r="B25" s="493"/>
      <c r="C25" s="459"/>
      <c r="D25" s="459"/>
      <c r="E25" s="460"/>
      <c r="F25" s="459"/>
      <c r="G25" s="459"/>
      <c r="H25" s="460"/>
      <c r="I25" s="459"/>
      <c r="J25" s="459"/>
      <c r="K25" s="460"/>
      <c r="L25" s="459"/>
      <c r="M25" s="459"/>
      <c r="N25" s="460"/>
      <c r="O25" s="459"/>
      <c r="P25" s="459"/>
      <c r="Q25" s="460"/>
      <c r="R25" s="459"/>
      <c r="S25" s="459"/>
      <c r="T25" s="460"/>
      <c r="U25" s="459"/>
      <c r="V25" s="459"/>
      <c r="W25" s="460"/>
      <c r="X25" s="459"/>
      <c r="Y25" s="459"/>
      <c r="Z25" s="460"/>
      <c r="AA25" s="459"/>
      <c r="AB25" s="459"/>
      <c r="AC25" s="460"/>
      <c r="AD25" s="459"/>
      <c r="AE25" s="459"/>
      <c r="AF25" s="460"/>
      <c r="AG25" s="459"/>
      <c r="AH25" s="459"/>
      <c r="AI25" s="460"/>
      <c r="AJ25" s="459"/>
      <c r="AK25" s="459"/>
      <c r="AL25" s="460"/>
      <c r="AM25" s="460"/>
      <c r="AN25" s="460"/>
      <c r="AO25" s="460"/>
      <c r="AP25" s="460"/>
      <c r="AQ25" s="460"/>
      <c r="AR25" s="460"/>
      <c r="AS25" s="460"/>
      <c r="AT25" s="460"/>
      <c r="AU25" s="460"/>
      <c r="AV25" s="460"/>
      <c r="AW25" s="460"/>
      <c r="AX25" s="460"/>
      <c r="AY25" s="460"/>
      <c r="AZ25" s="460"/>
      <c r="BA25" s="460"/>
      <c r="BB25" s="460"/>
      <c r="BC25" s="473"/>
      <c r="BD25" s="492"/>
      <c r="BE25" s="492"/>
      <c r="BF25" s="468">
        <f t="shared" si="10"/>
        <v>0</v>
      </c>
      <c r="BG25" s="528"/>
      <c r="BH25" s="526">
        <f t="shared" si="12"/>
        <v>0</v>
      </c>
    </row>
    <row r="26" spans="1:60" ht="12.6" customHeight="1">
      <c r="A26" s="254" t="s">
        <v>33</v>
      </c>
      <c r="B26" s="510">
        <f t="shared" ref="B26:B53" si="40">C26+F26+I26+L26+O26+R26+U26+X26+AA26+AD26+AG26+AJ26</f>
        <v>692</v>
      </c>
      <c r="C26" s="23">
        <f>Domestic!D26+Europe!D26+'Asia-Pacific'!D26+'Rest of world'!D26+'North America'!D26+'Latin America'!D26</f>
        <v>40</v>
      </c>
      <c r="D26" s="23">
        <f>Domestic!E26+Europe!E26+'Asia-Pacific'!E26+'Rest of world'!E26+'North America'!E26+'Latin America'!E26</f>
        <v>43</v>
      </c>
      <c r="E26" s="257">
        <f>Domestic!G26+Europe!G26+'Asia-Pacific'!G26+'Rest of world'!G26+'North America'!G26+'Latin America'!G26</f>
        <v>1.4861467052857142</v>
      </c>
      <c r="F26" s="23">
        <f>Domestic!H26+Europe!H26+'Asia-Pacific'!H26+'Rest of world'!H26+'North America'!H26+'Latin America'!H26</f>
        <v>40</v>
      </c>
      <c r="G26" s="23">
        <f>Domestic!I26+Europe!I26+'Asia-Pacific'!I26+'Rest of world'!I26+'North America'!I26+'Latin America'!I26</f>
        <v>40</v>
      </c>
      <c r="H26" s="257">
        <f>Domestic!K26+Europe!K26+'Asia-Pacific'!K26+'Rest of world'!K26+'North America'!K26+'Latin America'!K26</f>
        <v>1.3688638971428568</v>
      </c>
      <c r="I26" s="23">
        <f>Domestic!L26+Europe!L26+'Asia-Pacific'!L26+'Rest of world'!L26+'North America'!L26+'Latin America'!L26</f>
        <v>100</v>
      </c>
      <c r="J26" s="23">
        <f>Domestic!M26+Europe!M26+'Asia-Pacific'!M26+'Rest of world'!M26+'North America'!M26+'Latin America'!M26</f>
        <v>21</v>
      </c>
      <c r="K26" s="257">
        <f>Domestic!O26+Europe!O26+'Asia-Pacific'!O26+'Rest of world'!O26+'North America'!O26+'Latin America'!O26</f>
        <v>0.73640651200000007</v>
      </c>
      <c r="L26" s="23">
        <f>Domestic!P26+Europe!P26+'Asia-Pacific'!P26+'Rest of world'!P26+'North America'!P26+'Latin America'!P26</f>
        <v>60</v>
      </c>
      <c r="M26" s="23">
        <f>Domestic!Q26+Europe!Q26+'Asia-Pacific'!Q26+'Rest of world'!Q26+'North America'!Q26+'Latin America'!Q26</f>
        <v>22</v>
      </c>
      <c r="N26" s="509">
        <f>Domestic!S26+Europe!S26+'Asia-Pacific'!S26+'Rest of world'!S26+'North America'!S26+'Latin America'!S26</f>
        <v>0.75170982857142854</v>
      </c>
      <c r="O26" s="23">
        <f>Domestic!T26+Europe!T26+'Asia-Pacific'!T26+'Rest of world'!T26+'North America'!T26+'Latin America'!T26</f>
        <v>92</v>
      </c>
      <c r="P26" s="23">
        <f>Domestic!U26+Europe!U26+'Asia-Pacific'!U26+'Rest of world'!U26+'North America'!U26+'Latin America'!U26</f>
        <v>21</v>
      </c>
      <c r="Q26" s="510">
        <f>Domestic!W26+'North America'!W26+Europe!W26+'Asia-Pacific'!W26+'Rest of world'!W26+'Latin America'!W26</f>
        <v>0.72943660500000007</v>
      </c>
      <c r="R26" s="23">
        <f>Domestic!X26+Europe!X26+'Asia-Pacific'!X26+'Rest of world'!X26+'North America'!X26+'Latin America'!X26</f>
        <v>40</v>
      </c>
      <c r="S26" s="23">
        <f>Domestic!Y26+Europe!Y26+'Asia-Pacific'!Y26+'Rest of world'!Y26+'North America'!Y26+'Latin America'!Y26</f>
        <v>160</v>
      </c>
      <c r="T26" s="510">
        <f>Domestic!AA26+Europe!AA26+'Asia-Pacific'!AA26+'Rest of world'!AA26+'North America'!AA26+'Latin America'!AA26</f>
        <v>5.2536876711428571</v>
      </c>
      <c r="U26" s="23">
        <f>Domestic!AB26+Europe!AB26+'Asia-Pacific'!AB26+'Rest of world'!AB26+'North America'!AB26+'Latin America'!AB26</f>
        <v>60</v>
      </c>
      <c r="V26" s="23">
        <f>Domestic!AC26+Europe!AC26+'Asia-Pacific'!AC26+'Rest of world'!AC26+'North America'!AC26+'Latin America'!AC26</f>
        <v>164</v>
      </c>
      <c r="W26" s="510">
        <f>Domestic!AE26+Europe!AE26+'Asia-Pacific'!AE26+'Rest of world'!AE26+'North America'!AE26+'Latin America'!AE26</f>
        <v>5.4482968803542811</v>
      </c>
      <c r="X26" s="23">
        <f>Domestic!AF26+Europe!AF26+'Asia-Pacific'!AF26+'Rest of world'!AF26+'North America'!AF26+'Latin America'!AF26</f>
        <v>60</v>
      </c>
      <c r="Y26" s="23">
        <f>Domestic!AG26+Europe!AG26+'Asia-Pacific'!AG26+'Rest of world'!AG26+'North America'!AG26+'Latin America'!AG26</f>
        <v>72</v>
      </c>
      <c r="Z26" s="510">
        <f>Domestic!AI26+Europe!AI26+'Asia-Pacific'!AI26+'Rest of world'!AI26+'North America'!AI26+'Latin America'!AI26</f>
        <v>2.4696718789690597</v>
      </c>
      <c r="AA26" s="23">
        <f>Domestic!AJ26+Europe!AJ26+'Asia-Pacific'!AJ26+'Rest of world'!AJ26+'North America'!AJ26+'Latin America'!AJ26</f>
        <v>40</v>
      </c>
      <c r="AB26" s="23">
        <f>Domestic!AK26+Europe!AK26+'Asia-Pacific'!AK26+'Rest of world'!AK26+'North America'!AK26+'Latin America'!AK26</f>
        <v>88</v>
      </c>
      <c r="AC26" s="510">
        <f>Domestic!AM26+Europe!AM26+'Asia-Pacific'!AM26+'Rest of world'!AM26+'North America'!AM26+'Latin America'!AM26</f>
        <v>2.98893227971217</v>
      </c>
      <c r="AD26" s="23">
        <f>Domestic!AN26+Europe!AN26+'Asia-Pacific'!AN26+'Rest of world'!AN26+'North America'!AN26+'Latin America'!AN26</f>
        <v>60</v>
      </c>
      <c r="AE26" s="23">
        <f>Domestic!AO26+Europe!AO26+'Asia-Pacific'!AO26+'Rest of world'!AO26+'North America'!AO26+'Latin America'!AO26</f>
        <v>52</v>
      </c>
      <c r="AF26" s="510">
        <f>Domestic!AQ26+Europe!AQ26+'Asia-Pacific'!AQ26+'Rest of world'!AQ26+'North America'!AQ26+'Latin America'!AQ26</f>
        <v>1.7718843283157062</v>
      </c>
      <c r="AG26" s="23">
        <f>Domestic!AR26+Europe!AR26+'Asia-Pacific'!AR26+'Rest of world'!AR26+'North America'!AR26+'Latin America'!AR26</f>
        <v>60</v>
      </c>
      <c r="AH26" s="23">
        <f>Domestic!AS26+Europe!AS26+'Asia-Pacific'!AS26+'Rest of world'!AS26+'North America'!AS26+'Latin America'!AS26</f>
        <v>51</v>
      </c>
      <c r="AI26" s="510">
        <f>Domestic!AU26+Europe!AU26+'Asia-Pacific'!AU26+'Rest of world'!AU26+'North America'!AU26+'Latin America'!AU26</f>
        <v>1.7261757551579329</v>
      </c>
      <c r="AJ26" s="23">
        <f>Domestic!AV26+Europe!AV26+'Asia-Pacific'!AV26+'Rest of world'!AV26+'North America'!AV26+'Latin America'!AV26</f>
        <v>40</v>
      </c>
      <c r="AK26" s="23">
        <f>Domestic!AQ26+Europe!AQ26+'Asia-Pacific'!AQ26+'Rest of world'!AQ26+'North America'!AQ26+'Latin America'!AQ26</f>
        <v>1.7718843283157062</v>
      </c>
      <c r="AL26" s="510">
        <f>Domestic!AY26+Europe!AY26+'Asia-Pacific'!AY26+'Rest of world'!AY26+'North America'!AY26+'Latin America'!AY26</f>
        <v>0</v>
      </c>
      <c r="AM26" s="257">
        <f t="shared" ref="AM26:AM53" si="41">(C26+F26+I26)</f>
        <v>180</v>
      </c>
      <c r="AN26" s="257">
        <f t="shared" ref="AN26:AN53" si="42">(D26+G26+J26)</f>
        <v>104</v>
      </c>
      <c r="AO26" s="257">
        <f t="shared" ref="AO26:AO53" si="43">(E26+H26+K26)</f>
        <v>3.5914171144285714</v>
      </c>
      <c r="AP26" s="257">
        <f t="shared" ref="AP26:AP53" si="44">(L26+O26+R26)</f>
        <v>192</v>
      </c>
      <c r="AQ26" s="257">
        <f t="shared" ref="AQ26:AQ53" si="45">(M26+P26+S26)</f>
        <v>203</v>
      </c>
      <c r="AR26" s="257">
        <f t="shared" ref="AR26:AR53" si="46">(N26+Q26+T26)</f>
        <v>6.7348341047142855</v>
      </c>
      <c r="AS26" s="257">
        <f t="shared" ref="AS26:AS53" si="47">(U26+X26+AA26)</f>
        <v>160</v>
      </c>
      <c r="AT26" s="257">
        <f t="shared" ref="AT26:AT53" si="48">(V26+Y26+AB26)</f>
        <v>324</v>
      </c>
      <c r="AU26" s="257">
        <f t="shared" ref="AU26:AU53" si="49">(W26+Z26+AC26)</f>
        <v>10.90690103903551</v>
      </c>
      <c r="AV26" s="257">
        <f t="shared" ref="AV26:AV53" si="50">(AD26+AG26+AJ26)</f>
        <v>160</v>
      </c>
      <c r="AW26" s="257">
        <f t="shared" ref="AW26:AW53" si="51">(AE26+AH26+AK26)</f>
        <v>104.77188432831571</v>
      </c>
      <c r="AX26" s="257">
        <f t="shared" ref="AX26:AX53" si="52">(AF26+AI26+AL26)</f>
        <v>3.4980600834736393</v>
      </c>
      <c r="AY26" s="257">
        <f t="shared" ref="AY26:AY53" si="53">AM26+AP26+AS26+AV26</f>
        <v>692</v>
      </c>
      <c r="AZ26" s="257">
        <f t="shared" ref="AZ26:AZ53" si="54">AN26+AQ26+AT26+AW26</f>
        <v>735.77188432831576</v>
      </c>
      <c r="BA26" s="257">
        <f t="shared" ref="BA26:BA53" si="55">AO26+AR26+AU26+AX26</f>
        <v>24.731212341652007</v>
      </c>
      <c r="BB26" s="257">
        <f t="shared" ref="BB26:BB54" si="56">IFERROR(AZ26/AY26,0)</f>
        <v>1.0632541681045025</v>
      </c>
      <c r="BD26" s="23">
        <f t="shared" ref="BD26:BD53" si="57">C26+F26+I26+L26+O26+R26</f>
        <v>372</v>
      </c>
      <c r="BE26" s="23">
        <f t="shared" ref="BE26:BE53" si="58">D26+G26+J26+M26+P26+S26</f>
        <v>307</v>
      </c>
      <c r="BF26" s="466">
        <f t="shared" ref="BF26:BF53" si="59">IFERROR(BE26/BD26,0)</f>
        <v>0.82526881720430112</v>
      </c>
      <c r="BG26" s="509">
        <f t="shared" ref="BG26:BG53" si="60">E26+H26+K26+N26+Q26+T26</f>
        <v>10.326251219142858</v>
      </c>
      <c r="BH26" s="466">
        <f t="shared" si="12"/>
        <v>0.44364161849710981</v>
      </c>
    </row>
    <row r="27" spans="1:60" ht="12.6" customHeight="1">
      <c r="A27" s="254" t="s">
        <v>34</v>
      </c>
      <c r="B27" s="510">
        <f t="shared" si="40"/>
        <v>1900</v>
      </c>
      <c r="C27" s="23">
        <f>Domestic!D27+Europe!D27+'Asia-Pacific'!D27+'Rest of world'!D27+'North America'!D27+'Latin America'!D27</f>
        <v>160</v>
      </c>
      <c r="D27" s="23">
        <f>Domestic!E27+Europe!E27+'Asia-Pacific'!E27+'Rest of world'!E27+'North America'!E27+'Latin America'!E27</f>
        <v>119</v>
      </c>
      <c r="E27" s="257">
        <f>Domestic!G27+Europe!G27+'Asia-Pacific'!G27+'Rest of world'!G27+'North America'!G27+'Latin America'!G27</f>
        <v>3.0296387887999998</v>
      </c>
      <c r="F27" s="23">
        <f>Domestic!H27+Europe!H27+'Asia-Pacific'!H27+'Rest of world'!H27+'North America'!H27+'Latin America'!H27</f>
        <v>160</v>
      </c>
      <c r="G27" s="23">
        <f>Domestic!I27+Europe!I27+'Asia-Pacific'!I27+'Rest of world'!I27+'North America'!I27+'Latin America'!I27</f>
        <v>139</v>
      </c>
      <c r="H27" s="257">
        <f>Domestic!K27+Europe!K27+'Asia-Pacific'!K27+'Rest of world'!K27+'North America'!K27+'Latin America'!K27</f>
        <v>3.627350536971429</v>
      </c>
      <c r="I27" s="23">
        <f>Domestic!L27+Europe!L27+'Asia-Pacific'!L27+'Rest of world'!L27+'North America'!L27+'Latin America'!L27</f>
        <v>160</v>
      </c>
      <c r="J27" s="23">
        <f>Domestic!M27+Europe!M27+'Asia-Pacific'!M27+'Rest of world'!M27+'North America'!M27+'Latin America'!M27</f>
        <v>119</v>
      </c>
      <c r="K27" s="257">
        <f>Domestic!O27+Europe!O27+'Asia-Pacific'!O27+'Rest of world'!O27+'North America'!O27+'Latin America'!O27</f>
        <v>3.5333262672000005</v>
      </c>
      <c r="L27" s="23">
        <f>Domestic!P27+Europe!P27+'Asia-Pacific'!P27+'Rest of world'!P27+'North America'!P27+'Latin America'!P27</f>
        <v>160</v>
      </c>
      <c r="M27" s="23">
        <f>Domestic!Q27+Europe!Q27+'Asia-Pacific'!Q27+'Rest of world'!Q27+'North America'!Q27+'Latin America'!Q27</f>
        <v>138</v>
      </c>
      <c r="N27" s="509">
        <f>Domestic!S27+Europe!S27+'Asia-Pacific'!S27+'Rest of world'!S27+'North America'!S27+'Latin America'!S27</f>
        <v>3.5543193572571434</v>
      </c>
      <c r="O27" s="23">
        <f>Domestic!T27+Europe!T27+'Asia-Pacific'!T27+'Rest of world'!T27+'North America'!T27+'Latin America'!T27</f>
        <v>160</v>
      </c>
      <c r="P27" s="23">
        <f>Domestic!U27+Europe!U27+'Asia-Pacific'!U27+'Rest of world'!U27+'North America'!U27+'Latin America'!U27</f>
        <v>61</v>
      </c>
      <c r="Q27" s="510">
        <f>Domestic!W27+'North America'!W27+Europe!W27+'Asia-Pacific'!W27+'Rest of world'!W27+'Latin America'!W27</f>
        <v>1.704790475657143</v>
      </c>
      <c r="R27" s="23">
        <f>Domestic!X27+Europe!X27+'Asia-Pacific'!X27+'Rest of world'!X27+'North America'!X27+'Latin America'!X27</f>
        <v>160</v>
      </c>
      <c r="S27" s="23">
        <f>Domestic!Y27+Europe!Y27+'Asia-Pacific'!Y27+'Rest of world'!Y27+'North America'!Y27+'Latin America'!Y27</f>
        <v>283</v>
      </c>
      <c r="T27" s="510">
        <f>Domestic!AA27+Europe!AA27+'Asia-Pacific'!AA27+'Rest of world'!AA27+'North America'!AA27+'Latin America'!AA27</f>
        <v>7.78887524777143</v>
      </c>
      <c r="U27" s="23">
        <f>Domestic!AB27+Europe!AB27+'Asia-Pacific'!AB27+'Rest of world'!AB27+'North America'!AB27+'Latin America'!AB27</f>
        <v>160</v>
      </c>
      <c r="V27" s="23">
        <f>Domestic!AC27+Europe!AC27+'Asia-Pacific'!AC27+'Rest of world'!AC27+'North America'!AC27+'Latin America'!AC27</f>
        <v>179</v>
      </c>
      <c r="W27" s="510">
        <f>Domestic!AE27+Europe!AE27+'Asia-Pacific'!AE27+'Rest of world'!AE27+'North America'!AE27+'Latin America'!AE27</f>
        <v>4.8147983000376113</v>
      </c>
      <c r="X27" s="23">
        <f>Domestic!AF27+Europe!AF27+'Asia-Pacific'!AF27+'Rest of world'!AF27+'North America'!AF27+'Latin America'!AF27</f>
        <v>160</v>
      </c>
      <c r="Y27" s="23">
        <f>Domestic!AG27+Europe!AG27+'Asia-Pacific'!AG27+'Rest of world'!AG27+'North America'!AG27+'Latin America'!AG27</f>
        <v>52</v>
      </c>
      <c r="Z27" s="510">
        <f>Domestic!AI27+Europe!AI27+'Asia-Pacific'!AI27+'Rest of world'!AI27+'North America'!AI27+'Latin America'!AI27</f>
        <v>1.4263090546028461</v>
      </c>
      <c r="AA27" s="23">
        <f>Domestic!AJ27+Europe!AJ27+'Asia-Pacific'!AJ27+'Rest of world'!AJ27+'North America'!AJ27+'Latin America'!AJ27</f>
        <v>160</v>
      </c>
      <c r="AB27" s="23">
        <f>Domestic!AK27+Europe!AK27+'Asia-Pacific'!AK27+'Rest of world'!AK27+'North America'!AK27+'Latin America'!AK27</f>
        <v>215</v>
      </c>
      <c r="AC27" s="510">
        <f>Domestic!AM27+Europe!AM27+'Asia-Pacific'!AM27+'Rest of world'!AM27+'North America'!AM27+'Latin America'!AM27</f>
        <v>5.6607412779506241</v>
      </c>
      <c r="AD27" s="23">
        <f>Domestic!AN27+Europe!AN27+'Asia-Pacific'!AN27+'Rest of world'!AN27+'North America'!AN27+'Latin America'!AN27</f>
        <v>160</v>
      </c>
      <c r="AE27" s="23">
        <f>Domestic!AO27+Europe!AO27+'Asia-Pacific'!AO27+'Rest of world'!AO27+'North America'!AO27+'Latin America'!AO27</f>
        <v>399</v>
      </c>
      <c r="AF27" s="510">
        <f>Domestic!AQ27+Europe!AQ27+'Asia-Pacific'!AQ27+'Rest of world'!AQ27+'North America'!AQ27+'Latin America'!AQ27</f>
        <v>10.250778185548311</v>
      </c>
      <c r="AG27" s="23">
        <f>Domestic!AR27+Europe!AR27+'Asia-Pacific'!AR27+'Rest of world'!AR27+'North America'!AR27+'Latin America'!AR27</f>
        <v>160</v>
      </c>
      <c r="AH27" s="23">
        <f>Domestic!AS27+Europe!AS27+'Asia-Pacific'!AS27+'Rest of world'!AS27+'North America'!AS27+'Latin America'!AS27</f>
        <v>309</v>
      </c>
      <c r="AI27" s="510">
        <f>Domestic!AU27+Europe!AU27+'Asia-Pacific'!AU27+'Rest of world'!AU27+'North America'!AU27+'Latin America'!AU27</f>
        <v>7.985469377097667</v>
      </c>
      <c r="AJ27" s="23">
        <f>Domestic!AV27+Europe!AV27+'Asia-Pacific'!AV27+'Rest of world'!AV27+'North America'!AV27+'Latin America'!AV27</f>
        <v>140</v>
      </c>
      <c r="AK27" s="23">
        <f>Domestic!AQ27+Europe!AQ27+'Asia-Pacific'!AQ27+'Rest of world'!AQ27+'North America'!AQ27+'Latin America'!AQ27</f>
        <v>10.250778185548311</v>
      </c>
      <c r="AL27" s="510">
        <f>Domestic!AY27+Europe!AY27+'Asia-Pacific'!AY27+'Rest of world'!AY27+'North America'!AY27+'Latin America'!AY27</f>
        <v>0</v>
      </c>
      <c r="AM27" s="257">
        <f t="shared" si="41"/>
        <v>480</v>
      </c>
      <c r="AN27" s="257">
        <f t="shared" si="42"/>
        <v>377</v>
      </c>
      <c r="AO27" s="257">
        <f t="shared" si="43"/>
        <v>10.19031559297143</v>
      </c>
      <c r="AP27" s="257">
        <f t="shared" si="44"/>
        <v>480</v>
      </c>
      <c r="AQ27" s="257">
        <f t="shared" si="45"/>
        <v>482</v>
      </c>
      <c r="AR27" s="257">
        <f t="shared" si="46"/>
        <v>13.047985080685716</v>
      </c>
      <c r="AS27" s="257">
        <f t="shared" si="47"/>
        <v>480</v>
      </c>
      <c r="AT27" s="257">
        <f t="shared" si="48"/>
        <v>446</v>
      </c>
      <c r="AU27" s="257">
        <f t="shared" si="49"/>
        <v>11.901848632591081</v>
      </c>
      <c r="AV27" s="257">
        <f t="shared" si="50"/>
        <v>460</v>
      </c>
      <c r="AW27" s="257">
        <f t="shared" si="51"/>
        <v>718.25077818554826</v>
      </c>
      <c r="AX27" s="257">
        <f t="shared" si="52"/>
        <v>18.236247562645978</v>
      </c>
      <c r="AY27" s="257">
        <f t="shared" si="53"/>
        <v>1900</v>
      </c>
      <c r="AZ27" s="257">
        <f t="shared" si="54"/>
        <v>2023.2507781855484</v>
      </c>
      <c r="BA27" s="257">
        <f t="shared" si="55"/>
        <v>53.376396868894204</v>
      </c>
      <c r="BB27" s="257">
        <f t="shared" si="56"/>
        <v>1.0648688306239729</v>
      </c>
      <c r="BD27" s="23">
        <f t="shared" si="57"/>
        <v>960</v>
      </c>
      <c r="BE27" s="23">
        <f t="shared" si="58"/>
        <v>859</v>
      </c>
      <c r="BF27" s="466">
        <f t="shared" si="59"/>
        <v>0.89479166666666665</v>
      </c>
      <c r="BG27" s="509">
        <f t="shared" si="60"/>
        <v>23.238300673657147</v>
      </c>
      <c r="BH27" s="466">
        <f t="shared" si="12"/>
        <v>0.45210526315789473</v>
      </c>
    </row>
    <row r="28" spans="1:60" ht="12.6" customHeight="1">
      <c r="A28" s="254" t="s">
        <v>62</v>
      </c>
      <c r="B28" s="510">
        <f t="shared" si="40"/>
        <v>0</v>
      </c>
      <c r="C28" s="23">
        <f>Domestic!D28+Europe!D28+'Asia-Pacific'!D28+'Rest of world'!D28+'North America'!D28+'Latin America'!D28</f>
        <v>0</v>
      </c>
      <c r="D28" s="23">
        <f>Domestic!E28+Europe!E28+'Asia-Pacific'!E28+'Rest of world'!E28+'North America'!E28+'Latin America'!E28</f>
        <v>0</v>
      </c>
      <c r="E28" s="257">
        <f>Domestic!G28+Europe!G28+'Asia-Pacific'!G28+'Rest of world'!G28+'North America'!G28+'Latin America'!G28</f>
        <v>0</v>
      </c>
      <c r="F28" s="23">
        <f>Domestic!H28+Europe!H28+'Asia-Pacific'!H28+'Rest of world'!H28+'North America'!H28+'Latin America'!H28</f>
        <v>0</v>
      </c>
      <c r="G28" s="23">
        <f>Domestic!I28+Europe!I28+'Asia-Pacific'!I28+'Rest of world'!I28+'North America'!I28+'Latin America'!I28</f>
        <v>0</v>
      </c>
      <c r="H28" s="257">
        <f>Domestic!K28+Europe!K28+'Asia-Pacific'!K28+'Rest of world'!K28+'North America'!K28+'Latin America'!K28</f>
        <v>0</v>
      </c>
      <c r="I28" s="23">
        <f>Domestic!L28+Europe!L28+'Asia-Pacific'!L28+'Rest of world'!L28+'North America'!L28+'Latin America'!L28</f>
        <v>0</v>
      </c>
      <c r="J28" s="23">
        <f>Domestic!M28+Europe!M28+'Asia-Pacific'!M28+'Rest of world'!M28+'North America'!M28+'Latin America'!M28</f>
        <v>0</v>
      </c>
      <c r="K28" s="257">
        <f>Domestic!O28+Europe!O28+'Asia-Pacific'!O28+'Rest of world'!O28+'North America'!O28+'Latin America'!O28</f>
        <v>0</v>
      </c>
      <c r="L28" s="23">
        <f>Domestic!P28+Europe!P28+'Asia-Pacific'!P28+'Rest of world'!P28+'North America'!P28+'Latin America'!P28</f>
        <v>0</v>
      </c>
      <c r="M28" s="23">
        <f>Domestic!Q28+Europe!Q28+'Asia-Pacific'!Q28+'Rest of world'!Q28+'North America'!Q28+'Latin America'!Q28</f>
        <v>0</v>
      </c>
      <c r="N28" s="509">
        <f>Domestic!S28+Europe!S28+'Asia-Pacific'!S28+'Rest of world'!S28+'North America'!S28+'Latin America'!S28</f>
        <v>0</v>
      </c>
      <c r="O28" s="23">
        <f>Domestic!T28+Europe!T28+'Asia-Pacific'!T28+'Rest of world'!T28+'North America'!T28+'Latin America'!T28</f>
        <v>0</v>
      </c>
      <c r="P28" s="23">
        <f>Domestic!U28+Europe!U28+'Asia-Pacific'!U28+'Rest of world'!U28+'North America'!U28+'Latin America'!U28</f>
        <v>0</v>
      </c>
      <c r="Q28" s="510">
        <f>Domestic!W28+'North America'!W28+Europe!W28+'Asia-Pacific'!W28+'Rest of world'!W28+'Latin America'!W28</f>
        <v>0</v>
      </c>
      <c r="R28" s="23">
        <f>Domestic!X28+Europe!X28+'Asia-Pacific'!X28+'Rest of world'!X28+'North America'!X28+'Latin America'!X28</f>
        <v>0</v>
      </c>
      <c r="S28" s="23">
        <f>Domestic!Y28+Europe!Y28+'Asia-Pacific'!Y28+'Rest of world'!Y28+'North America'!Y28+'Latin America'!Y28</f>
        <v>0</v>
      </c>
      <c r="T28" s="510">
        <f>Domestic!AA28+Europe!AA28+'Asia-Pacific'!AA28+'Rest of world'!AA28+'North America'!AA28+'Latin America'!AA28</f>
        <v>0</v>
      </c>
      <c r="U28" s="23">
        <f>Domestic!AB28+Europe!AB28+'Asia-Pacific'!AB28+'Rest of world'!AB28+'North America'!AB28+'Latin America'!AB28</f>
        <v>0</v>
      </c>
      <c r="V28" s="23">
        <f>Domestic!AC28+Europe!AC28+'Asia-Pacific'!AC28+'Rest of world'!AC28+'North America'!AC28+'Latin America'!AC28</f>
        <v>0</v>
      </c>
      <c r="W28" s="510">
        <f>Domestic!AE28+Europe!AE28+'Asia-Pacific'!AE28+'Rest of world'!AE28+'North America'!AE28+'Latin America'!AE28</f>
        <v>0</v>
      </c>
      <c r="X28" s="23">
        <f>Domestic!AF28+Europe!AF28+'Asia-Pacific'!AF28+'Rest of world'!AF28+'North America'!AF28+'Latin America'!AF28</f>
        <v>0</v>
      </c>
      <c r="Y28" s="23">
        <f>Domestic!AG28+Europe!AG28+'Asia-Pacific'!AG28+'Rest of world'!AG28+'North America'!AG28+'Latin America'!AG28</f>
        <v>0</v>
      </c>
      <c r="Z28" s="510">
        <f>Domestic!AI28+Europe!AI28+'Asia-Pacific'!AI28+'Rest of world'!AI28+'North America'!AI28+'Latin America'!AI28</f>
        <v>0</v>
      </c>
      <c r="AA28" s="23">
        <f>Domestic!AJ28+Europe!AJ28+'Asia-Pacific'!AJ28+'Rest of world'!AJ28+'North America'!AJ28+'Latin America'!AJ28</f>
        <v>0</v>
      </c>
      <c r="AB28" s="23">
        <f>Domestic!AK28+Europe!AK28+'Asia-Pacific'!AK28+'Rest of world'!AK28+'North America'!AK28+'Latin America'!AK28</f>
        <v>0</v>
      </c>
      <c r="AC28" s="510">
        <f>Domestic!AM28+Europe!AM28+'Asia-Pacific'!AM28+'Rest of world'!AM28+'North America'!AM28+'Latin America'!AM28</f>
        <v>0</v>
      </c>
      <c r="AD28" s="23">
        <f>Domestic!AN28+Europe!AN28+'Asia-Pacific'!AN28+'Rest of world'!AN28+'North America'!AN28+'Latin America'!AN28</f>
        <v>0</v>
      </c>
      <c r="AE28" s="23">
        <f>Domestic!AO28+Europe!AO28+'Asia-Pacific'!AO28+'Rest of world'!AO28+'North America'!AO28+'Latin America'!AO28</f>
        <v>0</v>
      </c>
      <c r="AF28" s="510">
        <f>Domestic!AQ28+Europe!AQ28+'Asia-Pacific'!AQ28+'Rest of world'!AQ28+'North America'!AQ28+'Latin America'!AQ28</f>
        <v>0</v>
      </c>
      <c r="AG28" s="23">
        <f>Domestic!AR28+Europe!AR28+'Asia-Pacific'!AR28+'Rest of world'!AR28+'North America'!AR28+'Latin America'!AR28</f>
        <v>0</v>
      </c>
      <c r="AH28" s="23">
        <f>Domestic!AS28+Europe!AS28+'Asia-Pacific'!AS28+'Rest of world'!AS28+'North America'!AS28+'Latin America'!AS28</f>
        <v>0</v>
      </c>
      <c r="AI28" s="510">
        <f>Domestic!AU28+Europe!AU28+'Asia-Pacific'!AU28+'Rest of world'!AU28+'North America'!AU28+'Latin America'!AU28</f>
        <v>0</v>
      </c>
      <c r="AJ28" s="23">
        <f>Domestic!AV28+Europe!AV28+'Asia-Pacific'!AV28+'Rest of world'!AV28+'North America'!AV28+'Latin America'!AV28</f>
        <v>0</v>
      </c>
      <c r="AK28" s="23">
        <f>Domestic!AQ28+Europe!AQ28+'Asia-Pacific'!AQ28+'Rest of world'!AQ28+'North America'!AQ28+'Latin America'!AQ28</f>
        <v>0</v>
      </c>
      <c r="AL28" s="510">
        <f>Domestic!AY28+Europe!AY28+'Asia-Pacific'!AY28+'Rest of world'!AY28+'North America'!AY28+'Latin America'!AY28</f>
        <v>0</v>
      </c>
      <c r="AM28" s="257">
        <f t="shared" si="41"/>
        <v>0</v>
      </c>
      <c r="AN28" s="257">
        <f t="shared" si="42"/>
        <v>0</v>
      </c>
      <c r="AO28" s="257">
        <f t="shared" si="43"/>
        <v>0</v>
      </c>
      <c r="AP28" s="257">
        <f t="shared" si="44"/>
        <v>0</v>
      </c>
      <c r="AQ28" s="257">
        <f t="shared" si="45"/>
        <v>0</v>
      </c>
      <c r="AR28" s="257">
        <f t="shared" si="46"/>
        <v>0</v>
      </c>
      <c r="AS28" s="257">
        <f t="shared" si="47"/>
        <v>0</v>
      </c>
      <c r="AT28" s="257">
        <f t="shared" si="48"/>
        <v>0</v>
      </c>
      <c r="AU28" s="257">
        <f t="shared" si="49"/>
        <v>0</v>
      </c>
      <c r="AV28" s="257">
        <f t="shared" si="50"/>
        <v>0</v>
      </c>
      <c r="AW28" s="257">
        <f t="shared" si="51"/>
        <v>0</v>
      </c>
      <c r="AX28" s="257">
        <f t="shared" si="52"/>
        <v>0</v>
      </c>
      <c r="AY28" s="257">
        <f t="shared" si="53"/>
        <v>0</v>
      </c>
      <c r="AZ28" s="257">
        <f t="shared" si="54"/>
        <v>0</v>
      </c>
      <c r="BA28" s="257">
        <f t="shared" si="55"/>
        <v>0</v>
      </c>
      <c r="BB28" s="257">
        <f t="shared" si="56"/>
        <v>0</v>
      </c>
      <c r="BD28" s="23">
        <f t="shared" si="57"/>
        <v>0</v>
      </c>
      <c r="BE28" s="23">
        <f t="shared" si="58"/>
        <v>0</v>
      </c>
      <c r="BF28" s="466">
        <f t="shared" si="59"/>
        <v>0</v>
      </c>
      <c r="BG28" s="509">
        <f t="shared" si="60"/>
        <v>0</v>
      </c>
      <c r="BH28" s="466">
        <f t="shared" si="12"/>
        <v>0</v>
      </c>
    </row>
    <row r="29" spans="1:60" ht="12.6" customHeight="1">
      <c r="A29" s="254" t="s">
        <v>32</v>
      </c>
      <c r="B29" s="510">
        <f t="shared" si="40"/>
        <v>221</v>
      </c>
      <c r="C29" s="23">
        <f>Domestic!D29+Europe!D29+'Asia-Pacific'!D29+'Rest of world'!D29+'North America'!D29+'Latin America'!D29</f>
        <v>56</v>
      </c>
      <c r="D29" s="23">
        <f>Domestic!E29+Europe!E29+'Asia-Pacific'!E29+'Rest of world'!E29+'North America'!E29+'Latin America'!E29</f>
        <v>58</v>
      </c>
      <c r="E29" s="257">
        <f>Domestic!G29+Europe!G29+'Asia-Pacific'!G29+'Rest of world'!G29+'North America'!G29+'Latin America'!G29</f>
        <v>0.28705164457142857</v>
      </c>
      <c r="F29" s="23">
        <f>Domestic!H29+Europe!H29+'Asia-Pacific'!H29+'Rest of world'!H29+'North America'!H29+'Latin America'!H29</f>
        <v>0</v>
      </c>
      <c r="G29" s="23">
        <f>Domestic!I29+Europe!I29+'Asia-Pacific'!I29+'Rest of world'!I29+'North America'!I29+'Latin America'!I29</f>
        <v>0</v>
      </c>
      <c r="H29" s="257">
        <f>Domestic!K29+Europe!K29+'Asia-Pacific'!K29+'Rest of world'!K29+'North America'!K29+'Latin America'!K29</f>
        <v>0</v>
      </c>
      <c r="I29" s="23">
        <f>Domestic!L29+Europe!L29+'Asia-Pacific'!L29+'Rest of world'!L29+'North America'!L29+'Latin America'!L29</f>
        <v>0</v>
      </c>
      <c r="J29" s="23">
        <f>Domestic!M29+Europe!M29+'Asia-Pacific'!M29+'Rest of world'!M29+'North America'!M29+'Latin America'!M29</f>
        <v>0</v>
      </c>
      <c r="K29" s="257">
        <f>Domestic!O29+Europe!O29+'Asia-Pacific'!O29+'Rest of world'!O29+'North America'!O29+'Latin America'!O29</f>
        <v>0</v>
      </c>
      <c r="L29" s="23">
        <f>Domestic!P29+Europe!P29+'Asia-Pacific'!P29+'Rest of world'!P29+'North America'!P29+'Latin America'!P29</f>
        <v>55</v>
      </c>
      <c r="M29" s="23">
        <f>Domestic!Q29+Europe!Q29+'Asia-Pacific'!Q29+'Rest of world'!Q29+'North America'!Q29+'Latin America'!Q29</f>
        <v>0</v>
      </c>
      <c r="N29" s="509">
        <f>Domestic!S29+Europe!S29+'Asia-Pacific'!S29+'Rest of world'!S29+'North America'!S29+'Latin America'!S29</f>
        <v>0</v>
      </c>
      <c r="O29" s="23">
        <f>Domestic!T29+Europe!T29+'Asia-Pacific'!T29+'Rest of world'!T29+'North America'!T29+'Latin America'!T29</f>
        <v>0</v>
      </c>
      <c r="P29" s="23">
        <f>Domestic!U29+Europe!U29+'Asia-Pacific'!U29+'Rest of world'!U29+'North America'!U29+'Latin America'!U29</f>
        <v>0</v>
      </c>
      <c r="Q29" s="510">
        <f>Domestic!W29+'North America'!W29+Europe!W29+'Asia-Pacific'!W29+'Rest of world'!W29+'Latin America'!W29</f>
        <v>0</v>
      </c>
      <c r="R29" s="23">
        <f>Domestic!X29+Europe!X29+'Asia-Pacific'!X29+'Rest of world'!X29+'North America'!X29+'Latin America'!X29</f>
        <v>0</v>
      </c>
      <c r="S29" s="23">
        <f>Domestic!Y29+Europe!Y29+'Asia-Pacific'!Y29+'Rest of world'!Y29+'North America'!Y29+'Latin America'!Y29</f>
        <v>72</v>
      </c>
      <c r="T29" s="510">
        <f>Domestic!AA29+Europe!AA29+'Asia-Pacific'!AA29+'Rest of world'!AA29+'North America'!AA29+'Latin America'!AA29</f>
        <v>0.38632945371428568</v>
      </c>
      <c r="U29" s="23">
        <f>Domestic!AB29+Europe!AB29+'Asia-Pacific'!AB29+'Rest of world'!AB29+'North America'!AB29+'Latin America'!AB29</f>
        <v>0</v>
      </c>
      <c r="V29" s="23">
        <f>Domestic!AC29+Europe!AC29+'Asia-Pacific'!AC29+'Rest of world'!AC29+'North America'!AC29+'Latin America'!AC29</f>
        <v>0</v>
      </c>
      <c r="W29" s="510">
        <f>Domestic!AE29+Europe!AE29+'Asia-Pacific'!AE29+'Rest of world'!AE29+'North America'!AE29+'Latin America'!AE29</f>
        <v>0</v>
      </c>
      <c r="X29" s="23">
        <f>Domestic!AF29+Europe!AF29+'Asia-Pacific'!AF29+'Rest of world'!AF29+'North America'!AF29+'Latin America'!AF29</f>
        <v>55</v>
      </c>
      <c r="Y29" s="23">
        <f>Domestic!AG29+Europe!AG29+'Asia-Pacific'!AG29+'Rest of world'!AG29+'North America'!AG29+'Latin America'!AG29</f>
        <v>0</v>
      </c>
      <c r="Z29" s="510">
        <f>Domestic!AI29+Europe!AI29+'Asia-Pacific'!AI29+'Rest of world'!AI29+'North America'!AI29+'Latin America'!AI29</f>
        <v>0</v>
      </c>
      <c r="AA29" s="23">
        <f>Domestic!AJ29+Europe!AJ29+'Asia-Pacific'!AJ29+'Rest of world'!AJ29+'North America'!AJ29+'Latin America'!AJ29</f>
        <v>0</v>
      </c>
      <c r="AB29" s="23">
        <f>Domestic!AK29+Europe!AK29+'Asia-Pacific'!AK29+'Rest of world'!AK29+'North America'!AK29+'Latin America'!AK29</f>
        <v>58</v>
      </c>
      <c r="AC29" s="510">
        <f>Domestic!AM29+Europe!AM29+'Asia-Pacific'!AM29+'Rest of world'!AM29+'North America'!AM29+'Latin America'!AM29</f>
        <v>0.39269636599999996</v>
      </c>
      <c r="AD29" s="23">
        <f>Domestic!AN29+Europe!AN29+'Asia-Pacific'!AN29+'Rest of world'!AN29+'North America'!AN29+'Latin America'!AN29</f>
        <v>0</v>
      </c>
      <c r="AE29" s="23">
        <f>Domestic!AO29+Europe!AO29+'Asia-Pacific'!AO29+'Rest of world'!AO29+'North America'!AO29+'Latin America'!AO29</f>
        <v>29</v>
      </c>
      <c r="AF29" s="510">
        <f>Domestic!AQ29+Europe!AQ29+'Asia-Pacific'!AQ29+'Rest of world'!AQ29+'North America'!AQ29+'Latin America'!AQ29</f>
        <v>0.19584839700000001</v>
      </c>
      <c r="AG29" s="23">
        <f>Domestic!AR29+Europe!AR29+'Asia-Pacific'!AR29+'Rest of world'!AR29+'North America'!AR29+'Latin America'!AR29</f>
        <v>0</v>
      </c>
      <c r="AH29" s="23">
        <f>Domestic!AS29+Europe!AS29+'Asia-Pacific'!AS29+'Rest of world'!AS29+'North America'!AS29+'Latin America'!AS29</f>
        <v>0</v>
      </c>
      <c r="AI29" s="510">
        <f>Domestic!AU29+Europe!AU29+'Asia-Pacific'!AU29+'Rest of world'!AU29+'North America'!AU29+'Latin America'!AU29</f>
        <v>0</v>
      </c>
      <c r="AJ29" s="23">
        <f>Domestic!AV29+Europe!AV29+'Asia-Pacific'!AV29+'Rest of world'!AV29+'North America'!AV29+'Latin America'!AV29</f>
        <v>55</v>
      </c>
      <c r="AK29" s="23">
        <f>Domestic!AQ29+Europe!AQ29+'Asia-Pacific'!AQ29+'Rest of world'!AQ29+'North America'!AQ29+'Latin America'!AQ29</f>
        <v>0.19584839700000001</v>
      </c>
      <c r="AL29" s="510">
        <f>Domestic!AY29+Europe!AY29+'Asia-Pacific'!AY29+'Rest of world'!AY29+'North America'!AY29+'Latin America'!AY29</f>
        <v>0</v>
      </c>
      <c r="AM29" s="257">
        <f t="shared" si="41"/>
        <v>56</v>
      </c>
      <c r="AN29" s="257">
        <f t="shared" si="42"/>
        <v>58</v>
      </c>
      <c r="AO29" s="257">
        <f t="shared" si="43"/>
        <v>0.28705164457142857</v>
      </c>
      <c r="AP29" s="257">
        <f t="shared" si="44"/>
        <v>55</v>
      </c>
      <c r="AQ29" s="257">
        <f t="shared" si="45"/>
        <v>72</v>
      </c>
      <c r="AR29" s="257">
        <f t="shared" si="46"/>
        <v>0.38632945371428568</v>
      </c>
      <c r="AS29" s="257">
        <f t="shared" si="47"/>
        <v>55</v>
      </c>
      <c r="AT29" s="257">
        <f t="shared" si="48"/>
        <v>58</v>
      </c>
      <c r="AU29" s="257">
        <f t="shared" si="49"/>
        <v>0.39269636599999996</v>
      </c>
      <c r="AV29" s="257">
        <f t="shared" si="50"/>
        <v>55</v>
      </c>
      <c r="AW29" s="257">
        <f t="shared" si="51"/>
        <v>29.195848396999999</v>
      </c>
      <c r="AX29" s="257">
        <f t="shared" si="52"/>
        <v>0.19584839700000001</v>
      </c>
      <c r="AY29" s="257">
        <f t="shared" si="53"/>
        <v>221</v>
      </c>
      <c r="AZ29" s="257">
        <f t="shared" si="54"/>
        <v>217.19584839699999</v>
      </c>
      <c r="BA29" s="257">
        <f t="shared" si="55"/>
        <v>1.2619258612857143</v>
      </c>
      <c r="BB29" s="257">
        <f t="shared" si="56"/>
        <v>0.98278664433031671</v>
      </c>
      <c r="BD29" s="23">
        <f t="shared" si="57"/>
        <v>111</v>
      </c>
      <c r="BE29" s="23">
        <f t="shared" si="58"/>
        <v>130</v>
      </c>
      <c r="BF29" s="466">
        <f t="shared" si="59"/>
        <v>1.1711711711711712</v>
      </c>
      <c r="BG29" s="509">
        <f t="shared" si="60"/>
        <v>0.67338109828571424</v>
      </c>
      <c r="BH29" s="466">
        <f t="shared" si="12"/>
        <v>0.58823529411764708</v>
      </c>
    </row>
    <row r="30" spans="1:60" ht="12.6" customHeight="1">
      <c r="A30" s="254" t="s">
        <v>31</v>
      </c>
      <c r="B30" s="510">
        <f t="shared" si="40"/>
        <v>613</v>
      </c>
      <c r="C30" s="23">
        <f>Domestic!D30+Europe!D30+'Asia-Pacific'!D30+'Rest of world'!D30+'North America'!D30+'Latin America'!D30</f>
        <v>40</v>
      </c>
      <c r="D30" s="23">
        <f>Domestic!E30+Europe!E30+'Asia-Pacific'!E30+'Rest of world'!E30+'North America'!E30+'Latin America'!E30</f>
        <v>81</v>
      </c>
      <c r="E30" s="257">
        <f>Domestic!G30+Europe!G30+'Asia-Pacific'!G30+'Rest of world'!G30+'North America'!G30+'Latin America'!G30</f>
        <v>1.5942423083428572</v>
      </c>
      <c r="F30" s="23">
        <f>Domestic!H30+Europe!H30+'Asia-Pacific'!H30+'Rest of world'!H30+'North America'!H30+'Latin America'!H30</f>
        <v>60</v>
      </c>
      <c r="G30" s="23">
        <f>Domestic!I30+Europe!I30+'Asia-Pacific'!I30+'Rest of world'!I30+'North America'!I30+'Latin America'!I30</f>
        <v>0</v>
      </c>
      <c r="H30" s="257">
        <f>Domestic!K30+Europe!K30+'Asia-Pacific'!K30+'Rest of world'!K30+'North America'!K30+'Latin America'!K30</f>
        <v>0</v>
      </c>
      <c r="I30" s="23">
        <f>Domestic!L30+Europe!L30+'Asia-Pacific'!L30+'Rest of world'!L30+'North America'!L30+'Latin America'!L30</f>
        <v>33</v>
      </c>
      <c r="J30" s="23">
        <f>Domestic!M30+Europe!M30+'Asia-Pacific'!M30+'Rest of world'!M30+'North America'!M30+'Latin America'!M30</f>
        <v>44</v>
      </c>
      <c r="K30" s="257">
        <f>Domestic!O30+Europe!O30+'Asia-Pacific'!O30+'Rest of world'!O30+'North America'!O30+'Latin America'!O30</f>
        <v>0.24103357954285715</v>
      </c>
      <c r="L30" s="23">
        <f>Domestic!P30+Europe!P30+'Asia-Pacific'!P30+'Rest of world'!P30+'North America'!P30+'Latin America'!P30</f>
        <v>60</v>
      </c>
      <c r="M30" s="23">
        <f>Domestic!Q30+Europe!Q30+'Asia-Pacific'!Q30+'Rest of world'!Q30+'North America'!Q30+'Latin America'!Q30</f>
        <v>99</v>
      </c>
      <c r="N30" s="509">
        <f>Domestic!S30+Europe!S30+'Asia-Pacific'!S30+'Rest of world'!S30+'North America'!S30+'Latin America'!S30</f>
        <v>1.9802587757714289</v>
      </c>
      <c r="O30" s="23">
        <f>Domestic!T30+Europe!T30+'Asia-Pacific'!T30+'Rest of world'!T30+'North America'!T30+'Latin America'!T30</f>
        <v>60</v>
      </c>
      <c r="P30" s="23">
        <f>Domestic!U30+Europe!U30+'Asia-Pacific'!U30+'Rest of world'!U30+'North America'!U30+'Latin America'!U30</f>
        <v>78</v>
      </c>
      <c r="Q30" s="510">
        <f>Domestic!W30+'North America'!W30+Europe!W30+'Asia-Pacific'!W30+'Rest of world'!W30+'Latin America'!W30</f>
        <v>1.7233897489714287</v>
      </c>
      <c r="R30" s="23">
        <f>Domestic!X30+Europe!X30+'Asia-Pacific'!X30+'Rest of world'!X30+'North America'!X30+'Latin America'!X30</f>
        <v>40</v>
      </c>
      <c r="S30" s="23">
        <f>Domestic!Y30+Europe!Y30+'Asia-Pacific'!Y30+'Rest of world'!Y30+'North America'!Y30+'Latin America'!Y30</f>
        <v>98</v>
      </c>
      <c r="T30" s="510">
        <f>Domestic!AA30+Europe!AA30+'Asia-Pacific'!AA30+'Rest of world'!AA30+'North America'!AA30+'Latin America'!AA30</f>
        <v>1.9516481712000002</v>
      </c>
      <c r="U30" s="23">
        <f>Domestic!AB30+Europe!AB30+'Asia-Pacific'!AB30+'Rest of world'!AB30+'North America'!AB30+'Latin America'!AB30</f>
        <v>60</v>
      </c>
      <c r="V30" s="23">
        <f>Domestic!AC30+Europe!AC30+'Asia-Pacific'!AC30+'Rest of world'!AC30+'North America'!AC30+'Latin America'!AC30</f>
        <v>98</v>
      </c>
      <c r="W30" s="510">
        <f>Domestic!AE30+Europe!AE30+'Asia-Pacific'!AE30+'Rest of world'!AE30+'North America'!AE30+'Latin America'!AE30</f>
        <v>2.0000743712178699</v>
      </c>
      <c r="X30" s="23">
        <f>Domestic!AF30+Europe!AF30+'Asia-Pacific'!AF30+'Rest of world'!AF30+'North America'!AF30+'Latin America'!AF30</f>
        <v>60</v>
      </c>
      <c r="Y30" s="23">
        <f>Domestic!AG30+Europe!AG30+'Asia-Pacific'!AG30+'Rest of world'!AG30+'North America'!AG30+'Latin America'!AG30</f>
        <v>1</v>
      </c>
      <c r="Z30" s="510">
        <f>Domestic!AI30+Europe!AI30+'Asia-Pacific'!AI30+'Rest of world'!AI30+'North America'!AI30+'Latin America'!AI30</f>
        <v>2.0997106000000001E-2</v>
      </c>
      <c r="AA30" s="23">
        <f>Domestic!AJ30+Europe!AJ30+'Asia-Pacific'!AJ30+'Rest of world'!AJ30+'North America'!AJ30+'Latin America'!AJ30</f>
        <v>40</v>
      </c>
      <c r="AB30" s="23">
        <f>Domestic!AK30+Europe!AK30+'Asia-Pacific'!AK30+'Rest of world'!AK30+'North America'!AK30+'Latin America'!AK30</f>
        <v>0</v>
      </c>
      <c r="AC30" s="510">
        <f>Domestic!AM30+Europe!AM30+'Asia-Pacific'!AM30+'Rest of world'!AM30+'North America'!AM30+'Latin America'!AM30</f>
        <v>0</v>
      </c>
      <c r="AD30" s="23">
        <f>Domestic!AN30+Europe!AN30+'Asia-Pacific'!AN30+'Rest of world'!AN30+'North America'!AN30+'Latin America'!AN30</f>
        <v>60</v>
      </c>
      <c r="AE30" s="23">
        <f>Domestic!AO30+Europe!AO30+'Asia-Pacific'!AO30+'Rest of world'!AO30+'North America'!AO30+'Latin America'!AO30</f>
        <v>40</v>
      </c>
      <c r="AF30" s="510">
        <f>Domestic!AQ30+Europe!AQ30+'Asia-Pacific'!AQ30+'Rest of world'!AQ30+'North America'!AQ30+'Latin America'!AQ30</f>
        <v>0.82891684772829932</v>
      </c>
      <c r="AG30" s="23">
        <f>Domestic!AR30+Europe!AR30+'Asia-Pacific'!AR30+'Rest of world'!AR30+'North America'!AR30+'Latin America'!AR30</f>
        <v>60</v>
      </c>
      <c r="AH30" s="23">
        <f>Domestic!AS30+Europe!AS30+'Asia-Pacific'!AS30+'Rest of world'!AS30+'North America'!AS30+'Latin America'!AS30</f>
        <v>0</v>
      </c>
      <c r="AI30" s="510">
        <f>Domestic!AU30+Europe!AU30+'Asia-Pacific'!AU30+'Rest of world'!AU30+'North America'!AU30+'Latin America'!AU30</f>
        <v>0</v>
      </c>
      <c r="AJ30" s="23">
        <f>Domestic!AV30+Europe!AV30+'Asia-Pacific'!AV30+'Rest of world'!AV30+'North America'!AV30+'Latin America'!AV30</f>
        <v>40</v>
      </c>
      <c r="AK30" s="23">
        <f>Domestic!AQ30+Europe!AQ30+'Asia-Pacific'!AQ30+'Rest of world'!AQ30+'North America'!AQ30+'Latin America'!AQ30</f>
        <v>0.82891684772829932</v>
      </c>
      <c r="AL30" s="510">
        <f>Domestic!AY30+Europe!AY30+'Asia-Pacific'!AY30+'Rest of world'!AY30+'North America'!AY30+'Latin America'!AY30</f>
        <v>0</v>
      </c>
      <c r="AM30" s="257">
        <f t="shared" si="41"/>
        <v>133</v>
      </c>
      <c r="AN30" s="257">
        <f t="shared" si="42"/>
        <v>125</v>
      </c>
      <c r="AO30" s="257">
        <f t="shared" si="43"/>
        <v>1.8352758878857143</v>
      </c>
      <c r="AP30" s="257">
        <f t="shared" si="44"/>
        <v>160</v>
      </c>
      <c r="AQ30" s="257">
        <f t="shared" si="45"/>
        <v>275</v>
      </c>
      <c r="AR30" s="257">
        <f t="shared" si="46"/>
        <v>5.6552966959428579</v>
      </c>
      <c r="AS30" s="257">
        <f t="shared" si="47"/>
        <v>160</v>
      </c>
      <c r="AT30" s="257">
        <f t="shared" si="48"/>
        <v>99</v>
      </c>
      <c r="AU30" s="257">
        <f t="shared" si="49"/>
        <v>2.0210714772178697</v>
      </c>
      <c r="AV30" s="257">
        <f t="shared" si="50"/>
        <v>160</v>
      </c>
      <c r="AW30" s="257">
        <f t="shared" si="51"/>
        <v>40.828916847728301</v>
      </c>
      <c r="AX30" s="257">
        <f t="shared" si="52"/>
        <v>0.82891684772829932</v>
      </c>
      <c r="AY30" s="257">
        <f t="shared" si="53"/>
        <v>613</v>
      </c>
      <c r="AZ30" s="257">
        <f t="shared" si="54"/>
        <v>539.82891684772835</v>
      </c>
      <c r="BA30" s="257">
        <f t="shared" si="55"/>
        <v>10.340560908774743</v>
      </c>
      <c r="BB30" s="257">
        <f t="shared" si="56"/>
        <v>0.88063444836497284</v>
      </c>
      <c r="BD30" s="23">
        <f t="shared" si="57"/>
        <v>293</v>
      </c>
      <c r="BE30" s="23">
        <f t="shared" si="58"/>
        <v>400</v>
      </c>
      <c r="BF30" s="466">
        <f t="shared" si="59"/>
        <v>1.3651877133105803</v>
      </c>
      <c r="BG30" s="509">
        <f t="shared" si="60"/>
        <v>7.4905725838285724</v>
      </c>
      <c r="BH30" s="466">
        <f t="shared" si="12"/>
        <v>0.65252854812398042</v>
      </c>
    </row>
    <row r="31" spans="1:60" ht="12.6" customHeight="1">
      <c r="A31" s="254" t="s">
        <v>35</v>
      </c>
      <c r="B31" s="510">
        <f t="shared" si="40"/>
        <v>2000</v>
      </c>
      <c r="C31" s="23">
        <f>Domestic!D31+Europe!D31+'Asia-Pacific'!D31+'Rest of world'!D31+'North America'!D31+'Latin America'!D31</f>
        <v>124</v>
      </c>
      <c r="D31" s="23">
        <f>Domestic!E31+Europe!E31+'Asia-Pacific'!E31+'Rest of world'!E31+'North America'!E31+'Latin America'!E31</f>
        <v>0</v>
      </c>
      <c r="E31" s="257">
        <f>Domestic!G31+Europe!G31+'Asia-Pacific'!G31+'Rest of world'!G31+'North America'!G31+'Latin America'!G31</f>
        <v>0</v>
      </c>
      <c r="F31" s="23">
        <f>Domestic!H31+Europe!H31+'Asia-Pacific'!H31+'Rest of world'!H31+'North America'!H31+'Latin America'!H31</f>
        <v>124</v>
      </c>
      <c r="G31" s="23">
        <f>Domestic!I31+Europe!I31+'Asia-Pacific'!I31+'Rest of world'!I31+'North America'!I31+'Latin America'!I31</f>
        <v>78</v>
      </c>
      <c r="H31" s="257">
        <f>Domestic!K31+Europe!K31+'Asia-Pacific'!K31+'Rest of world'!K31+'North America'!K31+'Latin America'!K31</f>
        <v>0.2491541052</v>
      </c>
      <c r="I31" s="23">
        <f>Domestic!L31+Europe!L31+'Asia-Pacific'!L31+'Rest of world'!L31+'North America'!L31+'Latin America'!L31</f>
        <v>128</v>
      </c>
      <c r="J31" s="23">
        <f>Domestic!M31+Europe!M31+'Asia-Pacific'!M31+'Rest of world'!M31+'North America'!M31+'Latin America'!M31</f>
        <v>60</v>
      </c>
      <c r="K31" s="257">
        <f>Domestic!O31+Europe!O31+'Asia-Pacific'!O31+'Rest of world'!O31+'North America'!O31+'Latin America'!O31</f>
        <v>2.9872320000000001E-2</v>
      </c>
      <c r="L31" s="23">
        <f>Domestic!P31+Europe!P31+'Asia-Pacific'!P31+'Rest of world'!P31+'North America'!P31+'Latin America'!P31</f>
        <v>148</v>
      </c>
      <c r="M31" s="23">
        <f>Domestic!Q31+Europe!Q31+'Asia-Pacific'!Q31+'Rest of world'!Q31+'North America'!Q31+'Latin America'!Q31</f>
        <v>1</v>
      </c>
      <c r="N31" s="509">
        <f>Domestic!S31+Europe!S31+'Asia-Pacific'!S31+'Rest of world'!S31+'North America'!S31+'Latin America'!S31</f>
        <v>5.086368E-3</v>
      </c>
      <c r="O31" s="23">
        <f>Domestic!T31+Europe!T31+'Asia-Pacific'!T31+'Rest of world'!T31+'North America'!T31+'Latin America'!T31</f>
        <v>158</v>
      </c>
      <c r="P31" s="23">
        <f>Domestic!U31+Europe!U31+'Asia-Pacific'!U31+'Rest of world'!U31+'North America'!U31+'Latin America'!U31</f>
        <v>32</v>
      </c>
      <c r="Q31" s="510">
        <f>Domestic!W31+'North America'!W31+Europe!W31+'Asia-Pacific'!W31+'Rest of world'!W31+'Latin America'!W31</f>
        <v>0.13214659200000001</v>
      </c>
      <c r="R31" s="23">
        <f>Domestic!X31+Europe!X31+'Asia-Pacific'!X31+'Rest of world'!X31+'North America'!X31+'Latin America'!X31</f>
        <v>168</v>
      </c>
      <c r="S31" s="23">
        <f>Domestic!Y31+Europe!Y31+'Asia-Pacific'!Y31+'Rest of world'!Y31+'North America'!Y31+'Latin America'!Y31</f>
        <v>42</v>
      </c>
      <c r="T31" s="510">
        <f>Domestic!AA31+Europe!AA31+'Asia-Pacific'!AA31+'Rest of world'!AA31+'North America'!AA31+'Latin America'!AA31</f>
        <v>0.22547888999999999</v>
      </c>
      <c r="U31" s="23">
        <f>Domestic!AB31+Europe!AB31+'Asia-Pacific'!AB31+'Rest of world'!AB31+'North America'!AB31+'Latin America'!AB31</f>
        <v>193</v>
      </c>
      <c r="V31" s="23">
        <f>Domestic!AC31+Europe!AC31+'Asia-Pacific'!AC31+'Rest of world'!AC31+'North America'!AC31+'Latin America'!AC31</f>
        <v>40</v>
      </c>
      <c r="W31" s="510">
        <f>Domestic!AE31+Europe!AE31+'Asia-Pacific'!AE31+'Rest of world'!AE31+'North America'!AE31+'Latin America'!AE31</f>
        <v>0.21006603999999998</v>
      </c>
      <c r="X31" s="23">
        <f>Domestic!AF31+Europe!AF31+'Asia-Pacific'!AF31+'Rest of world'!AF31+'North America'!AF31+'Latin America'!AF31</f>
        <v>193</v>
      </c>
      <c r="Y31" s="23">
        <f>Domestic!AG31+Europe!AG31+'Asia-Pacific'!AG31+'Rest of world'!AG31+'North America'!AG31+'Latin America'!AG31</f>
        <v>34</v>
      </c>
      <c r="Z31" s="510">
        <f>Domestic!AI31+Europe!AI31+'Asia-Pacific'!AI31+'Rest of world'!AI31+'North America'!AI31+'Latin America'!AI31</f>
        <v>0.186804636</v>
      </c>
      <c r="AA31" s="23">
        <f>Domestic!AJ31+Europe!AJ31+'Asia-Pacific'!AJ31+'Rest of world'!AJ31+'North America'!AJ31+'Latin America'!AJ31</f>
        <v>189</v>
      </c>
      <c r="AB31" s="23">
        <f>Domestic!AK31+Europe!AK31+'Asia-Pacific'!AK31+'Rest of world'!AK31+'North America'!AK31+'Latin America'!AK31</f>
        <v>10</v>
      </c>
      <c r="AC31" s="510">
        <f>Domestic!AM31+Europe!AM31+'Asia-Pacific'!AM31+'Rest of world'!AM31+'North America'!AM31+'Latin America'!AM31</f>
        <v>5.6636940000000004E-2</v>
      </c>
      <c r="AD31" s="23">
        <f>Domestic!AN31+Europe!AN31+'Asia-Pacific'!AN31+'Rest of world'!AN31+'North America'!AN31+'Latin America'!AN31</f>
        <v>199</v>
      </c>
      <c r="AE31" s="23">
        <f>Domestic!AO31+Europe!AO31+'Asia-Pacific'!AO31+'Rest of world'!AO31+'North America'!AO31+'Latin America'!AO31</f>
        <v>29</v>
      </c>
      <c r="AF31" s="510">
        <f>Domestic!AQ31+Europe!AQ31+'Asia-Pacific'!AQ31+'Rest of world'!AQ31+'North America'!AQ31+'Latin America'!AQ31</f>
        <v>8.1061119000000001E-2</v>
      </c>
      <c r="AG31" s="23">
        <f>Domestic!AR31+Europe!AR31+'Asia-Pacific'!AR31+'Rest of world'!AR31+'North America'!AR31+'Latin America'!AR31</f>
        <v>173</v>
      </c>
      <c r="AH31" s="23">
        <f>Domestic!AS31+Europe!AS31+'Asia-Pacific'!AS31+'Rest of world'!AS31+'North America'!AS31+'Latin America'!AS31</f>
        <v>10</v>
      </c>
      <c r="AI31" s="510">
        <f>Domestic!AU31+Europe!AU31+'Asia-Pacific'!AU31+'Rest of world'!AU31+'North America'!AU31+'Latin America'!AU31</f>
        <v>2.4860710000000001E-2</v>
      </c>
      <c r="AJ31" s="23">
        <f>Domestic!AV31+Europe!AV31+'Asia-Pacific'!AV31+'Rest of world'!AV31+'North America'!AV31+'Latin America'!AV31</f>
        <v>203</v>
      </c>
      <c r="AK31" s="23">
        <f>Domestic!AQ31+Europe!AQ31+'Asia-Pacific'!AQ31+'Rest of world'!AQ31+'North America'!AQ31+'Latin America'!AQ31</f>
        <v>8.1061119000000001E-2</v>
      </c>
      <c r="AL31" s="510">
        <f>Domestic!AY31+Europe!AY31+'Asia-Pacific'!AY31+'Rest of world'!AY31+'North America'!AY31+'Latin America'!AY31</f>
        <v>0</v>
      </c>
      <c r="AM31" s="257">
        <f t="shared" si="41"/>
        <v>376</v>
      </c>
      <c r="AN31" s="257">
        <f t="shared" si="42"/>
        <v>138</v>
      </c>
      <c r="AO31" s="257">
        <f t="shared" si="43"/>
        <v>0.27902642519999998</v>
      </c>
      <c r="AP31" s="257">
        <f t="shared" si="44"/>
        <v>474</v>
      </c>
      <c r="AQ31" s="257">
        <f t="shared" si="45"/>
        <v>75</v>
      </c>
      <c r="AR31" s="257">
        <f t="shared" si="46"/>
        <v>0.36271185</v>
      </c>
      <c r="AS31" s="257">
        <f t="shared" si="47"/>
        <v>575</v>
      </c>
      <c r="AT31" s="257">
        <f t="shared" si="48"/>
        <v>84</v>
      </c>
      <c r="AU31" s="257">
        <f t="shared" si="49"/>
        <v>0.453507616</v>
      </c>
      <c r="AV31" s="257">
        <f t="shared" si="50"/>
        <v>575</v>
      </c>
      <c r="AW31" s="257">
        <f t="shared" si="51"/>
        <v>39.081061118999997</v>
      </c>
      <c r="AX31" s="257">
        <f t="shared" si="52"/>
        <v>0.105921829</v>
      </c>
      <c r="AY31" s="257">
        <f t="shared" si="53"/>
        <v>2000</v>
      </c>
      <c r="AZ31" s="257">
        <f t="shared" si="54"/>
        <v>336.08106111899997</v>
      </c>
      <c r="BA31" s="257">
        <f t="shared" si="55"/>
        <v>1.2011677202</v>
      </c>
      <c r="BB31" s="257">
        <f t="shared" si="56"/>
        <v>0.1680405305595</v>
      </c>
      <c r="BD31" s="23">
        <f t="shared" si="57"/>
        <v>850</v>
      </c>
      <c r="BE31" s="23">
        <f t="shared" si="58"/>
        <v>213</v>
      </c>
      <c r="BF31" s="466">
        <f t="shared" si="59"/>
        <v>0.25058823529411767</v>
      </c>
      <c r="BG31" s="509">
        <f t="shared" si="60"/>
        <v>0.64173827520000004</v>
      </c>
      <c r="BH31" s="466">
        <f t="shared" si="12"/>
        <v>0.1065</v>
      </c>
    </row>
    <row r="32" spans="1:60" ht="12.6" customHeight="1">
      <c r="A32" s="254" t="s">
        <v>83</v>
      </c>
      <c r="B32" s="510">
        <f t="shared" si="40"/>
        <v>8151</v>
      </c>
      <c r="C32" s="23">
        <f>Domestic!D32+Europe!D32+'Asia-Pacific'!D32+'Rest of world'!D32+'North America'!D32+'Latin America'!D32</f>
        <v>999</v>
      </c>
      <c r="D32" s="23">
        <f>Domestic!E32+Europe!E32+'Asia-Pacific'!E32+'Rest of world'!E32+'North America'!E32+'Latin America'!E32</f>
        <v>471</v>
      </c>
      <c r="E32" s="257">
        <f>Domestic!G32+Europe!G32+'Asia-Pacific'!G32+'Rest of world'!G32+'North America'!G32+'Latin America'!G32</f>
        <v>2.0937992076142855</v>
      </c>
      <c r="F32" s="23">
        <f>Domestic!H32+Europe!H32+'Asia-Pacific'!H32+'Rest of world'!H32+'North America'!H32+'Latin America'!H32</f>
        <v>815</v>
      </c>
      <c r="G32" s="23">
        <f>Domestic!I32+Europe!I32+'Asia-Pacific'!I32+'Rest of world'!I32+'North America'!I32+'Latin America'!I32</f>
        <v>378</v>
      </c>
      <c r="H32" s="257">
        <f>Domestic!K32+Europe!K32+'Asia-Pacific'!K32+'Rest of world'!K32+'North America'!K32+'Latin America'!K32</f>
        <v>1.6731400853</v>
      </c>
      <c r="I32" s="23">
        <f>Domestic!L32+Europe!L32+'Asia-Pacific'!L32+'Rest of world'!L32+'North America'!L32+'Latin America'!L32</f>
        <v>883</v>
      </c>
      <c r="J32" s="23">
        <f>Domestic!M32+Europe!M32+'Asia-Pacific'!M32+'Rest of world'!M32+'North America'!M32+'Latin America'!M32</f>
        <v>384</v>
      </c>
      <c r="K32" s="257">
        <f>Domestic!O32+Europe!O32+'Asia-Pacific'!O32+'Rest of world'!O32+'North America'!O32+'Latin America'!O32</f>
        <v>1.6979472822857145</v>
      </c>
      <c r="L32" s="23">
        <f>Domestic!P32+Europe!P32+'Asia-Pacific'!P32+'Rest of world'!P32+'North America'!P32+'Latin America'!P32</f>
        <v>660</v>
      </c>
      <c r="M32" s="23">
        <f>Domestic!Q32+Europe!Q32+'Asia-Pacific'!Q32+'Rest of world'!Q32+'North America'!Q32+'Latin America'!Q32</f>
        <v>352</v>
      </c>
      <c r="N32" s="509">
        <f>Domestic!S32+Europe!S32+'Asia-Pacific'!S32+'Rest of world'!S32+'North America'!S32+'Latin America'!S32</f>
        <v>1.7567415442285714</v>
      </c>
      <c r="O32" s="23">
        <f>Domestic!T32+Europe!T32+'Asia-Pacific'!T32+'Rest of world'!T32+'North America'!T32+'Latin America'!T32</f>
        <v>548</v>
      </c>
      <c r="P32" s="23">
        <f>Domestic!U32+Europe!U32+'Asia-Pacific'!U32+'Rest of world'!U32+'North America'!U32+'Latin America'!U32</f>
        <v>394</v>
      </c>
      <c r="Q32" s="510">
        <f>Domestic!W32+'North America'!W32+Europe!W32+'Asia-Pacific'!W32+'Rest of world'!W32+'Latin America'!W32</f>
        <v>2.0355998410285716</v>
      </c>
      <c r="R32" s="23">
        <f>Domestic!X32+Europe!X32+'Asia-Pacific'!X32+'Rest of world'!X32+'North America'!X32+'Latin America'!X32</f>
        <v>655</v>
      </c>
      <c r="S32" s="23">
        <f>Domestic!Y32+Europe!Y32+'Asia-Pacific'!Y32+'Rest of world'!Y32+'North America'!Y32+'Latin America'!Y32</f>
        <v>269</v>
      </c>
      <c r="T32" s="510">
        <f>Domestic!AA32+Europe!AA32+'Asia-Pacific'!AA32+'Rest of world'!AA32+'North America'!AA32+'Latin America'!AA32</f>
        <v>1.4082850130142857</v>
      </c>
      <c r="U32" s="23">
        <f>Domestic!AB32+Europe!AB32+'Asia-Pacific'!AB32+'Rest of world'!AB32+'North America'!AB32+'Latin America'!AB32</f>
        <v>554</v>
      </c>
      <c r="V32" s="23">
        <f>Domestic!AC32+Europe!AC32+'Asia-Pacific'!AC32+'Rest of world'!AC32+'North America'!AC32+'Latin America'!AC32</f>
        <v>591</v>
      </c>
      <c r="W32" s="510">
        <f>Domestic!AE32+Europe!AE32+'Asia-Pacific'!AE32+'Rest of world'!AE32+'North America'!AE32+'Latin America'!AE32</f>
        <v>3.2994684373850118</v>
      </c>
      <c r="X32" s="23">
        <f>Domestic!AF32+Europe!AF32+'Asia-Pacific'!AF32+'Rest of world'!AF32+'North America'!AF32+'Latin America'!AF32</f>
        <v>558</v>
      </c>
      <c r="Y32" s="23">
        <f>Domestic!AG32+Europe!AG32+'Asia-Pacific'!AG32+'Rest of world'!AG32+'North America'!AG32+'Latin America'!AG32</f>
        <v>455</v>
      </c>
      <c r="Z32" s="510">
        <f>Domestic!AI32+Europe!AI32+'Asia-Pacific'!AI32+'Rest of world'!AI32+'North America'!AI32+'Latin America'!AI32</f>
        <v>2.5384015420301469</v>
      </c>
      <c r="AA32" s="23">
        <f>Domestic!AJ32+Europe!AJ32+'Asia-Pacific'!AJ32+'Rest of world'!AJ32+'North America'!AJ32+'Latin America'!AJ32</f>
        <v>597</v>
      </c>
      <c r="AB32" s="23">
        <f>Domestic!AK32+Europe!AK32+'Asia-Pacific'!AK32+'Rest of world'!AK32+'North America'!AK32+'Latin America'!AK32</f>
        <v>451</v>
      </c>
      <c r="AC32" s="510">
        <f>Domestic!AM32+Europe!AM32+'Asia-Pacific'!AM32+'Rest of world'!AM32+'North America'!AM32+'Latin America'!AM32</f>
        <v>2.5950667362427051</v>
      </c>
      <c r="AD32" s="23">
        <f>Domestic!AN32+Europe!AN32+'Asia-Pacific'!AN32+'Rest of world'!AN32+'North America'!AN32+'Latin America'!AN32</f>
        <v>594</v>
      </c>
      <c r="AE32" s="23">
        <f>Domestic!AO32+Europe!AO32+'Asia-Pacific'!AO32+'Rest of world'!AO32+'North America'!AO32+'Latin America'!AO32</f>
        <v>316</v>
      </c>
      <c r="AF32" s="510">
        <f>Domestic!AQ32+Europe!AQ32+'Asia-Pacific'!AQ32+'Rest of world'!AQ32+'North America'!AQ32+'Latin America'!AQ32</f>
        <v>1.9499941427806695</v>
      </c>
      <c r="AG32" s="23">
        <f>Domestic!AR32+Europe!AR32+'Asia-Pacific'!AR32+'Rest of world'!AR32+'North America'!AR32+'Latin America'!AR32</f>
        <v>714</v>
      </c>
      <c r="AH32" s="23">
        <f>Domestic!AS32+Europe!AS32+'Asia-Pacific'!AS32+'Rest of world'!AS32+'North America'!AS32+'Latin America'!AS32</f>
        <v>326</v>
      </c>
      <c r="AI32" s="510">
        <f>Domestic!AU32+Europe!AU32+'Asia-Pacific'!AU32+'Rest of world'!AU32+'North America'!AU32+'Latin America'!AU32</f>
        <v>2.0163803862698351</v>
      </c>
      <c r="AJ32" s="23">
        <f>Domestic!AV32+Europe!AV32+'Asia-Pacific'!AV32+'Rest of world'!AV32+'North America'!AV32+'Latin America'!AV32</f>
        <v>574</v>
      </c>
      <c r="AK32" s="23">
        <f>Domestic!AQ32+Europe!AQ32+'Asia-Pacific'!AQ32+'Rest of world'!AQ32+'North America'!AQ32+'Latin America'!AQ32</f>
        <v>1.9499941427806695</v>
      </c>
      <c r="AL32" s="510">
        <f>Domestic!AY32+Europe!AY32+'Asia-Pacific'!AY32+'Rest of world'!AY32+'North America'!AY32+'Latin America'!AY32</f>
        <v>0</v>
      </c>
      <c r="AM32" s="257">
        <f t="shared" si="41"/>
        <v>2697</v>
      </c>
      <c r="AN32" s="257">
        <f t="shared" si="42"/>
        <v>1233</v>
      </c>
      <c r="AO32" s="257">
        <f t="shared" si="43"/>
        <v>5.4648865751999995</v>
      </c>
      <c r="AP32" s="257">
        <f t="shared" si="44"/>
        <v>1863</v>
      </c>
      <c r="AQ32" s="257">
        <f t="shared" si="45"/>
        <v>1015</v>
      </c>
      <c r="AR32" s="257">
        <f t="shared" si="46"/>
        <v>5.2006263982714289</v>
      </c>
      <c r="AS32" s="257">
        <f t="shared" si="47"/>
        <v>1709</v>
      </c>
      <c r="AT32" s="257">
        <f t="shared" si="48"/>
        <v>1497</v>
      </c>
      <c r="AU32" s="257">
        <f t="shared" si="49"/>
        <v>8.4329367156578634</v>
      </c>
      <c r="AV32" s="257">
        <f t="shared" si="50"/>
        <v>1882</v>
      </c>
      <c r="AW32" s="257">
        <f t="shared" si="51"/>
        <v>643.94999414278072</v>
      </c>
      <c r="AX32" s="257">
        <f t="shared" si="52"/>
        <v>3.9663745290505048</v>
      </c>
      <c r="AY32" s="257">
        <f t="shared" si="53"/>
        <v>8151</v>
      </c>
      <c r="AZ32" s="257">
        <f t="shared" si="54"/>
        <v>4388.9499941427803</v>
      </c>
      <c r="BA32" s="257">
        <f t="shared" si="55"/>
        <v>23.064824218179798</v>
      </c>
      <c r="BB32" s="257">
        <f t="shared" si="56"/>
        <v>0.53845540352628884</v>
      </c>
      <c r="BD32" s="23">
        <f t="shared" si="57"/>
        <v>4560</v>
      </c>
      <c r="BE32" s="23">
        <f t="shared" si="58"/>
        <v>2248</v>
      </c>
      <c r="BF32" s="466">
        <f t="shared" si="59"/>
        <v>0.49298245614035086</v>
      </c>
      <c r="BG32" s="509">
        <f t="shared" si="60"/>
        <v>10.665512973471429</v>
      </c>
      <c r="BH32" s="466">
        <f t="shared" si="12"/>
        <v>0.27579438105753895</v>
      </c>
    </row>
    <row r="33" spans="1:60" ht="12.6" customHeight="1">
      <c r="A33" s="254" t="s">
        <v>37</v>
      </c>
      <c r="B33" s="510">
        <f t="shared" si="40"/>
        <v>1320</v>
      </c>
      <c r="C33" s="23">
        <f>Domestic!D33+Europe!D33+'Asia-Pacific'!D33+'Rest of world'!D33+'North America'!D33+'Latin America'!D33</f>
        <v>96</v>
      </c>
      <c r="D33" s="23">
        <f>Domestic!E33+Europe!E33+'Asia-Pacific'!E33+'Rest of world'!E33+'North America'!E33+'Latin America'!E33</f>
        <v>40</v>
      </c>
      <c r="E33" s="257">
        <f>Domestic!G33+Europe!G33+'Asia-Pacific'!G33+'Rest of world'!G33+'North America'!G33+'Latin America'!G33</f>
        <v>5.0623551999999988E-2</v>
      </c>
      <c r="F33" s="23">
        <f>Domestic!H33+Europe!H33+'Asia-Pacific'!H33+'Rest of world'!H33+'North America'!H33+'Latin America'!H33</f>
        <v>110</v>
      </c>
      <c r="G33" s="23">
        <f>Domestic!I33+Europe!I33+'Asia-Pacific'!I33+'Rest of world'!I33+'North America'!I33+'Latin America'!I33</f>
        <v>41</v>
      </c>
      <c r="H33" s="257">
        <f>Domestic!K33+Europe!K33+'Asia-Pacific'!K33+'Rest of world'!K33+'North America'!K33+'Latin America'!K33</f>
        <v>-3.8419722000000113E-3</v>
      </c>
      <c r="I33" s="23">
        <f>Domestic!L33+Europe!L33+'Asia-Pacific'!L33+'Rest of world'!L33+'North America'!L33+'Latin America'!L33</f>
        <v>110</v>
      </c>
      <c r="J33" s="23">
        <f>Domestic!M33+Europe!M33+'Asia-Pacific'!M33+'Rest of world'!M33+'North America'!M33+'Latin America'!M33</f>
        <v>9</v>
      </c>
      <c r="K33" s="257">
        <f>Domestic!O33+Europe!O33+'Asia-Pacific'!O33+'Rest of world'!O33+'North America'!O33+'Latin America'!O33</f>
        <v>6.6486095999999974E-3</v>
      </c>
      <c r="L33" s="23">
        <f>Domestic!P33+Europe!P33+'Asia-Pacific'!P33+'Rest of world'!P33+'North America'!P33+'Latin America'!P33</f>
        <v>98</v>
      </c>
      <c r="M33" s="23">
        <f>Domestic!Q33+Europe!Q33+'Asia-Pacific'!Q33+'Rest of world'!Q33+'North America'!Q33+'Latin America'!Q33</f>
        <v>10</v>
      </c>
      <c r="N33" s="509">
        <f>Domestic!S33+Europe!S33+'Asia-Pacific'!S33+'Rest of world'!S33+'North America'!S33+'Latin America'!S33</f>
        <v>5.5842399999999999E-3</v>
      </c>
      <c r="O33" s="23">
        <f>Domestic!T33+Europe!T33+'Asia-Pacific'!T33+'Rest of world'!T33+'North America'!T33+'Latin America'!T33</f>
        <v>110</v>
      </c>
      <c r="P33" s="23">
        <f>Domestic!U33+Europe!U33+'Asia-Pacific'!U33+'Rest of world'!U33+'North America'!U33+'Latin America'!U33</f>
        <v>16</v>
      </c>
      <c r="Q33" s="510">
        <f>Domestic!W33+'North America'!W33+Europe!W33+'Asia-Pacific'!W33+'Rest of world'!W33+'Latin America'!W33</f>
        <v>1.0494624000000001E-2</v>
      </c>
      <c r="R33" s="23">
        <f>Domestic!X33+Europe!X33+'Asia-Pacific'!X33+'Rest of world'!X33+'North America'!X33+'Latin America'!X33</f>
        <v>110</v>
      </c>
      <c r="S33" s="23">
        <f>Domestic!Y33+Europe!Y33+'Asia-Pacific'!Y33+'Rest of world'!Y33+'North America'!Y33+'Latin America'!Y33</f>
        <v>0</v>
      </c>
      <c r="T33" s="510">
        <f>Domestic!AA33+Europe!AA33+'Asia-Pacific'!AA33+'Rest of world'!AA33+'North America'!AA33+'Latin America'!AA33</f>
        <v>0</v>
      </c>
      <c r="U33" s="23">
        <f>Domestic!AB33+Europe!AB33+'Asia-Pacific'!AB33+'Rest of world'!AB33+'North America'!AB33+'Latin America'!AB33</f>
        <v>112</v>
      </c>
      <c r="V33" s="23">
        <f>Domestic!AC33+Europe!AC33+'Asia-Pacific'!AC33+'Rest of world'!AC33+'North America'!AC33+'Latin America'!AC33</f>
        <v>0</v>
      </c>
      <c r="W33" s="510">
        <f>Domestic!AE33+Europe!AE33+'Asia-Pacific'!AE33+'Rest of world'!AE33+'North America'!AE33+'Latin America'!AE33</f>
        <v>0</v>
      </c>
      <c r="X33" s="23">
        <f>Domestic!AF33+Europe!AF33+'Asia-Pacific'!AF33+'Rest of world'!AF33+'North America'!AF33+'Latin America'!AF33</f>
        <v>110</v>
      </c>
      <c r="Y33" s="23">
        <f>Domestic!AG33+Europe!AG33+'Asia-Pacific'!AG33+'Rest of world'!AG33+'North America'!AG33+'Latin America'!AG33</f>
        <v>0</v>
      </c>
      <c r="Z33" s="510">
        <f>Domestic!AI33+Europe!AI33+'Asia-Pacific'!AI33+'Rest of world'!AI33+'North America'!AI33+'Latin America'!AI33</f>
        <v>0</v>
      </c>
      <c r="AA33" s="23">
        <f>Domestic!AJ33+Europe!AJ33+'Asia-Pacific'!AJ33+'Rest of world'!AJ33+'North America'!AJ33+'Latin America'!AJ33</f>
        <v>120</v>
      </c>
      <c r="AB33" s="23">
        <f>Domestic!AK33+Europe!AK33+'Asia-Pacific'!AK33+'Rest of world'!AK33+'North America'!AK33+'Latin America'!AK33</f>
        <v>0</v>
      </c>
      <c r="AC33" s="510">
        <f>Domestic!AM33+Europe!AM33+'Asia-Pacific'!AM33+'Rest of world'!AM33+'North America'!AM33+'Latin America'!AM33</f>
        <v>0</v>
      </c>
      <c r="AD33" s="23">
        <f>Domestic!AN33+Europe!AN33+'Asia-Pacific'!AN33+'Rest of world'!AN33+'North America'!AN33+'Latin America'!AN33</f>
        <v>122</v>
      </c>
      <c r="AE33" s="23">
        <f>Domestic!AO33+Europe!AO33+'Asia-Pacific'!AO33+'Rest of world'!AO33+'North America'!AO33+'Latin America'!AO33</f>
        <v>0</v>
      </c>
      <c r="AF33" s="510">
        <f>Domestic!AQ33+Europe!AQ33+'Asia-Pacific'!AQ33+'Rest of world'!AQ33+'North America'!AQ33+'Latin America'!AQ33</f>
        <v>0</v>
      </c>
      <c r="AG33" s="23">
        <f>Domestic!AR33+Europe!AR33+'Asia-Pacific'!AR33+'Rest of world'!AR33+'North America'!AR33+'Latin America'!AR33</f>
        <v>114</v>
      </c>
      <c r="AH33" s="23">
        <f>Domestic!AS33+Europe!AS33+'Asia-Pacific'!AS33+'Rest of world'!AS33+'North America'!AS33+'Latin America'!AS33</f>
        <v>0</v>
      </c>
      <c r="AI33" s="510">
        <f>Domestic!AU33+Europe!AU33+'Asia-Pacific'!AU33+'Rest of world'!AU33+'North America'!AU33+'Latin America'!AU33</f>
        <v>0</v>
      </c>
      <c r="AJ33" s="23">
        <f>Domestic!AV33+Europe!AV33+'Asia-Pacific'!AV33+'Rest of world'!AV33+'North America'!AV33+'Latin America'!AV33</f>
        <v>108</v>
      </c>
      <c r="AK33" s="23">
        <f>Domestic!AQ33+Europe!AQ33+'Asia-Pacific'!AQ33+'Rest of world'!AQ33+'North America'!AQ33+'Latin America'!AQ33</f>
        <v>0</v>
      </c>
      <c r="AL33" s="510">
        <f>Domestic!AY33+Europe!AY33+'Asia-Pacific'!AY33+'Rest of world'!AY33+'North America'!AY33+'Latin America'!AY33</f>
        <v>0</v>
      </c>
      <c r="AM33" s="257">
        <f t="shared" si="41"/>
        <v>316</v>
      </c>
      <c r="AN33" s="257">
        <f t="shared" si="42"/>
        <v>90</v>
      </c>
      <c r="AO33" s="257">
        <f t="shared" si="43"/>
        <v>5.3430189399999981E-2</v>
      </c>
      <c r="AP33" s="257">
        <f t="shared" si="44"/>
        <v>318</v>
      </c>
      <c r="AQ33" s="257">
        <f t="shared" si="45"/>
        <v>26</v>
      </c>
      <c r="AR33" s="257">
        <f t="shared" si="46"/>
        <v>1.6078864000000002E-2</v>
      </c>
      <c r="AS33" s="257">
        <f t="shared" si="47"/>
        <v>342</v>
      </c>
      <c r="AT33" s="257">
        <f t="shared" si="48"/>
        <v>0</v>
      </c>
      <c r="AU33" s="257">
        <f t="shared" si="49"/>
        <v>0</v>
      </c>
      <c r="AV33" s="257">
        <f t="shared" si="50"/>
        <v>344</v>
      </c>
      <c r="AW33" s="257">
        <f t="shared" si="51"/>
        <v>0</v>
      </c>
      <c r="AX33" s="257">
        <f t="shared" si="52"/>
        <v>0</v>
      </c>
      <c r="AY33" s="257">
        <f t="shared" si="53"/>
        <v>1320</v>
      </c>
      <c r="AZ33" s="257">
        <f t="shared" si="54"/>
        <v>116</v>
      </c>
      <c r="BA33" s="257">
        <f t="shared" si="55"/>
        <v>6.9509053399999979E-2</v>
      </c>
      <c r="BB33" s="257">
        <f t="shared" si="56"/>
        <v>8.7878787878787876E-2</v>
      </c>
      <c r="BD33" s="23">
        <f t="shared" si="57"/>
        <v>634</v>
      </c>
      <c r="BE33" s="23">
        <f t="shared" si="58"/>
        <v>116</v>
      </c>
      <c r="BF33" s="466">
        <f t="shared" si="59"/>
        <v>0.18296529968454259</v>
      </c>
      <c r="BG33" s="509">
        <f t="shared" si="60"/>
        <v>6.9509053399999979E-2</v>
      </c>
      <c r="BH33" s="466">
        <f t="shared" si="12"/>
        <v>8.7878787878787876E-2</v>
      </c>
    </row>
    <row r="34" spans="1:60" ht="12.6" customHeight="1">
      <c r="A34" s="254" t="s">
        <v>38</v>
      </c>
      <c r="B34" s="510">
        <f t="shared" si="40"/>
        <v>0</v>
      </c>
      <c r="C34" s="23">
        <f>Domestic!D34+Europe!D34+'Asia-Pacific'!D34+'Rest of world'!D34+'North America'!D34+'Latin America'!D34</f>
        <v>0</v>
      </c>
      <c r="D34" s="23">
        <f>Domestic!E34+Europe!E34+'Asia-Pacific'!E34+'Rest of world'!E34+'North America'!E34+'Latin America'!E34</f>
        <v>0</v>
      </c>
      <c r="E34" s="257">
        <f>Domestic!G34+Europe!G34+'Asia-Pacific'!G34+'Rest of world'!G34+'North America'!G34+'Latin America'!G34</f>
        <v>0</v>
      </c>
      <c r="F34" s="23">
        <f>Domestic!H34+Europe!H34+'Asia-Pacific'!H34+'Rest of world'!H34+'North America'!H34+'Latin America'!H34</f>
        <v>0</v>
      </c>
      <c r="G34" s="23">
        <f>Domestic!I34+Europe!I34+'Asia-Pacific'!I34+'Rest of world'!I34+'North America'!I34+'Latin America'!I34</f>
        <v>0</v>
      </c>
      <c r="H34" s="257">
        <f>Domestic!K34+Europe!K34+'Asia-Pacific'!K34+'Rest of world'!K34+'North America'!K34+'Latin America'!K34</f>
        <v>0</v>
      </c>
      <c r="I34" s="23">
        <f>Domestic!L34+Europe!L34+'Asia-Pacific'!L34+'Rest of world'!L34+'North America'!L34+'Latin America'!L34</f>
        <v>0</v>
      </c>
      <c r="J34" s="23">
        <f>Domestic!M34+Europe!M34+'Asia-Pacific'!M34+'Rest of world'!M34+'North America'!M34+'Latin America'!M34</f>
        <v>0</v>
      </c>
      <c r="K34" s="257">
        <f>Domestic!O34+Europe!O34+'Asia-Pacific'!O34+'Rest of world'!O34+'North America'!O34+'Latin America'!O34</f>
        <v>0</v>
      </c>
      <c r="L34" s="23">
        <f>Domestic!P34+Europe!P34+'Asia-Pacific'!P34+'Rest of world'!P34+'North America'!P34+'Latin America'!P34</f>
        <v>0</v>
      </c>
      <c r="M34" s="23">
        <f>Domestic!Q34+Europe!Q34+'Asia-Pacific'!Q34+'Rest of world'!Q34+'North America'!Q34+'Latin America'!Q34</f>
        <v>0</v>
      </c>
      <c r="N34" s="509">
        <f>Domestic!S34+Europe!S34+'Asia-Pacific'!S34+'Rest of world'!S34+'North America'!S34+'Latin America'!S34</f>
        <v>0</v>
      </c>
      <c r="O34" s="23">
        <f>Domestic!T34+Europe!T34+'Asia-Pacific'!T34+'Rest of world'!T34+'North America'!T34+'Latin America'!T34</f>
        <v>0</v>
      </c>
      <c r="P34" s="23">
        <f>Domestic!U34+Europe!U34+'Asia-Pacific'!U34+'Rest of world'!U34+'North America'!U34+'Latin America'!U34</f>
        <v>0</v>
      </c>
      <c r="Q34" s="510">
        <f>Domestic!W34+'North America'!W34+Europe!W34+'Asia-Pacific'!W34+'Rest of world'!W34+'Latin America'!W34</f>
        <v>0</v>
      </c>
      <c r="R34" s="23">
        <f>Domestic!X34+Europe!X34+'Asia-Pacific'!X34+'Rest of world'!X34+'North America'!X34+'Latin America'!X34</f>
        <v>0</v>
      </c>
      <c r="S34" s="23">
        <f>Domestic!Y34+Europe!Y34+'Asia-Pacific'!Y34+'Rest of world'!Y34+'North America'!Y34+'Latin America'!Y34</f>
        <v>0</v>
      </c>
      <c r="T34" s="510">
        <f>Domestic!AA34+Europe!AA34+'Asia-Pacific'!AA34+'Rest of world'!AA34+'North America'!AA34+'Latin America'!AA34</f>
        <v>0</v>
      </c>
      <c r="U34" s="23">
        <f>Domestic!AB34+Europe!AB34+'Asia-Pacific'!AB34+'Rest of world'!AB34+'North America'!AB34+'Latin America'!AB34</f>
        <v>0</v>
      </c>
      <c r="V34" s="23">
        <f>Domestic!AC34+Europe!AC34+'Asia-Pacific'!AC34+'Rest of world'!AC34+'North America'!AC34+'Latin America'!AC34</f>
        <v>0</v>
      </c>
      <c r="W34" s="510">
        <f>Domestic!AE34+Europe!AE34+'Asia-Pacific'!AE34+'Rest of world'!AE34+'North America'!AE34+'Latin America'!AE34</f>
        <v>0</v>
      </c>
      <c r="X34" s="23">
        <f>Domestic!AF34+Europe!AF34+'Asia-Pacific'!AF34+'Rest of world'!AF34+'North America'!AF34+'Latin America'!AF34</f>
        <v>0</v>
      </c>
      <c r="Y34" s="23">
        <f>Domestic!AG34+Europe!AG34+'Asia-Pacific'!AG34+'Rest of world'!AG34+'North America'!AG34+'Latin America'!AG34</f>
        <v>0</v>
      </c>
      <c r="Z34" s="510">
        <f>Domestic!AI34+Europe!AI34+'Asia-Pacific'!AI34+'Rest of world'!AI34+'North America'!AI34+'Latin America'!AI34</f>
        <v>0</v>
      </c>
      <c r="AA34" s="23">
        <f>Domestic!AJ34+Europe!AJ34+'Asia-Pacific'!AJ34+'Rest of world'!AJ34+'North America'!AJ34+'Latin America'!AJ34</f>
        <v>0</v>
      </c>
      <c r="AB34" s="23">
        <f>Domestic!AK34+Europe!AK34+'Asia-Pacific'!AK34+'Rest of world'!AK34+'North America'!AK34+'Latin America'!AK34</f>
        <v>0</v>
      </c>
      <c r="AC34" s="510">
        <f>Domestic!AM34+Europe!AM34+'Asia-Pacific'!AM34+'Rest of world'!AM34+'North America'!AM34+'Latin America'!AM34</f>
        <v>0</v>
      </c>
      <c r="AD34" s="23">
        <f>Domestic!AN34+Europe!AN34+'Asia-Pacific'!AN34+'Rest of world'!AN34+'North America'!AN34+'Latin America'!AN34</f>
        <v>0</v>
      </c>
      <c r="AE34" s="23">
        <f>Domestic!AO34+Europe!AO34+'Asia-Pacific'!AO34+'Rest of world'!AO34+'North America'!AO34+'Latin America'!AO34</f>
        <v>0</v>
      </c>
      <c r="AF34" s="510">
        <f>Domestic!AQ34+Europe!AQ34+'Asia-Pacific'!AQ34+'Rest of world'!AQ34+'North America'!AQ34+'Latin America'!AQ34</f>
        <v>0</v>
      </c>
      <c r="AG34" s="23">
        <f>Domestic!AR34+Europe!AR34+'Asia-Pacific'!AR34+'Rest of world'!AR34+'North America'!AR34+'Latin America'!AR34</f>
        <v>0</v>
      </c>
      <c r="AH34" s="23">
        <f>Domestic!AS34+Europe!AS34+'Asia-Pacific'!AS34+'Rest of world'!AS34+'North America'!AS34+'Latin America'!AS34</f>
        <v>0</v>
      </c>
      <c r="AI34" s="510">
        <f>Domestic!AU34+Europe!AU34+'Asia-Pacific'!AU34+'Rest of world'!AU34+'North America'!AU34+'Latin America'!AU34</f>
        <v>0</v>
      </c>
      <c r="AJ34" s="23">
        <f>Domestic!AV34+Europe!AV34+'Asia-Pacific'!AV34+'Rest of world'!AV34+'North America'!AV34+'Latin America'!AV34</f>
        <v>0</v>
      </c>
      <c r="AK34" s="23">
        <f>Domestic!AQ34+Europe!AQ34+'Asia-Pacific'!AQ34+'Rest of world'!AQ34+'North America'!AQ34+'Latin America'!AQ34</f>
        <v>0</v>
      </c>
      <c r="AL34" s="510">
        <f>Domestic!AY34+Europe!AY34+'Asia-Pacific'!AY34+'Rest of world'!AY34+'North America'!AY34+'Latin America'!AY34</f>
        <v>0</v>
      </c>
      <c r="AM34" s="257">
        <f t="shared" si="41"/>
        <v>0</v>
      </c>
      <c r="AN34" s="257">
        <f t="shared" si="42"/>
        <v>0</v>
      </c>
      <c r="AO34" s="257">
        <f t="shared" si="43"/>
        <v>0</v>
      </c>
      <c r="AP34" s="257">
        <f t="shared" si="44"/>
        <v>0</v>
      </c>
      <c r="AQ34" s="257">
        <f t="shared" si="45"/>
        <v>0</v>
      </c>
      <c r="AR34" s="257">
        <f t="shared" si="46"/>
        <v>0</v>
      </c>
      <c r="AS34" s="257">
        <f t="shared" si="47"/>
        <v>0</v>
      </c>
      <c r="AT34" s="257">
        <f t="shared" si="48"/>
        <v>0</v>
      </c>
      <c r="AU34" s="257">
        <f t="shared" si="49"/>
        <v>0</v>
      </c>
      <c r="AV34" s="257">
        <f t="shared" si="50"/>
        <v>0</v>
      </c>
      <c r="AW34" s="257">
        <f t="shared" si="51"/>
        <v>0</v>
      </c>
      <c r="AX34" s="257">
        <f t="shared" si="52"/>
        <v>0</v>
      </c>
      <c r="AY34" s="257">
        <f t="shared" si="53"/>
        <v>0</v>
      </c>
      <c r="AZ34" s="257">
        <f t="shared" si="54"/>
        <v>0</v>
      </c>
      <c r="BA34" s="257">
        <f t="shared" si="55"/>
        <v>0</v>
      </c>
      <c r="BB34" s="257">
        <f t="shared" si="56"/>
        <v>0</v>
      </c>
      <c r="BD34" s="23">
        <f t="shared" si="57"/>
        <v>0</v>
      </c>
      <c r="BE34" s="23">
        <f t="shared" si="58"/>
        <v>0</v>
      </c>
      <c r="BF34" s="466">
        <f t="shared" si="59"/>
        <v>0</v>
      </c>
      <c r="BG34" s="509">
        <f t="shared" si="60"/>
        <v>0</v>
      </c>
      <c r="BH34" s="466">
        <f t="shared" si="12"/>
        <v>0</v>
      </c>
    </row>
    <row r="35" spans="1:60" ht="12.6" customHeight="1">
      <c r="A35" s="254" t="s">
        <v>39</v>
      </c>
      <c r="B35" s="510">
        <f t="shared" si="40"/>
        <v>1160</v>
      </c>
      <c r="C35" s="23">
        <f>Domestic!D35+Europe!D35+'Asia-Pacific'!D35+'Rest of world'!D35+'North America'!D35+'Latin America'!D35</f>
        <v>65</v>
      </c>
      <c r="D35" s="23">
        <f>Domestic!E35+Europe!E35+'Asia-Pacific'!E35+'Rest of world'!E35+'North America'!E35+'Latin America'!E35</f>
        <v>3</v>
      </c>
      <c r="E35" s="257">
        <f>Domestic!G35+Europe!G35+'Asia-Pacific'!G35+'Rest of world'!G35+'North America'!G35+'Latin America'!G35</f>
        <v>1.9217141700000002E-2</v>
      </c>
      <c r="F35" s="23">
        <f>Domestic!H35+Europe!H35+'Asia-Pacific'!H35+'Rest of world'!H35+'North America'!H35+'Latin America'!H35</f>
        <v>163</v>
      </c>
      <c r="G35" s="23">
        <f>Domestic!I35+Europe!I35+'Asia-Pacific'!I35+'Rest of world'!I35+'North America'!I35+'Latin America'!I35</f>
        <v>98</v>
      </c>
      <c r="H35" s="257">
        <f>Domestic!K35+Europe!K35+'Asia-Pacific'!K35+'Rest of world'!K35+'North America'!K35+'Latin America'!K35</f>
        <v>0.53244301599999999</v>
      </c>
      <c r="I35" s="23">
        <f>Domestic!L35+Europe!L35+'Asia-Pacific'!L35+'Rest of world'!L35+'North America'!L35+'Latin America'!L35</f>
        <v>163</v>
      </c>
      <c r="J35" s="23">
        <f>Domestic!M35+Europe!M35+'Asia-Pacific'!M35+'Rest of world'!M35+'North America'!M35+'Latin America'!M35</f>
        <v>26</v>
      </c>
      <c r="K35" s="257">
        <f>Domestic!O35+Europe!O35+'Asia-Pacific'!O35+'Rest of world'!O35+'North America'!O35+'Latin America'!O35</f>
        <v>0.2077794784</v>
      </c>
      <c r="L35" s="23">
        <f>Domestic!P35+Europe!P35+'Asia-Pacific'!P35+'Rest of world'!P35+'North America'!P35+'Latin America'!P35</f>
        <v>89</v>
      </c>
      <c r="M35" s="23">
        <f>Domestic!Q35+Europe!Q35+'Asia-Pacific'!Q35+'Rest of world'!Q35+'North America'!Q35+'Latin America'!Q35</f>
        <v>146</v>
      </c>
      <c r="N35" s="509">
        <f>Domestic!S35+Europe!S35+'Asia-Pacific'!S35+'Rest of world'!S35+'North America'!S35+'Latin America'!S35</f>
        <v>0.79886926399999991</v>
      </c>
      <c r="O35" s="23">
        <f>Domestic!T35+Europe!T35+'Asia-Pacific'!T35+'Rest of world'!T35+'North America'!T35+'Latin America'!T35</f>
        <v>89</v>
      </c>
      <c r="P35" s="23">
        <f>Domestic!U35+Europe!U35+'Asia-Pacific'!U35+'Rest of world'!U35+'North America'!U35+'Latin America'!U35</f>
        <v>0</v>
      </c>
      <c r="Q35" s="510">
        <f>Domestic!W35+'North America'!W35+Europe!W35+'Asia-Pacific'!W35+'Rest of world'!W35+'Latin America'!W35</f>
        <v>0</v>
      </c>
      <c r="R35" s="23">
        <f>Domestic!X35+Europe!X35+'Asia-Pacific'!X35+'Rest of world'!X35+'North America'!X35+'Latin America'!X35</f>
        <v>65</v>
      </c>
      <c r="S35" s="23">
        <f>Domestic!Y35+Europe!Y35+'Asia-Pacific'!Y35+'Rest of world'!Y35+'North America'!Y35+'Latin America'!Y35</f>
        <v>12</v>
      </c>
      <c r="T35" s="510">
        <f>Domestic!AA35+Europe!AA35+'Asia-Pacific'!AA35+'Rest of world'!AA35+'North America'!AA35+'Latin America'!AA35</f>
        <v>9.3872843999999997E-2</v>
      </c>
      <c r="U35" s="23">
        <f>Domestic!AB35+Europe!AB35+'Asia-Pacific'!AB35+'Rest of world'!AB35+'North America'!AB35+'Latin America'!AB35</f>
        <v>89</v>
      </c>
      <c r="V35" s="23">
        <f>Domestic!AC35+Europe!AC35+'Asia-Pacific'!AC35+'Rest of world'!AC35+'North America'!AC35+'Latin America'!AC35</f>
        <v>12</v>
      </c>
      <c r="W35" s="510">
        <f>Domestic!AE35+Europe!AE35+'Asia-Pacific'!AE35+'Rest of world'!AE35+'North America'!AE35+'Latin America'!AE35</f>
        <v>8.6000085168161239E-2</v>
      </c>
      <c r="X35" s="23">
        <f>Domestic!AF35+Europe!AF35+'Asia-Pacific'!AF35+'Rest of world'!AF35+'North America'!AF35+'Latin America'!AF35</f>
        <v>89</v>
      </c>
      <c r="Y35" s="23">
        <f>Domestic!AG35+Europe!AG35+'Asia-Pacific'!AG35+'Rest of world'!AG35+'North America'!AG35+'Latin America'!AG35</f>
        <v>45</v>
      </c>
      <c r="Z35" s="510">
        <f>Domestic!AI35+Europe!AI35+'Asia-Pacific'!AI35+'Rest of world'!AI35+'North America'!AI35+'Latin America'!AI35</f>
        <v>0.30964708475048941</v>
      </c>
      <c r="AA35" s="23">
        <f>Domestic!AJ35+Europe!AJ35+'Asia-Pacific'!AJ35+'Rest of world'!AJ35+'North America'!AJ35+'Latin America'!AJ35</f>
        <v>89</v>
      </c>
      <c r="AB35" s="23">
        <f>Domestic!AK35+Europe!AK35+'Asia-Pacific'!AK35+'Rest of world'!AK35+'North America'!AK35+'Latin America'!AK35</f>
        <v>10</v>
      </c>
      <c r="AC35" s="510">
        <f>Domestic!AM35+Europe!AM35+'Asia-Pacific'!AM35+'Rest of world'!AM35+'North America'!AM35+'Latin America'!AM35</f>
        <v>6.7095080000000001E-2</v>
      </c>
      <c r="AD35" s="23">
        <f>Domestic!AN35+Europe!AN35+'Asia-Pacific'!AN35+'Rest of world'!AN35+'North America'!AN35+'Latin America'!AN35</f>
        <v>89</v>
      </c>
      <c r="AE35" s="23">
        <f>Domestic!AO35+Europe!AO35+'Asia-Pacific'!AO35+'Rest of world'!AO35+'North America'!AO35+'Latin America'!AO35</f>
        <v>0</v>
      </c>
      <c r="AF35" s="510">
        <f>Domestic!AQ35+Europe!AQ35+'Asia-Pacific'!AQ35+'Rest of world'!AQ35+'North America'!AQ35+'Latin America'!AQ35</f>
        <v>0</v>
      </c>
      <c r="AG35" s="23">
        <f>Domestic!AR35+Europe!AR35+'Asia-Pacific'!AR35+'Rest of world'!AR35+'North America'!AR35+'Latin America'!AR35</f>
        <v>89</v>
      </c>
      <c r="AH35" s="23">
        <f>Domestic!AS35+Europe!AS35+'Asia-Pacific'!AS35+'Rest of world'!AS35+'North America'!AS35+'Latin America'!AS35</f>
        <v>0</v>
      </c>
      <c r="AI35" s="510">
        <f>Domestic!AU35+Europe!AU35+'Asia-Pacific'!AU35+'Rest of world'!AU35+'North America'!AU35+'Latin America'!AU35</f>
        <v>0</v>
      </c>
      <c r="AJ35" s="23">
        <f>Domestic!AV35+Europe!AV35+'Asia-Pacific'!AV35+'Rest of world'!AV35+'North America'!AV35+'Latin America'!AV35</f>
        <v>81</v>
      </c>
      <c r="AK35" s="23">
        <f>Domestic!AQ35+Europe!AQ35+'Asia-Pacific'!AQ35+'Rest of world'!AQ35+'North America'!AQ35+'Latin America'!AQ35</f>
        <v>0</v>
      </c>
      <c r="AL35" s="510">
        <f>Domestic!AY35+Europe!AY35+'Asia-Pacific'!AY35+'Rest of world'!AY35+'North America'!AY35+'Latin America'!AY35</f>
        <v>0</v>
      </c>
      <c r="AM35" s="257">
        <f t="shared" si="41"/>
        <v>391</v>
      </c>
      <c r="AN35" s="257">
        <f t="shared" si="42"/>
        <v>127</v>
      </c>
      <c r="AO35" s="257">
        <f t="shared" si="43"/>
        <v>0.75943963609999998</v>
      </c>
      <c r="AP35" s="257">
        <f t="shared" si="44"/>
        <v>243</v>
      </c>
      <c r="AQ35" s="257">
        <f t="shared" si="45"/>
        <v>158</v>
      </c>
      <c r="AR35" s="257">
        <f t="shared" si="46"/>
        <v>0.89274210799999987</v>
      </c>
      <c r="AS35" s="257">
        <f t="shared" si="47"/>
        <v>267</v>
      </c>
      <c r="AT35" s="257">
        <f t="shared" si="48"/>
        <v>67</v>
      </c>
      <c r="AU35" s="257">
        <f t="shared" si="49"/>
        <v>0.46274224991865065</v>
      </c>
      <c r="AV35" s="257">
        <f t="shared" si="50"/>
        <v>259</v>
      </c>
      <c r="AW35" s="257">
        <f t="shared" si="51"/>
        <v>0</v>
      </c>
      <c r="AX35" s="257">
        <f t="shared" si="52"/>
        <v>0</v>
      </c>
      <c r="AY35" s="257">
        <f t="shared" si="53"/>
        <v>1160</v>
      </c>
      <c r="AZ35" s="257">
        <f t="shared" si="54"/>
        <v>352</v>
      </c>
      <c r="BA35" s="257">
        <f t="shared" si="55"/>
        <v>2.1149239940186506</v>
      </c>
      <c r="BB35" s="257">
        <f t="shared" si="56"/>
        <v>0.30344827586206896</v>
      </c>
      <c r="BD35" s="23">
        <f t="shared" si="57"/>
        <v>634</v>
      </c>
      <c r="BE35" s="23">
        <f t="shared" si="58"/>
        <v>285</v>
      </c>
      <c r="BF35" s="466">
        <f t="shared" si="59"/>
        <v>0.44952681388012616</v>
      </c>
      <c r="BG35" s="509">
        <f t="shared" si="60"/>
        <v>1.6521817441</v>
      </c>
      <c r="BH35" s="466">
        <f t="shared" si="12"/>
        <v>0.24568965517241378</v>
      </c>
    </row>
    <row r="36" spans="1:60" ht="12.6" customHeight="1">
      <c r="A36" s="254" t="s">
        <v>11</v>
      </c>
      <c r="B36" s="510">
        <f t="shared" si="40"/>
        <v>3600</v>
      </c>
      <c r="C36" s="23">
        <f>Domestic!D36+Europe!D36+'Asia-Pacific'!D36+'Rest of world'!D36+'North America'!D36+'Latin America'!D36</f>
        <v>300</v>
      </c>
      <c r="D36" s="23">
        <f>Domestic!E36+Europe!E36+'Asia-Pacific'!E36+'Rest of world'!E36+'North America'!E36+'Latin America'!E36</f>
        <v>263</v>
      </c>
      <c r="E36" s="257">
        <f>Domestic!G36+Europe!G36+'Asia-Pacific'!G36+'Rest of world'!G36+'North America'!G36+'Latin America'!G36</f>
        <v>1.4195067320000001</v>
      </c>
      <c r="F36" s="23">
        <f>Domestic!H36+Europe!H36+'Asia-Pacific'!H36+'Rest of world'!H36+'North America'!H36+'Latin America'!H36</f>
        <v>300</v>
      </c>
      <c r="G36" s="23">
        <f>Domestic!I36+Europe!I36+'Asia-Pacific'!I36+'Rest of world'!I36+'North America'!I36+'Latin America'!I36</f>
        <v>338</v>
      </c>
      <c r="H36" s="257">
        <f>Domestic!K36+Europe!K36+'Asia-Pacific'!K36+'Rest of world'!K36+'North America'!K36+'Latin America'!K36</f>
        <v>1.8471776790000001</v>
      </c>
      <c r="I36" s="23">
        <f>Domestic!L36+Europe!L36+'Asia-Pacific'!L36+'Rest of world'!L36+'North America'!L36+'Latin America'!L36</f>
        <v>300</v>
      </c>
      <c r="J36" s="23">
        <f>Domestic!M36+Europe!M36+'Asia-Pacific'!M36+'Rest of world'!M36+'North America'!M36+'Latin America'!M36</f>
        <v>342</v>
      </c>
      <c r="K36" s="257">
        <f>Domestic!O36+Europe!O36+'Asia-Pacific'!O36+'Rest of world'!O36+'North America'!O36+'Latin America'!O36</f>
        <v>1.8405507024000001</v>
      </c>
      <c r="L36" s="23">
        <f>Domestic!P36+Europe!P36+'Asia-Pacific'!P36+'Rest of world'!P36+'North America'!P36+'Latin America'!P36</f>
        <v>300</v>
      </c>
      <c r="M36" s="23">
        <f>Domestic!Q36+Europe!Q36+'Asia-Pacific'!Q36+'Rest of world'!Q36+'North America'!Q36+'Latin America'!Q36</f>
        <v>20</v>
      </c>
      <c r="N36" s="509">
        <f>Domestic!S36+Europe!S36+'Asia-Pacific'!S36+'Rest of world'!S36+'North America'!S36+'Latin America'!S36</f>
        <v>0.151729856</v>
      </c>
      <c r="O36" s="23">
        <f>Domestic!T36+Europe!T36+'Asia-Pacific'!T36+'Rest of world'!T36+'North America'!T36+'Latin America'!T36</f>
        <v>300</v>
      </c>
      <c r="P36" s="23">
        <f>Domestic!U36+Europe!U36+'Asia-Pacific'!U36+'Rest of world'!U36+'North America'!U36+'Latin America'!U36</f>
        <v>227</v>
      </c>
      <c r="Q36" s="510">
        <f>Domestic!W36+'North America'!W36+Europe!W36+'Asia-Pacific'!W36+'Rest of world'!W36+'Latin America'!W36</f>
        <v>1.7040592176</v>
      </c>
      <c r="R36" s="23">
        <f>Domestic!X36+Europe!X36+'Asia-Pacific'!X36+'Rest of world'!X36+'North America'!X36+'Latin America'!X36</f>
        <v>300</v>
      </c>
      <c r="S36" s="23">
        <f>Domestic!Y36+Europe!Y36+'Asia-Pacific'!Y36+'Rest of world'!Y36+'North America'!Y36+'Latin America'!Y36</f>
        <v>245</v>
      </c>
      <c r="T36" s="510">
        <f>Domestic!AA36+Europe!AA36+'Asia-Pacific'!AA36+'Rest of world'!AA36+'North America'!AA36+'Latin America'!AA36</f>
        <v>1.7917402230000001</v>
      </c>
      <c r="U36" s="23">
        <f>Domestic!AB36+Europe!AB36+'Asia-Pacific'!AB36+'Rest of world'!AB36+'North America'!AB36+'Latin America'!AB36</f>
        <v>300</v>
      </c>
      <c r="V36" s="23">
        <f>Domestic!AC36+Europe!AC36+'Asia-Pacific'!AC36+'Rest of world'!AC36+'North America'!AC36+'Latin America'!AC36</f>
        <v>0</v>
      </c>
      <c r="W36" s="510">
        <f>Domestic!AE36+Europe!AE36+'Asia-Pacific'!AE36+'Rest of world'!AE36+'North America'!AE36+'Latin America'!AE36</f>
        <v>0</v>
      </c>
      <c r="X36" s="23">
        <f>Domestic!AF36+Europe!AF36+'Asia-Pacific'!AF36+'Rest of world'!AF36+'North America'!AF36+'Latin America'!AF36</f>
        <v>300</v>
      </c>
      <c r="Y36" s="23">
        <f>Domestic!AG36+Europe!AG36+'Asia-Pacific'!AG36+'Rest of world'!AG36+'North America'!AG36+'Latin America'!AG36</f>
        <v>23</v>
      </c>
      <c r="Z36" s="510">
        <f>Domestic!AI36+Europe!AI36+'Asia-Pacific'!AI36+'Rest of world'!AI36+'North America'!AI36+'Latin America'!AI36</f>
        <v>0.16994731751713041</v>
      </c>
      <c r="AA36" s="23">
        <f>Domestic!AJ36+Europe!AJ36+'Asia-Pacific'!AJ36+'Rest of world'!AJ36+'North America'!AJ36+'Latin America'!AJ36</f>
        <v>300</v>
      </c>
      <c r="AB36" s="23">
        <f>Domestic!AK36+Europe!AK36+'Asia-Pacific'!AK36+'Rest of world'!AK36+'North America'!AK36+'Latin America'!AK36</f>
        <v>179</v>
      </c>
      <c r="AC36" s="510">
        <f>Domestic!AM36+Europe!AM36+'Asia-Pacific'!AM36+'Rest of world'!AM36+'North America'!AM36+'Latin America'!AM36</f>
        <v>1.3227546568122204</v>
      </c>
      <c r="AD36" s="23">
        <f>Domestic!AN36+Europe!AN36+'Asia-Pacific'!AN36+'Rest of world'!AN36+'North America'!AN36+'Latin America'!AN36</f>
        <v>300</v>
      </c>
      <c r="AE36" s="23">
        <f>Domestic!AO36+Europe!AO36+'Asia-Pacific'!AO36+'Rest of world'!AO36+'North America'!AO36+'Latin America'!AO36</f>
        <v>169</v>
      </c>
      <c r="AF36" s="510">
        <f>Domestic!AQ36+Europe!AQ36+'Asia-Pacific'!AQ36+'Rest of world'!AQ36+'North America'!AQ36+'Latin America'!AQ36</f>
        <v>1.2493641030000002</v>
      </c>
      <c r="AG36" s="23">
        <f>Domestic!AR36+Europe!AR36+'Asia-Pacific'!AR36+'Rest of world'!AR36+'North America'!AR36+'Latin America'!AR36</f>
        <v>300</v>
      </c>
      <c r="AH36" s="23">
        <f>Domestic!AS36+Europe!AS36+'Asia-Pacific'!AS36+'Rest of world'!AS36+'North America'!AS36+'Latin America'!AS36</f>
        <v>1</v>
      </c>
      <c r="AI36" s="510">
        <f>Domestic!AU36+Europe!AU36+'Asia-Pacific'!AU36+'Rest of world'!AU36+'North America'!AU36+'Latin America'!AU36</f>
        <v>9.6380210991828634E-3</v>
      </c>
      <c r="AJ36" s="23">
        <f>Domestic!AV36+Europe!AV36+'Asia-Pacific'!AV36+'Rest of world'!AV36+'North America'!AV36+'Latin America'!AV36</f>
        <v>300</v>
      </c>
      <c r="AK36" s="23">
        <f>Domestic!AQ36+Europe!AQ36+'Asia-Pacific'!AQ36+'Rest of world'!AQ36+'North America'!AQ36+'Latin America'!AQ36</f>
        <v>1.2493641030000002</v>
      </c>
      <c r="AL36" s="510">
        <f>Domestic!AY36+Europe!AY36+'Asia-Pacific'!AY36+'Rest of world'!AY36+'North America'!AY36+'Latin America'!AY36</f>
        <v>0</v>
      </c>
      <c r="AM36" s="257">
        <f t="shared" si="41"/>
        <v>900</v>
      </c>
      <c r="AN36" s="257">
        <f t="shared" si="42"/>
        <v>943</v>
      </c>
      <c r="AO36" s="257">
        <f t="shared" si="43"/>
        <v>5.1072351133999998</v>
      </c>
      <c r="AP36" s="257">
        <f t="shared" si="44"/>
        <v>900</v>
      </c>
      <c r="AQ36" s="257">
        <f t="shared" si="45"/>
        <v>492</v>
      </c>
      <c r="AR36" s="257">
        <f t="shared" si="46"/>
        <v>3.6475292966000001</v>
      </c>
      <c r="AS36" s="257">
        <f t="shared" si="47"/>
        <v>900</v>
      </c>
      <c r="AT36" s="257">
        <f t="shared" si="48"/>
        <v>202</v>
      </c>
      <c r="AU36" s="257">
        <f t="shared" si="49"/>
        <v>1.4927019743293508</v>
      </c>
      <c r="AV36" s="257">
        <f t="shared" si="50"/>
        <v>900</v>
      </c>
      <c r="AW36" s="257">
        <f t="shared" si="51"/>
        <v>171.249364103</v>
      </c>
      <c r="AX36" s="257">
        <f t="shared" si="52"/>
        <v>1.2590021240991831</v>
      </c>
      <c r="AY36" s="257">
        <f t="shared" si="53"/>
        <v>3600</v>
      </c>
      <c r="AZ36" s="257">
        <f t="shared" si="54"/>
        <v>1808.2493641030001</v>
      </c>
      <c r="BA36" s="257">
        <f t="shared" si="55"/>
        <v>11.506468508428533</v>
      </c>
      <c r="BB36" s="257">
        <f t="shared" si="56"/>
        <v>0.50229149002861118</v>
      </c>
      <c r="BD36" s="23">
        <f t="shared" si="57"/>
        <v>1800</v>
      </c>
      <c r="BE36" s="23">
        <f t="shared" si="58"/>
        <v>1435</v>
      </c>
      <c r="BF36" s="466">
        <f t="shared" si="59"/>
        <v>0.79722222222222228</v>
      </c>
      <c r="BG36" s="509">
        <f t="shared" si="60"/>
        <v>8.7547644099999999</v>
      </c>
      <c r="BH36" s="466">
        <f t="shared" si="12"/>
        <v>0.39861111111111114</v>
      </c>
    </row>
    <row r="37" spans="1:60" ht="12.6" customHeight="1">
      <c r="A37" s="254" t="s">
        <v>87</v>
      </c>
      <c r="B37" s="510">
        <f t="shared" si="40"/>
        <v>1914</v>
      </c>
      <c r="C37" s="23">
        <f>Domestic!D37+Europe!D37+'Asia-Pacific'!D37+'Rest of world'!D37+'North America'!D37+'Latin America'!D37</f>
        <v>0</v>
      </c>
      <c r="D37" s="23">
        <f>Domestic!E37+Europe!E37+'Asia-Pacific'!E37+'Rest of world'!E37+'North America'!E37+'Latin America'!E37</f>
        <v>0</v>
      </c>
      <c r="E37" s="257">
        <f>Domestic!G37+Europe!G37+'Asia-Pacific'!G37+'Rest of world'!G37+'North America'!G37+'Latin America'!G37</f>
        <v>0</v>
      </c>
      <c r="F37" s="23">
        <f>Domestic!H37+Europe!H37+'Asia-Pacific'!H37+'Rest of world'!H37+'North America'!H37+'Latin America'!H37</f>
        <v>114</v>
      </c>
      <c r="G37" s="23">
        <f>Domestic!I37+Europe!I37+'Asia-Pacific'!I37+'Rest of world'!I37+'North America'!I37+'Latin America'!I37</f>
        <v>21</v>
      </c>
      <c r="H37" s="257">
        <f>Domestic!K37+Europe!K37+'Asia-Pacific'!K37+'Rest of world'!K37+'North America'!K37+'Latin America'!K37</f>
        <v>0.152454435</v>
      </c>
      <c r="I37" s="23">
        <f>Domestic!L37+Europe!L37+'Asia-Pacific'!L37+'Rest of world'!L37+'North America'!L37+'Latin America'!L37</f>
        <v>200</v>
      </c>
      <c r="J37" s="23">
        <f>Domestic!M37+Europe!M37+'Asia-Pacific'!M37+'Rest of world'!M37+'North America'!M37+'Latin America'!M37</f>
        <v>0</v>
      </c>
      <c r="K37" s="257">
        <f>Domestic!O37+Europe!O37+'Asia-Pacific'!O37+'Rest of world'!O37+'North America'!O37+'Latin America'!O37</f>
        <v>0</v>
      </c>
      <c r="L37" s="23">
        <f>Domestic!P37+Europe!P37+'Asia-Pacific'!P37+'Rest of world'!P37+'North America'!P37+'Latin America'!P37</f>
        <v>200</v>
      </c>
      <c r="M37" s="23">
        <f>Domestic!Q37+Europe!Q37+'Asia-Pacific'!Q37+'Rest of world'!Q37+'North America'!Q37+'Latin America'!Q37</f>
        <v>0</v>
      </c>
      <c r="N37" s="509">
        <f>Domestic!S37+Europe!S37+'Asia-Pacific'!S37+'Rest of world'!S37+'North America'!S37+'Latin America'!S37</f>
        <v>0</v>
      </c>
      <c r="O37" s="23">
        <f>Domestic!T37+Europe!T37+'Asia-Pacific'!T37+'Rest of world'!T37+'North America'!T37+'Latin America'!T37</f>
        <v>200</v>
      </c>
      <c r="P37" s="23">
        <f>Domestic!U37+Europe!U37+'Asia-Pacific'!U37+'Rest of world'!U37+'North America'!U37+'Latin America'!U37</f>
        <v>10</v>
      </c>
      <c r="Q37" s="510">
        <f>Domestic!W37+'North America'!W37+Europe!W37+'Asia-Pacific'!W37+'Rest of world'!W37+'Latin America'!W37</f>
        <v>8.5603470000000001E-2</v>
      </c>
      <c r="R37" s="23">
        <f>Domestic!X37+Europe!X37+'Asia-Pacific'!X37+'Rest of world'!X37+'North America'!X37+'Latin America'!X37</f>
        <v>100</v>
      </c>
      <c r="S37" s="23">
        <f>Domestic!Y37+Europe!Y37+'Asia-Pacific'!Y37+'Rest of world'!Y37+'North America'!Y37+'Latin America'!Y37</f>
        <v>1</v>
      </c>
      <c r="T37" s="510">
        <f>Domestic!AA37+Europe!AA37+'Asia-Pacific'!AA37+'Rest of world'!AA37+'North America'!AA37+'Latin America'!AA37</f>
        <v>8.2028699999999993E-3</v>
      </c>
      <c r="U37" s="23">
        <f>Domestic!AB37+Europe!AB37+'Asia-Pacific'!AB37+'Rest of world'!AB37+'North America'!AB37+'Latin America'!AB37</f>
        <v>200</v>
      </c>
      <c r="V37" s="23">
        <f>Domestic!AC37+Europe!AC37+'Asia-Pacific'!AC37+'Rest of world'!AC37+'North America'!AC37+'Latin America'!AC37</f>
        <v>0</v>
      </c>
      <c r="W37" s="510">
        <f>Domestic!AE37+Europe!AE37+'Asia-Pacific'!AE37+'Rest of world'!AE37+'North America'!AE37+'Latin America'!AE37</f>
        <v>0</v>
      </c>
      <c r="X37" s="23">
        <f>Domestic!AF37+Europe!AF37+'Asia-Pacific'!AF37+'Rest of world'!AF37+'North America'!AF37+'Latin America'!AF37</f>
        <v>200</v>
      </c>
      <c r="Y37" s="23">
        <f>Domestic!AG37+Europe!AG37+'Asia-Pacific'!AG37+'Rest of world'!AG37+'North America'!AG37+'Latin America'!AG37</f>
        <v>2</v>
      </c>
      <c r="Z37" s="510">
        <f>Domestic!AI37+Europe!AI37+'Asia-Pacific'!AI37+'Rest of world'!AI37+'North America'!AI37+'Latin America'!AI37</f>
        <v>1.639284742585654E-2</v>
      </c>
      <c r="AA37" s="23">
        <f>Domestic!AJ37+Europe!AJ37+'Asia-Pacific'!AJ37+'Rest of world'!AJ37+'North America'!AJ37+'Latin America'!AJ37</f>
        <v>150</v>
      </c>
      <c r="AB37" s="23">
        <f>Domestic!AK37+Europe!AK37+'Asia-Pacific'!AK37+'Rest of world'!AK37+'North America'!AK37+'Latin America'!AK37</f>
        <v>0</v>
      </c>
      <c r="AC37" s="510">
        <f>Domestic!AM37+Europe!AM37+'Asia-Pacific'!AM37+'Rest of world'!AM37+'North America'!AM37+'Latin America'!AM37</f>
        <v>0</v>
      </c>
      <c r="AD37" s="23">
        <f>Domestic!AN37+Europe!AN37+'Asia-Pacific'!AN37+'Rest of world'!AN37+'North America'!AN37+'Latin America'!AN37</f>
        <v>200</v>
      </c>
      <c r="AE37" s="23">
        <f>Domestic!AO37+Europe!AO37+'Asia-Pacific'!AO37+'Rest of world'!AO37+'North America'!AO37+'Latin America'!AO37</f>
        <v>0</v>
      </c>
      <c r="AF37" s="510">
        <f>Domestic!AQ37+Europe!AQ37+'Asia-Pacific'!AQ37+'Rest of world'!AQ37+'North America'!AQ37+'Latin America'!AQ37</f>
        <v>0</v>
      </c>
      <c r="AG37" s="23">
        <f>Domestic!AR37+Europe!AR37+'Asia-Pacific'!AR37+'Rest of world'!AR37+'North America'!AR37+'Latin America'!AR37</f>
        <v>200</v>
      </c>
      <c r="AH37" s="23">
        <f>Domestic!AS37+Europe!AS37+'Asia-Pacific'!AS37+'Rest of world'!AS37+'North America'!AS37+'Latin America'!AS37</f>
        <v>1</v>
      </c>
      <c r="AI37" s="510">
        <f>Domestic!AU37+Europe!AU37+'Asia-Pacific'!AU37+'Rest of world'!AU37+'North America'!AU37+'Latin America'!AU37</f>
        <v>8.2014503711475301E-3</v>
      </c>
      <c r="AJ37" s="23">
        <f>Domestic!AV37+Europe!AV37+'Asia-Pacific'!AV37+'Rest of world'!AV37+'North America'!AV37+'Latin America'!AV37</f>
        <v>150</v>
      </c>
      <c r="AK37" s="23">
        <f>Domestic!AQ37+Europe!AQ37+'Asia-Pacific'!AQ37+'Rest of world'!AQ37+'North America'!AQ37+'Latin America'!AQ37</f>
        <v>0</v>
      </c>
      <c r="AL37" s="510">
        <f>Domestic!AY37+Europe!AY37+'Asia-Pacific'!AY37+'Rest of world'!AY37+'North America'!AY37+'Latin America'!AY37</f>
        <v>0</v>
      </c>
      <c r="AM37" s="257">
        <f t="shared" si="41"/>
        <v>314</v>
      </c>
      <c r="AN37" s="257">
        <f t="shared" si="42"/>
        <v>21</v>
      </c>
      <c r="AO37" s="257">
        <f t="shared" si="43"/>
        <v>0.152454435</v>
      </c>
      <c r="AP37" s="257">
        <f t="shared" si="44"/>
        <v>500</v>
      </c>
      <c r="AQ37" s="257">
        <f t="shared" si="45"/>
        <v>11</v>
      </c>
      <c r="AR37" s="257">
        <f t="shared" si="46"/>
        <v>9.3806340000000002E-2</v>
      </c>
      <c r="AS37" s="257">
        <f t="shared" si="47"/>
        <v>550</v>
      </c>
      <c r="AT37" s="257">
        <f t="shared" si="48"/>
        <v>2</v>
      </c>
      <c r="AU37" s="257">
        <f t="shared" si="49"/>
        <v>1.639284742585654E-2</v>
      </c>
      <c r="AV37" s="257">
        <f t="shared" si="50"/>
        <v>550</v>
      </c>
      <c r="AW37" s="257">
        <f t="shared" si="51"/>
        <v>1</v>
      </c>
      <c r="AX37" s="257">
        <f t="shared" si="52"/>
        <v>8.2014503711475301E-3</v>
      </c>
      <c r="AY37" s="257">
        <f t="shared" si="53"/>
        <v>1914</v>
      </c>
      <c r="AZ37" s="257">
        <f t="shared" si="54"/>
        <v>35</v>
      </c>
      <c r="BA37" s="257">
        <f t="shared" si="55"/>
        <v>0.2708550727970041</v>
      </c>
      <c r="BB37" s="257">
        <f t="shared" si="56"/>
        <v>1.8286311389759665E-2</v>
      </c>
      <c r="BC37" s="478"/>
      <c r="BD37" s="23">
        <f t="shared" si="57"/>
        <v>814</v>
      </c>
      <c r="BE37" s="23">
        <f t="shared" si="58"/>
        <v>32</v>
      </c>
      <c r="BF37" s="466">
        <f t="shared" si="59"/>
        <v>3.9312039312039311E-2</v>
      </c>
      <c r="BG37" s="509">
        <f t="shared" si="60"/>
        <v>0.24626077500000002</v>
      </c>
      <c r="BH37" s="466">
        <f t="shared" si="12"/>
        <v>1.671891327063741E-2</v>
      </c>
    </row>
    <row r="38" spans="1:60" ht="12.6" customHeight="1">
      <c r="A38" s="254" t="s">
        <v>86</v>
      </c>
      <c r="B38" s="510">
        <f t="shared" si="40"/>
        <v>7153</v>
      </c>
      <c r="C38" s="23">
        <f>Domestic!D38+Europe!D38+'Asia-Pacific'!D38+'Rest of world'!D38+'North America'!D38+'Latin America'!D38</f>
        <v>400</v>
      </c>
      <c r="D38" s="23">
        <f>Domestic!E38+Europe!E38+'Asia-Pacific'!E38+'Rest of world'!E38+'North America'!E38+'Latin America'!E38</f>
        <v>128</v>
      </c>
      <c r="E38" s="257">
        <f>Domestic!G38+Europe!G38+'Asia-Pacific'!G38+'Rest of world'!G38+'North America'!G38+'Latin America'!G38</f>
        <v>0.99426357759999984</v>
      </c>
      <c r="F38" s="23">
        <f>Domestic!H38+Europe!H38+'Asia-Pacific'!H38+'Rest of world'!H38+'North America'!H38+'Latin America'!H38</f>
        <v>573</v>
      </c>
      <c r="G38" s="23">
        <f>Domestic!I38+Europe!I38+'Asia-Pacific'!I38+'Rest of world'!I38+'North America'!I38+'Latin America'!I38</f>
        <v>743</v>
      </c>
      <c r="H38" s="257">
        <f>Domestic!K38+Europe!K38+'Asia-Pacific'!K38+'Rest of world'!K38+'North America'!K38+'Latin America'!K38</f>
        <v>5.0885924830000002</v>
      </c>
      <c r="I38" s="23">
        <f>Domestic!L38+Europe!L38+'Asia-Pacific'!L38+'Rest of world'!L38+'North America'!L38+'Latin America'!L38</f>
        <v>730</v>
      </c>
      <c r="J38" s="23">
        <f>Domestic!M38+Europe!M38+'Asia-Pacific'!M38+'Rest of world'!M38+'North America'!M38+'Latin America'!M38</f>
        <v>260</v>
      </c>
      <c r="K38" s="257">
        <f>Domestic!O38+Europe!O38+'Asia-Pacific'!O38+'Rest of world'!O38+'North America'!O38+'Latin America'!O38</f>
        <v>1.7445569440000002</v>
      </c>
      <c r="L38" s="23">
        <f>Domestic!P38+Europe!P38+'Asia-Pacific'!P38+'Rest of world'!P38+'North America'!P38+'Latin America'!P38</f>
        <v>660</v>
      </c>
      <c r="M38" s="23">
        <f>Domestic!Q38+Europe!Q38+'Asia-Pacific'!Q38+'Rest of world'!Q38+'North America'!Q38+'Latin America'!Q38</f>
        <v>346</v>
      </c>
      <c r="N38" s="509">
        <f>Domestic!S38+Europe!S38+'Asia-Pacific'!S38+'Rest of world'!S38+'North America'!S38+'Latin America'!S38</f>
        <v>2.3441832160000002</v>
      </c>
      <c r="O38" s="23">
        <f>Domestic!T38+Europe!T38+'Asia-Pacific'!T38+'Rest of world'!T38+'North America'!T38+'Latin America'!T38</f>
        <v>630</v>
      </c>
      <c r="P38" s="23">
        <f>Domestic!U38+Europe!U38+'Asia-Pacific'!U38+'Rest of world'!U38+'North America'!U38+'Latin America'!U38</f>
        <v>334</v>
      </c>
      <c r="Q38" s="510">
        <f>Domestic!W38+'North America'!W38+Europe!W38+'Asia-Pacific'!W38+'Rest of world'!W38+'Latin America'!W38</f>
        <v>2.2153428420000001</v>
      </c>
      <c r="R38" s="23">
        <f>Domestic!X38+Europe!X38+'Asia-Pacific'!X38+'Rest of world'!X38+'North America'!X38+'Latin America'!X38</f>
        <v>660</v>
      </c>
      <c r="S38" s="23">
        <f>Domestic!Y38+Europe!Y38+'Asia-Pacific'!Y38+'Rest of world'!Y38+'North America'!Y38+'Latin America'!Y38</f>
        <v>513</v>
      </c>
      <c r="T38" s="510">
        <f>Domestic!AA38+Europe!AA38+'Asia-Pacific'!AA38+'Rest of world'!AA38+'North America'!AA38+'Latin America'!AA38</f>
        <v>3.5110801440000001</v>
      </c>
      <c r="U38" s="23">
        <f>Domestic!AB38+Europe!AB38+'Asia-Pacific'!AB38+'Rest of world'!AB38+'North America'!AB38+'Latin America'!AB38</f>
        <v>580</v>
      </c>
      <c r="V38" s="23">
        <f>Domestic!AC38+Europe!AC38+'Asia-Pacific'!AC38+'Rest of world'!AC38+'North America'!AC38+'Latin America'!AC38</f>
        <v>515</v>
      </c>
      <c r="W38" s="510">
        <f>Domestic!AE38+Europe!AE38+'Asia-Pacific'!AE38+'Rest of world'!AE38+'North America'!AE38+'Latin America'!AE38</f>
        <v>3.361009623760538</v>
      </c>
      <c r="X38" s="23">
        <f>Domestic!AF38+Europe!AF38+'Asia-Pacific'!AF38+'Rest of world'!AF38+'North America'!AF38+'Latin America'!AF38</f>
        <v>560</v>
      </c>
      <c r="Y38" s="23">
        <f>Domestic!AG38+Europe!AG38+'Asia-Pacific'!AG38+'Rest of world'!AG38+'North America'!AG38+'Latin America'!AG38</f>
        <v>227</v>
      </c>
      <c r="Z38" s="510">
        <f>Domestic!AI38+Europe!AI38+'Asia-Pacific'!AI38+'Rest of world'!AI38+'North America'!AI38+'Latin America'!AI38</f>
        <v>1.6345159980978929</v>
      </c>
      <c r="AA38" s="23">
        <f>Domestic!AJ38+Europe!AJ38+'Asia-Pacific'!AJ38+'Rest of world'!AJ38+'North America'!AJ38+'Latin America'!AJ38</f>
        <v>680</v>
      </c>
      <c r="AB38" s="23">
        <f>Domestic!AK38+Europe!AK38+'Asia-Pacific'!AK38+'Rest of world'!AK38+'North America'!AK38+'Latin America'!AK38</f>
        <v>238</v>
      </c>
      <c r="AC38" s="510">
        <f>Domestic!AM38+Europe!AM38+'Asia-Pacific'!AM38+'Rest of world'!AM38+'North America'!AM38+'Latin America'!AM38</f>
        <v>1.7071813098828044</v>
      </c>
      <c r="AD38" s="23">
        <f>Domestic!AN38+Europe!AN38+'Asia-Pacific'!AN38+'Rest of world'!AN38+'North America'!AN38+'Latin America'!AN38</f>
        <v>560</v>
      </c>
      <c r="AE38" s="23">
        <f>Domestic!AO38+Europe!AO38+'Asia-Pacific'!AO38+'Rest of world'!AO38+'North America'!AO38+'Latin America'!AO38</f>
        <v>271</v>
      </c>
      <c r="AF38" s="510">
        <f>Domestic!AQ38+Europe!AQ38+'Asia-Pacific'!AQ38+'Rest of world'!AQ38+'North America'!AQ38+'Latin America'!AQ38</f>
        <v>1.9419624798959039</v>
      </c>
      <c r="AG38" s="23">
        <f>Domestic!AR38+Europe!AR38+'Asia-Pacific'!AR38+'Rest of world'!AR38+'North America'!AR38+'Latin America'!AR38</f>
        <v>580</v>
      </c>
      <c r="AH38" s="23">
        <f>Domestic!AS38+Europe!AS38+'Asia-Pacific'!AS38+'Rest of world'!AS38+'North America'!AS38+'Latin America'!AS38</f>
        <v>148</v>
      </c>
      <c r="AI38" s="510">
        <f>Domestic!AU38+Europe!AU38+'Asia-Pacific'!AU38+'Rest of world'!AU38+'North America'!AU38+'Latin America'!AU38</f>
        <v>1.0936844781671322</v>
      </c>
      <c r="AJ38" s="23">
        <f>Domestic!AV38+Europe!AV38+'Asia-Pacific'!AV38+'Rest of world'!AV38+'North America'!AV38+'Latin America'!AV38</f>
        <v>540</v>
      </c>
      <c r="AK38" s="23">
        <f>Domestic!AQ38+Europe!AQ38+'Asia-Pacific'!AQ38+'Rest of world'!AQ38+'North America'!AQ38+'Latin America'!AQ38</f>
        <v>1.9419624798959039</v>
      </c>
      <c r="AL38" s="510">
        <f>Domestic!AY38+Europe!AY38+'Asia-Pacific'!AY38+'Rest of world'!AY38+'North America'!AY38+'Latin America'!AY38</f>
        <v>0</v>
      </c>
      <c r="AM38" s="257">
        <f t="shared" si="41"/>
        <v>1703</v>
      </c>
      <c r="AN38" s="257">
        <f t="shared" si="42"/>
        <v>1131</v>
      </c>
      <c r="AO38" s="257">
        <f t="shared" si="43"/>
        <v>7.8274130046000003</v>
      </c>
      <c r="AP38" s="257">
        <f t="shared" si="44"/>
        <v>1950</v>
      </c>
      <c r="AQ38" s="257">
        <f t="shared" si="45"/>
        <v>1193</v>
      </c>
      <c r="AR38" s="257">
        <f t="shared" si="46"/>
        <v>8.0706062020000005</v>
      </c>
      <c r="AS38" s="257">
        <f t="shared" si="47"/>
        <v>1820</v>
      </c>
      <c r="AT38" s="257">
        <f t="shared" si="48"/>
        <v>980</v>
      </c>
      <c r="AU38" s="257">
        <f t="shared" si="49"/>
        <v>6.7027069317412353</v>
      </c>
      <c r="AV38" s="257">
        <f t="shared" si="50"/>
        <v>1680</v>
      </c>
      <c r="AW38" s="257">
        <f t="shared" si="51"/>
        <v>420.94196247989589</v>
      </c>
      <c r="AX38" s="257">
        <f t="shared" si="52"/>
        <v>3.0356469580630359</v>
      </c>
      <c r="AY38" s="257">
        <f t="shared" si="53"/>
        <v>7153</v>
      </c>
      <c r="AZ38" s="257">
        <f t="shared" si="54"/>
        <v>3724.9419624798957</v>
      </c>
      <c r="BA38" s="257">
        <f t="shared" si="55"/>
        <v>25.636373096404274</v>
      </c>
      <c r="BB38" s="257">
        <f t="shared" si="56"/>
        <v>0.52075240633019648</v>
      </c>
      <c r="BD38" s="23">
        <f t="shared" si="57"/>
        <v>3653</v>
      </c>
      <c r="BE38" s="23">
        <f t="shared" si="58"/>
        <v>2324</v>
      </c>
      <c r="BF38" s="466">
        <f t="shared" si="59"/>
        <v>0.63618943334245825</v>
      </c>
      <c r="BG38" s="509">
        <f t="shared" si="60"/>
        <v>15.898019206600001</v>
      </c>
      <c r="BH38" s="466">
        <f t="shared" ref="BH38:BH69" si="61">IFERROR(BE38/B38,0)</f>
        <v>0.32489864392562562</v>
      </c>
    </row>
    <row r="39" spans="1:60" ht="12.6" customHeight="1">
      <c r="A39" s="254" t="s">
        <v>107</v>
      </c>
      <c r="B39" s="510">
        <f t="shared" si="40"/>
        <v>4800</v>
      </c>
      <c r="C39" s="23">
        <f>Domestic!D39+Europe!D39+'Asia-Pacific'!D39+'Rest of world'!D39+'North America'!D39+'Latin America'!D39</f>
        <v>400</v>
      </c>
      <c r="D39" s="23">
        <f>Domestic!E39+Europe!E39+'Asia-Pacific'!E39+'Rest of world'!E39+'North America'!E39+'Latin America'!E39</f>
        <v>324</v>
      </c>
      <c r="E39" s="257">
        <f>Domestic!G39+Europe!G39+'Asia-Pacific'!G39+'Rest of world'!G39+'North America'!G39+'Latin America'!G39</f>
        <v>1.8844244999999999</v>
      </c>
      <c r="F39" s="23">
        <f>Domestic!H39+Europe!H39+'Asia-Pacific'!H39+'Rest of world'!H39+'North America'!H39+'Latin America'!H39</f>
        <v>400</v>
      </c>
      <c r="G39" s="23">
        <f>Domestic!I39+Europe!I39+'Asia-Pacific'!I39+'Rest of world'!I39+'North America'!I39+'Latin America'!I39</f>
        <v>814</v>
      </c>
      <c r="H39" s="257">
        <f>Domestic!K39+Europe!K39+'Asia-Pacific'!K39+'Rest of world'!K39+'North America'!K39+'Latin America'!K39</f>
        <v>3.0282395439999998</v>
      </c>
      <c r="I39" s="23">
        <f>Domestic!L39+Europe!L39+'Asia-Pacific'!L39+'Rest of world'!L39+'North America'!L39+'Latin America'!L39</f>
        <v>400</v>
      </c>
      <c r="J39" s="23">
        <f>Domestic!M39+Europe!M39+'Asia-Pacific'!M39+'Rest of world'!M39+'North America'!M39+'Latin America'!M39</f>
        <v>297</v>
      </c>
      <c r="K39" s="257">
        <f>Domestic!O39+Europe!O39+'Asia-Pacific'!O39+'Rest of world'!O39+'North America'!O39+'Latin America'!O39</f>
        <v>1.0834327152000003</v>
      </c>
      <c r="L39" s="23">
        <f>Domestic!P39+Europe!P39+'Asia-Pacific'!P39+'Rest of world'!P39+'North America'!P39+'Latin America'!P39</f>
        <v>400</v>
      </c>
      <c r="M39" s="23">
        <f>Domestic!Q39+Europe!Q39+'Asia-Pacific'!Q39+'Rest of world'!Q39+'North America'!Q39+'Latin America'!Q39</f>
        <v>291</v>
      </c>
      <c r="N39" s="509">
        <f>Domestic!S39+Europe!S39+'Asia-Pacific'!S39+'Rest of world'!S39+'North America'!S39+'Latin America'!S39</f>
        <v>1.1727509519999999</v>
      </c>
      <c r="O39" s="23">
        <f>Domestic!T39+Europe!T39+'Asia-Pacific'!T39+'Rest of world'!T39+'North America'!T39+'Latin America'!T39</f>
        <v>400</v>
      </c>
      <c r="P39" s="23">
        <f>Domestic!U39+Europe!U39+'Asia-Pacific'!U39+'Rest of world'!U39+'North America'!U39+'Latin America'!U39</f>
        <v>374</v>
      </c>
      <c r="Q39" s="510">
        <f>Domestic!W39+'North America'!W39+Europe!W39+'Asia-Pacific'!W39+'Rest of world'!W39+'Latin America'!W39</f>
        <v>1.7196860340000004</v>
      </c>
      <c r="R39" s="23">
        <f>Domestic!X39+Europe!X39+'Asia-Pacific'!X39+'Rest of world'!X39+'North America'!X39+'Latin America'!X39</f>
        <v>400</v>
      </c>
      <c r="S39" s="23">
        <f>Domestic!Y39+Europe!Y39+'Asia-Pacific'!Y39+'Rest of world'!Y39+'North America'!Y39+'Latin America'!Y39</f>
        <v>412</v>
      </c>
      <c r="T39" s="510">
        <f>Domestic!AA39+Europe!AA39+'Asia-Pacific'!AA39+'Rest of world'!AA39+'North America'!AA39+'Latin America'!AA39</f>
        <v>1.8326678759999997</v>
      </c>
      <c r="U39" s="23">
        <f>Domestic!AB39+Europe!AB39+'Asia-Pacific'!AB39+'Rest of world'!AB39+'North America'!AB39+'Latin America'!AB39</f>
        <v>400</v>
      </c>
      <c r="V39" s="23">
        <f>Domestic!AC39+Europe!AC39+'Asia-Pacific'!AC39+'Rest of world'!AC39+'North America'!AC39+'Latin America'!AC39</f>
        <v>484</v>
      </c>
      <c r="W39" s="510">
        <f>Domestic!AE39+Europe!AE39+'Asia-Pacific'!AE39+'Rest of world'!AE39+'North America'!AE39+'Latin America'!AE39</f>
        <v>2.4481368560000001</v>
      </c>
      <c r="X39" s="23">
        <f>Domestic!AF39+Europe!AF39+'Asia-Pacific'!AF39+'Rest of world'!AF39+'North America'!AF39+'Latin America'!AF39</f>
        <v>400</v>
      </c>
      <c r="Y39" s="23">
        <f>Domestic!AG39+Europe!AG39+'Asia-Pacific'!AG39+'Rest of world'!AG39+'North America'!AG39+'Latin America'!AG39</f>
        <v>517</v>
      </c>
      <c r="Z39" s="510">
        <f>Domestic!AI39+Europe!AI39+'Asia-Pacific'!AI39+'Rest of world'!AI39+'North America'!AI39+'Latin America'!AI39</f>
        <v>2.5505367800000003</v>
      </c>
      <c r="AA39" s="23">
        <f>Domestic!AJ39+Europe!AJ39+'Asia-Pacific'!AJ39+'Rest of world'!AJ39+'North America'!AJ39+'Latin America'!AJ39</f>
        <v>400</v>
      </c>
      <c r="AB39" s="23">
        <f>Domestic!AK39+Europe!AK39+'Asia-Pacific'!AK39+'Rest of world'!AK39+'North America'!AK39+'Latin America'!AK39</f>
        <v>251</v>
      </c>
      <c r="AC39" s="510">
        <f>Domestic!AM39+Europe!AM39+'Asia-Pacific'!AM39+'Rest of world'!AM39+'North America'!AM39+'Latin America'!AM39</f>
        <v>1.058519961</v>
      </c>
      <c r="AD39" s="23">
        <f>Domestic!AN39+Europe!AN39+'Asia-Pacific'!AN39+'Rest of world'!AN39+'North America'!AN39+'Latin America'!AN39</f>
        <v>400</v>
      </c>
      <c r="AE39" s="23">
        <f>Domestic!AO39+Europe!AO39+'Asia-Pacific'!AO39+'Rest of world'!AO39+'North America'!AO39+'Latin America'!AO39</f>
        <v>701</v>
      </c>
      <c r="AF39" s="510">
        <f>Domestic!AQ39+Europe!AQ39+'Asia-Pacific'!AQ39+'Rest of world'!AQ39+'North America'!AQ39+'Latin America'!AQ39</f>
        <v>3.8044657980000003</v>
      </c>
      <c r="AG39" s="23">
        <f>Domestic!AR39+Europe!AR39+'Asia-Pacific'!AR39+'Rest of world'!AR39+'North America'!AR39+'Latin America'!AR39</f>
        <v>400</v>
      </c>
      <c r="AH39" s="23">
        <f>Domestic!AS39+Europe!AS39+'Asia-Pacific'!AS39+'Rest of world'!AS39+'North America'!AS39+'Latin America'!AS39</f>
        <v>625</v>
      </c>
      <c r="AI39" s="510">
        <f>Domestic!AU39+Europe!AU39+'Asia-Pacific'!AU39+'Rest of world'!AU39+'North America'!AU39+'Latin America'!AU39</f>
        <v>3.3211831250000006</v>
      </c>
      <c r="AJ39" s="23">
        <f>Domestic!AV39+Europe!AV39+'Asia-Pacific'!AV39+'Rest of world'!AV39+'North America'!AV39+'Latin America'!AV39</f>
        <v>400</v>
      </c>
      <c r="AK39" s="23">
        <f>Domestic!AQ39+Europe!AQ39+'Asia-Pacific'!AQ39+'Rest of world'!AQ39+'North America'!AQ39+'Latin America'!AQ39</f>
        <v>3.8044657980000003</v>
      </c>
      <c r="AL39" s="510">
        <f>Domestic!AY39+Europe!AY39+'Asia-Pacific'!AY39+'Rest of world'!AY39+'North America'!AY39+'Latin America'!AY39</f>
        <v>0</v>
      </c>
      <c r="AM39" s="257">
        <f t="shared" si="41"/>
        <v>1200</v>
      </c>
      <c r="AN39" s="257">
        <f t="shared" si="42"/>
        <v>1435</v>
      </c>
      <c r="AO39" s="257">
        <f t="shared" si="43"/>
        <v>5.9960967592000003</v>
      </c>
      <c r="AP39" s="257">
        <f t="shared" si="44"/>
        <v>1200</v>
      </c>
      <c r="AQ39" s="257">
        <f t="shared" si="45"/>
        <v>1077</v>
      </c>
      <c r="AR39" s="257">
        <f t="shared" si="46"/>
        <v>4.7251048620000002</v>
      </c>
      <c r="AS39" s="257">
        <f t="shared" si="47"/>
        <v>1200</v>
      </c>
      <c r="AT39" s="257">
        <f t="shared" si="48"/>
        <v>1252</v>
      </c>
      <c r="AU39" s="257">
        <f t="shared" si="49"/>
        <v>6.0571935970000004</v>
      </c>
      <c r="AV39" s="257">
        <f t="shared" si="50"/>
        <v>1200</v>
      </c>
      <c r="AW39" s="257">
        <f t="shared" si="51"/>
        <v>1329.8044657979999</v>
      </c>
      <c r="AX39" s="257">
        <f t="shared" si="52"/>
        <v>7.1256489230000009</v>
      </c>
      <c r="AY39" s="257">
        <f t="shared" si="53"/>
        <v>4800</v>
      </c>
      <c r="AZ39" s="257">
        <f t="shared" si="54"/>
        <v>5093.8044657979999</v>
      </c>
      <c r="BA39" s="257">
        <f t="shared" si="55"/>
        <v>23.9040441412</v>
      </c>
      <c r="BB39" s="257">
        <f t="shared" si="56"/>
        <v>1.0612092637079167</v>
      </c>
      <c r="BD39" s="23">
        <f t="shared" si="57"/>
        <v>2400</v>
      </c>
      <c r="BE39" s="23">
        <f t="shared" si="58"/>
        <v>2512</v>
      </c>
      <c r="BF39" s="466">
        <f t="shared" si="59"/>
        <v>1.0466666666666666</v>
      </c>
      <c r="BG39" s="509">
        <f t="shared" si="60"/>
        <v>10.721201621200001</v>
      </c>
      <c r="BH39" s="466">
        <f t="shared" si="61"/>
        <v>0.52333333333333332</v>
      </c>
    </row>
    <row r="40" spans="1:60" ht="12.6" customHeight="1">
      <c r="A40" s="254" t="s">
        <v>40</v>
      </c>
      <c r="B40" s="510">
        <f t="shared" si="40"/>
        <v>6000</v>
      </c>
      <c r="C40" s="23">
        <f>Domestic!D40+Europe!D40+'Asia-Pacific'!D40+'Rest of world'!D40+'North America'!D40+'Latin America'!D40</f>
        <v>500</v>
      </c>
      <c r="D40" s="23">
        <f>Domestic!E40+Europe!E40+'Asia-Pacific'!E40+'Rest of world'!E40+'North America'!E40+'Latin America'!E40</f>
        <v>657</v>
      </c>
      <c r="E40" s="257">
        <f>Domestic!G40+Europe!G40+'Asia-Pacific'!G40+'Rest of world'!G40+'North America'!G40+'Latin America'!G40</f>
        <v>3.0416107004999997</v>
      </c>
      <c r="F40" s="23">
        <f>Domestic!H40+Europe!H40+'Asia-Pacific'!H40+'Rest of world'!H40+'North America'!H40+'Latin America'!H40</f>
        <v>515</v>
      </c>
      <c r="G40" s="23">
        <f>Domestic!I40+Europe!I40+'Asia-Pacific'!I40+'Rest of world'!I40+'North America'!I40+'Latin America'!I40</f>
        <v>560</v>
      </c>
      <c r="H40" s="257">
        <f>Domestic!K40+Europe!K40+'Asia-Pacific'!K40+'Rest of world'!K40+'North America'!K40+'Latin America'!K40</f>
        <v>1.9696979182000001</v>
      </c>
      <c r="I40" s="23">
        <f>Domestic!L40+Europe!L40+'Asia-Pacific'!L40+'Rest of world'!L40+'North America'!L40+'Latin America'!L40</f>
        <v>500</v>
      </c>
      <c r="J40" s="23">
        <f>Domestic!M40+Europe!M40+'Asia-Pacific'!M40+'Rest of world'!M40+'North America'!M40+'Latin America'!M40</f>
        <v>503</v>
      </c>
      <c r="K40" s="257">
        <f>Domestic!O40+Europe!O40+'Asia-Pacific'!O40+'Rest of world'!O40+'North America'!O40+'Latin America'!O40</f>
        <v>0.88251646959999952</v>
      </c>
      <c r="L40" s="23">
        <f>Domestic!P40+Europe!P40+'Asia-Pacific'!P40+'Rest of world'!P40+'North America'!P40+'Latin America'!P40</f>
        <v>415</v>
      </c>
      <c r="M40" s="23">
        <f>Domestic!Q40+Europe!Q40+'Asia-Pacific'!Q40+'Rest of world'!Q40+'North America'!Q40+'Latin America'!Q40</f>
        <v>410</v>
      </c>
      <c r="N40" s="509">
        <f>Domestic!S40+Europe!S40+'Asia-Pacific'!S40+'Rest of world'!S40+'North America'!S40+'Latin America'!S40</f>
        <v>1.0178791199999999</v>
      </c>
      <c r="O40" s="23">
        <f>Domestic!T40+Europe!T40+'Asia-Pacific'!T40+'Rest of world'!T40+'North America'!T40+'Latin America'!T40</f>
        <v>400</v>
      </c>
      <c r="P40" s="23">
        <f>Domestic!U40+Europe!U40+'Asia-Pacific'!U40+'Rest of world'!U40+'North America'!U40+'Latin America'!U40</f>
        <v>367</v>
      </c>
      <c r="Q40" s="510">
        <f>Domestic!W40+'North America'!W40+Europe!W40+'Asia-Pacific'!W40+'Rest of world'!W40+'Latin America'!W40</f>
        <v>1.4969229150000001</v>
      </c>
      <c r="R40" s="23">
        <f>Domestic!X40+Europe!X40+'Asia-Pacific'!X40+'Rest of world'!X40+'North America'!X40+'Latin America'!X40</f>
        <v>520</v>
      </c>
      <c r="S40" s="23">
        <f>Domestic!Y40+Europe!Y40+'Asia-Pacific'!Y40+'Rest of world'!Y40+'North America'!Y40+'Latin America'!Y40</f>
        <v>144</v>
      </c>
      <c r="T40" s="510">
        <f>Domestic!AA40+Europe!AA40+'Asia-Pacific'!AA40+'Rest of world'!AA40+'North America'!AA40+'Latin America'!AA40</f>
        <v>0.64694635200000006</v>
      </c>
      <c r="U40" s="23">
        <f>Domestic!AB40+Europe!AB40+'Asia-Pacific'!AB40+'Rest of world'!AB40+'North America'!AB40+'Latin America'!AB40</f>
        <v>535</v>
      </c>
      <c r="V40" s="23">
        <f>Domestic!AC40+Europe!AC40+'Asia-Pacific'!AC40+'Rest of world'!AC40+'North America'!AC40+'Latin America'!AC40</f>
        <v>108</v>
      </c>
      <c r="W40" s="510">
        <f>Domestic!AE40+Europe!AE40+'Asia-Pacific'!AE40+'Rest of world'!AE40+'North America'!AE40+'Latin America'!AE40</f>
        <v>0.47925486000000006</v>
      </c>
      <c r="X40" s="23">
        <f>Domestic!AF40+Europe!AF40+'Asia-Pacific'!AF40+'Rest of world'!AF40+'North America'!AF40+'Latin America'!AF40</f>
        <v>520</v>
      </c>
      <c r="Y40" s="23">
        <f>Domestic!AG40+Europe!AG40+'Asia-Pacific'!AG40+'Rest of world'!AG40+'North America'!AG40+'Latin America'!AG40</f>
        <v>0</v>
      </c>
      <c r="Z40" s="510">
        <f>Domestic!AI40+Europe!AI40+'Asia-Pacific'!AI40+'Rest of world'!AI40+'North America'!AI40+'Latin America'!AI40</f>
        <v>0</v>
      </c>
      <c r="AA40" s="23">
        <f>Domestic!AJ40+Europe!AJ40+'Asia-Pacific'!AJ40+'Rest of world'!AJ40+'North America'!AJ40+'Latin America'!AJ40</f>
        <v>535</v>
      </c>
      <c r="AB40" s="23">
        <f>Domestic!AK40+Europe!AK40+'Asia-Pacific'!AK40+'Rest of world'!AK40+'North America'!AK40+'Latin America'!AK40</f>
        <v>48</v>
      </c>
      <c r="AC40" s="510">
        <f>Domestic!AM40+Europe!AM40+'Asia-Pacific'!AM40+'Rest of world'!AM40+'North America'!AM40+'Latin America'!AM40</f>
        <v>0.27066888699999997</v>
      </c>
      <c r="AD40" s="23">
        <f>Domestic!AN40+Europe!AN40+'Asia-Pacific'!AN40+'Rest of world'!AN40+'North America'!AN40+'Latin America'!AN40</f>
        <v>520</v>
      </c>
      <c r="AE40" s="23">
        <f>Domestic!AO40+Europe!AO40+'Asia-Pacific'!AO40+'Rest of world'!AO40+'North America'!AO40+'Latin America'!AO40</f>
        <v>381</v>
      </c>
      <c r="AF40" s="510">
        <f>Domestic!AQ40+Europe!AQ40+'Asia-Pacific'!AQ40+'Rest of world'!AQ40+'North America'!AQ40+'Latin America'!AQ40</f>
        <v>1.7603028300000001</v>
      </c>
      <c r="AG40" s="23">
        <f>Domestic!AR40+Europe!AR40+'Asia-Pacific'!AR40+'Rest of world'!AR40+'North America'!AR40+'Latin America'!AR40</f>
        <v>520</v>
      </c>
      <c r="AH40" s="23">
        <f>Domestic!AS40+Europe!AS40+'Asia-Pacific'!AS40+'Rest of world'!AS40+'North America'!AS40+'Latin America'!AS40</f>
        <v>213</v>
      </c>
      <c r="AI40" s="510">
        <f>Domestic!AU40+Europe!AU40+'Asia-Pacific'!AU40+'Rest of world'!AU40+'North America'!AU40+'Latin America'!AU40</f>
        <v>1.0268880440000001</v>
      </c>
      <c r="AJ40" s="23">
        <f>Domestic!AV40+Europe!AV40+'Asia-Pacific'!AV40+'Rest of world'!AV40+'North America'!AV40+'Latin America'!AV40</f>
        <v>520</v>
      </c>
      <c r="AK40" s="23">
        <f>Domestic!AQ40+Europe!AQ40+'Asia-Pacific'!AQ40+'Rest of world'!AQ40+'North America'!AQ40+'Latin America'!AQ40</f>
        <v>1.7603028300000001</v>
      </c>
      <c r="AL40" s="510">
        <f>Domestic!AY40+Europe!AY40+'Asia-Pacific'!AY40+'Rest of world'!AY40+'North America'!AY40+'Latin America'!AY40</f>
        <v>0</v>
      </c>
      <c r="AM40" s="257">
        <f t="shared" si="41"/>
        <v>1515</v>
      </c>
      <c r="AN40" s="257">
        <f t="shared" si="42"/>
        <v>1720</v>
      </c>
      <c r="AO40" s="257">
        <f t="shared" si="43"/>
        <v>5.893825088299999</v>
      </c>
      <c r="AP40" s="257">
        <f t="shared" si="44"/>
        <v>1335</v>
      </c>
      <c r="AQ40" s="257">
        <f t="shared" si="45"/>
        <v>921</v>
      </c>
      <c r="AR40" s="257">
        <f t="shared" si="46"/>
        <v>3.1617483869999998</v>
      </c>
      <c r="AS40" s="257">
        <f t="shared" si="47"/>
        <v>1590</v>
      </c>
      <c r="AT40" s="257">
        <f t="shared" si="48"/>
        <v>156</v>
      </c>
      <c r="AU40" s="257">
        <f t="shared" si="49"/>
        <v>0.74992374699999997</v>
      </c>
      <c r="AV40" s="257">
        <f t="shared" si="50"/>
        <v>1560</v>
      </c>
      <c r="AW40" s="257">
        <f t="shared" si="51"/>
        <v>595.76030283</v>
      </c>
      <c r="AX40" s="257">
        <f t="shared" si="52"/>
        <v>2.7871908740000002</v>
      </c>
      <c r="AY40" s="257">
        <f t="shared" si="53"/>
        <v>6000</v>
      </c>
      <c r="AZ40" s="257">
        <f t="shared" si="54"/>
        <v>3392.76030283</v>
      </c>
      <c r="BA40" s="257">
        <f t="shared" si="55"/>
        <v>12.5926880963</v>
      </c>
      <c r="BB40" s="257">
        <f t="shared" si="56"/>
        <v>0.5654600504716667</v>
      </c>
      <c r="BD40" s="23">
        <f t="shared" si="57"/>
        <v>2850</v>
      </c>
      <c r="BE40" s="23">
        <f t="shared" si="58"/>
        <v>2641</v>
      </c>
      <c r="BF40" s="466">
        <f t="shared" si="59"/>
        <v>0.92666666666666664</v>
      </c>
      <c r="BG40" s="509">
        <f t="shared" si="60"/>
        <v>9.0555734752999992</v>
      </c>
      <c r="BH40" s="466">
        <f t="shared" si="61"/>
        <v>0.44016666666666665</v>
      </c>
    </row>
    <row r="41" spans="1:60" ht="12.6" customHeight="1">
      <c r="A41" s="254" t="s">
        <v>30</v>
      </c>
      <c r="B41" s="510">
        <f t="shared" si="40"/>
        <v>504</v>
      </c>
      <c r="C41" s="23">
        <f>Domestic!D41+Europe!D41+'Asia-Pacific'!D41+'Rest of world'!D41+'North America'!D41+'Latin America'!D41</f>
        <v>32</v>
      </c>
      <c r="D41" s="23">
        <f>Domestic!E41+Europe!E41+'Asia-Pacific'!E41+'Rest of world'!E41+'North America'!E41+'Latin America'!E41</f>
        <v>36</v>
      </c>
      <c r="E41" s="257">
        <f>Domestic!G41+Europe!G41+'Asia-Pacific'!G41+'Rest of world'!G41+'North America'!G41+'Latin America'!G41</f>
        <v>0.30060658679999996</v>
      </c>
      <c r="F41" s="23">
        <f>Domestic!H41+Europe!H41+'Asia-Pacific'!H41+'Rest of world'!H41+'North America'!H41+'Latin America'!H41</f>
        <v>44</v>
      </c>
      <c r="G41" s="23">
        <f>Domestic!I41+Europe!I41+'Asia-Pacific'!I41+'Rest of world'!I41+'North America'!I41+'Latin America'!I41</f>
        <v>44</v>
      </c>
      <c r="H41" s="257">
        <f>Domestic!K41+Europe!K41+'Asia-Pacific'!K41+'Rest of world'!K41+'North America'!K41+'Latin America'!K41</f>
        <v>0.36637239599999993</v>
      </c>
      <c r="I41" s="23">
        <f>Domestic!L41+Europe!L41+'Asia-Pacific'!L41+'Rest of world'!L41+'North America'!L41+'Latin America'!L41</f>
        <v>52</v>
      </c>
      <c r="J41" s="23">
        <f>Domestic!M41+Europe!M41+'Asia-Pacific'!M41+'Rest of world'!M41+'North America'!M41+'Latin America'!M41</f>
        <v>30</v>
      </c>
      <c r="K41" s="257">
        <f>Domestic!O41+Europe!O41+'Asia-Pacific'!O41+'Rest of world'!O41+'North America'!O41+'Latin America'!O41</f>
        <v>0.27342591999999999</v>
      </c>
      <c r="L41" s="23">
        <f>Domestic!P41+Europe!P41+'Asia-Pacific'!P41+'Rest of world'!P41+'North America'!P41+'Latin America'!P41</f>
        <v>52</v>
      </c>
      <c r="M41" s="23">
        <f>Domestic!Q41+Europe!Q41+'Asia-Pacific'!Q41+'Rest of world'!Q41+'North America'!Q41+'Latin America'!Q41</f>
        <v>0</v>
      </c>
      <c r="N41" s="509">
        <f>Domestic!S41+Europe!S41+'Asia-Pacific'!S41+'Rest of world'!S41+'North America'!S41+'Latin America'!S41</f>
        <v>0</v>
      </c>
      <c r="O41" s="23">
        <f>Domestic!T41+Europe!T41+'Asia-Pacific'!T41+'Rest of world'!T41+'North America'!T41+'Latin America'!T41</f>
        <v>32</v>
      </c>
      <c r="P41" s="23">
        <f>Domestic!U41+Europe!U41+'Asia-Pacific'!U41+'Rest of world'!U41+'North America'!U41+'Latin America'!U41</f>
        <v>60</v>
      </c>
      <c r="Q41" s="510">
        <f>Domestic!W41+'North America'!W41+Europe!W41+'Asia-Pacific'!W41+'Rest of world'!W41+'Latin America'!W41</f>
        <v>0.57907836000000001</v>
      </c>
      <c r="R41" s="23">
        <f>Domestic!X41+Europe!X41+'Asia-Pacific'!X41+'Rest of world'!X41+'North America'!X41+'Latin America'!X41</f>
        <v>40</v>
      </c>
      <c r="S41" s="23">
        <f>Domestic!Y41+Europe!Y41+'Asia-Pacific'!Y41+'Rest of world'!Y41+'North America'!Y41+'Latin America'!Y41</f>
        <v>6</v>
      </c>
      <c r="T41" s="510">
        <f>Domestic!AA41+Europe!AA41+'Asia-Pacific'!AA41+'Rest of world'!AA41+'North America'!AA41+'Latin America'!AA41</f>
        <v>0.26765364600000002</v>
      </c>
      <c r="U41" s="23">
        <f>Domestic!AB41+Europe!AB41+'Asia-Pacific'!AB41+'Rest of world'!AB41+'North America'!AB41+'Latin America'!AB41</f>
        <v>32</v>
      </c>
      <c r="V41" s="23">
        <f>Domestic!AC41+Europe!AC41+'Asia-Pacific'!AC41+'Rest of world'!AC41+'North America'!AC41+'Latin America'!AC41</f>
        <v>40</v>
      </c>
      <c r="W41" s="510">
        <f>Domestic!AE41+Europe!AE41+'Asia-Pacific'!AE41+'Rest of world'!AE41+'North America'!AE41+'Latin America'!AE41</f>
        <v>1.8254658800000001</v>
      </c>
      <c r="X41" s="23">
        <f>Domestic!AF41+Europe!AF41+'Asia-Pacific'!AF41+'Rest of world'!AF41+'North America'!AF41+'Latin America'!AF41</f>
        <v>52</v>
      </c>
      <c r="Y41" s="23">
        <f>Domestic!AG41+Europe!AG41+'Asia-Pacific'!AG41+'Rest of world'!AG41+'North America'!AG41+'Latin America'!AG41</f>
        <v>71</v>
      </c>
      <c r="Z41" s="510">
        <f>Domestic!AI41+Europe!AI41+'Asia-Pacific'!AI41+'Rest of world'!AI41+'North America'!AI41+'Latin America'!AI41</f>
        <v>2.1073268659999997</v>
      </c>
      <c r="AA41" s="23">
        <f>Domestic!AJ41+Europe!AJ41+'Asia-Pacific'!AJ41+'Rest of world'!AJ41+'North America'!AJ41+'Latin America'!AJ41</f>
        <v>32</v>
      </c>
      <c r="AB41" s="23">
        <f>Domestic!AK41+Europe!AK41+'Asia-Pacific'!AK41+'Rest of world'!AK41+'North America'!AK41+'Latin America'!AK41</f>
        <v>0</v>
      </c>
      <c r="AC41" s="510">
        <f>Domestic!AM41+Europe!AM41+'Asia-Pacific'!AM41+'Rest of world'!AM41+'North America'!AM41+'Latin America'!AM41</f>
        <v>0</v>
      </c>
      <c r="AD41" s="23">
        <f>Domestic!AN41+Europe!AN41+'Asia-Pacific'!AN41+'Rest of world'!AN41+'North America'!AN41+'Latin America'!AN41</f>
        <v>52</v>
      </c>
      <c r="AE41" s="23">
        <f>Domestic!AO41+Europe!AO41+'Asia-Pacific'!AO41+'Rest of world'!AO41+'North America'!AO41+'Latin America'!AO41</f>
        <v>1</v>
      </c>
      <c r="AF41" s="510">
        <f>Domestic!AQ41+Europe!AQ41+'Asia-Pacific'!AQ41+'Rest of world'!AQ41+'North America'!AQ41+'Latin America'!AQ41</f>
        <v>2.8176542999999998E-2</v>
      </c>
      <c r="AG41" s="23">
        <f>Domestic!AR41+Europe!AR41+'Asia-Pacific'!AR41+'Rest of world'!AR41+'North America'!AR41+'Latin America'!AR41</f>
        <v>44</v>
      </c>
      <c r="AH41" s="23">
        <f>Domestic!AS41+Europe!AS41+'Asia-Pacific'!AS41+'Rest of world'!AS41+'North America'!AS41+'Latin America'!AS41</f>
        <v>18</v>
      </c>
      <c r="AI41" s="510">
        <f>Domestic!AU41+Europe!AU41+'Asia-Pacific'!AU41+'Rest of world'!AU41+'North America'!AU41+'Latin America'!AU41</f>
        <v>0.173931156</v>
      </c>
      <c r="AJ41" s="23">
        <f>Domestic!AV41+Europe!AV41+'Asia-Pacific'!AV41+'Rest of world'!AV41+'North America'!AV41+'Latin America'!AV41</f>
        <v>40</v>
      </c>
      <c r="AK41" s="23">
        <f>Domestic!AQ41+Europe!AQ41+'Asia-Pacific'!AQ41+'Rest of world'!AQ41+'North America'!AQ41+'Latin America'!AQ41</f>
        <v>2.8176542999999998E-2</v>
      </c>
      <c r="AL41" s="510">
        <f>Domestic!AY41+Europe!AY41+'Asia-Pacific'!AY41+'Rest of world'!AY41+'North America'!AY41+'Latin America'!AY41</f>
        <v>0</v>
      </c>
      <c r="AM41" s="257">
        <f t="shared" si="41"/>
        <v>128</v>
      </c>
      <c r="AN41" s="257">
        <f t="shared" si="42"/>
        <v>110</v>
      </c>
      <c r="AO41" s="257">
        <f t="shared" si="43"/>
        <v>0.94040490279999989</v>
      </c>
      <c r="AP41" s="257">
        <f t="shared" si="44"/>
        <v>124</v>
      </c>
      <c r="AQ41" s="257">
        <f t="shared" si="45"/>
        <v>66</v>
      </c>
      <c r="AR41" s="257">
        <f t="shared" si="46"/>
        <v>0.84673200600000009</v>
      </c>
      <c r="AS41" s="257">
        <f t="shared" si="47"/>
        <v>116</v>
      </c>
      <c r="AT41" s="257">
        <f t="shared" si="48"/>
        <v>111</v>
      </c>
      <c r="AU41" s="257">
        <f t="shared" si="49"/>
        <v>3.9327927459999996</v>
      </c>
      <c r="AV41" s="257">
        <f t="shared" si="50"/>
        <v>136</v>
      </c>
      <c r="AW41" s="257">
        <f t="shared" si="51"/>
        <v>19.028176543000001</v>
      </c>
      <c r="AX41" s="257">
        <f t="shared" si="52"/>
        <v>0.202107699</v>
      </c>
      <c r="AY41" s="257">
        <f t="shared" si="53"/>
        <v>504</v>
      </c>
      <c r="AZ41" s="257">
        <f t="shared" si="54"/>
        <v>306.02817654299997</v>
      </c>
      <c r="BA41" s="257">
        <f t="shared" si="55"/>
        <v>5.9220373537999995</v>
      </c>
      <c r="BB41" s="257">
        <f t="shared" si="56"/>
        <v>0.60719876298214281</v>
      </c>
      <c r="BD41" s="23">
        <f t="shared" si="57"/>
        <v>252</v>
      </c>
      <c r="BE41" s="23">
        <f t="shared" si="58"/>
        <v>176</v>
      </c>
      <c r="BF41" s="466">
        <f t="shared" si="59"/>
        <v>0.69841269841269837</v>
      </c>
      <c r="BG41" s="509">
        <f t="shared" si="60"/>
        <v>1.7871369088</v>
      </c>
      <c r="BH41" s="466">
        <f t="shared" si="61"/>
        <v>0.34920634920634919</v>
      </c>
    </row>
    <row r="42" spans="1:60" ht="12.6" customHeight="1">
      <c r="A42" s="254" t="s">
        <v>120</v>
      </c>
      <c r="B42" s="510">
        <f t="shared" si="40"/>
        <v>0</v>
      </c>
      <c r="C42" s="23">
        <f>Domestic!D42+Europe!D42+'Asia-Pacific'!D42+'Rest of world'!D42+'North America'!D42+'Latin America'!D42</f>
        <v>0</v>
      </c>
      <c r="D42" s="23">
        <f>Domestic!E42+Europe!E42+'Asia-Pacific'!E42+'Rest of world'!E42+'North America'!E42+'Latin America'!E42</f>
        <v>0</v>
      </c>
      <c r="E42" s="257">
        <f>Domestic!G42+Europe!G42+'Asia-Pacific'!G42+'Rest of world'!G42+'North America'!G42+'Latin America'!G42</f>
        <v>0</v>
      </c>
      <c r="F42" s="23">
        <f>Domestic!H42+Europe!H42+'Asia-Pacific'!H42+'Rest of world'!H42+'North America'!H42+'Latin America'!H42</f>
        <v>0</v>
      </c>
      <c r="G42" s="23">
        <f>Domestic!I42+Europe!I42+'Asia-Pacific'!I42+'Rest of world'!I42+'North America'!I42+'Latin America'!I42</f>
        <v>0</v>
      </c>
      <c r="H42" s="257">
        <f>Domestic!K42+Europe!K42+'Asia-Pacific'!K42+'Rest of world'!K42+'North America'!K42+'Latin America'!K42</f>
        <v>0</v>
      </c>
      <c r="I42" s="23">
        <f>Domestic!L42+Europe!L42+'Asia-Pacific'!L42+'Rest of world'!L42+'North America'!L42+'Latin America'!L42</f>
        <v>0</v>
      </c>
      <c r="J42" s="23">
        <f>Domestic!M42+Europe!M42+'Asia-Pacific'!M42+'Rest of world'!M42+'North America'!M42+'Latin America'!M42</f>
        <v>0</v>
      </c>
      <c r="K42" s="257">
        <f>Domestic!O42+Europe!O42+'Asia-Pacific'!O42+'Rest of world'!O42+'North America'!O42+'Latin America'!O42</f>
        <v>0</v>
      </c>
      <c r="L42" s="23">
        <f>Domestic!P42+Europe!P42+'Asia-Pacific'!P42+'Rest of world'!P42+'North America'!P42+'Latin America'!P42</f>
        <v>0</v>
      </c>
      <c r="M42" s="23">
        <f>Domestic!Q42+Europe!Q42+'Asia-Pacific'!Q42+'Rest of world'!Q42+'North America'!Q42+'Latin America'!Q42</f>
        <v>0</v>
      </c>
      <c r="N42" s="509">
        <f>Domestic!S42+Europe!S42+'Asia-Pacific'!S42+'Rest of world'!S42+'North America'!S42+'Latin America'!S42</f>
        <v>0</v>
      </c>
      <c r="O42" s="23">
        <f>Domestic!T42+Europe!T42+'Asia-Pacific'!T42+'Rest of world'!T42+'North America'!T42+'Latin America'!T42</f>
        <v>0</v>
      </c>
      <c r="P42" s="23">
        <f>Domestic!U42+Europe!U42+'Asia-Pacific'!U42+'Rest of world'!U42+'North America'!U42+'Latin America'!U42</f>
        <v>0</v>
      </c>
      <c r="Q42" s="510">
        <f>Domestic!W42+'North America'!W42+Europe!W42+'Asia-Pacific'!W42+'Rest of world'!W42+'Latin America'!W42</f>
        <v>0</v>
      </c>
      <c r="R42" s="23">
        <f>Domestic!X42+Europe!X42+'Asia-Pacific'!X42+'Rest of world'!X42+'North America'!X42+'Latin America'!X42</f>
        <v>0</v>
      </c>
      <c r="S42" s="23">
        <f>Domestic!Y42+Europe!Y42+'Asia-Pacific'!Y42+'Rest of world'!Y42+'North America'!Y42+'Latin America'!Y42</f>
        <v>0</v>
      </c>
      <c r="T42" s="510">
        <f>Domestic!AA42+Europe!AA42+'Asia-Pacific'!AA42+'Rest of world'!AA42+'North America'!AA42+'Latin America'!AA42</f>
        <v>0</v>
      </c>
      <c r="U42" s="23">
        <f>Domestic!AB42+Europe!AB42+'Asia-Pacific'!AB42+'Rest of world'!AB42+'North America'!AB42+'Latin America'!AB42</f>
        <v>0</v>
      </c>
      <c r="V42" s="23">
        <f>Domestic!AC42+Europe!AC42+'Asia-Pacific'!AC42+'Rest of world'!AC42+'North America'!AC42+'Latin America'!AC42</f>
        <v>0</v>
      </c>
      <c r="W42" s="510">
        <f>Domestic!AE42+Europe!AE42+'Asia-Pacific'!AE42+'Rest of world'!AE42+'North America'!AE42+'Latin America'!AE42</f>
        <v>0</v>
      </c>
      <c r="X42" s="23">
        <f>Domestic!AF42+Europe!AF42+'Asia-Pacific'!AF42+'Rest of world'!AF42+'North America'!AF42+'Latin America'!AF42</f>
        <v>0</v>
      </c>
      <c r="Y42" s="23">
        <f>Domestic!AG42+Europe!AG42+'Asia-Pacific'!AG42+'Rest of world'!AG42+'North America'!AG42+'Latin America'!AG42</f>
        <v>32</v>
      </c>
      <c r="Z42" s="510">
        <f>Domestic!AI42+Europe!AI42+'Asia-Pacific'!AI42+'Rest of world'!AI42+'North America'!AI42+'Latin America'!AI42</f>
        <v>0.35119974399999998</v>
      </c>
      <c r="AA42" s="23">
        <f>Domestic!AJ42+Europe!AJ42+'Asia-Pacific'!AJ42+'Rest of world'!AJ42+'North America'!AJ42+'Latin America'!AJ42</f>
        <v>0</v>
      </c>
      <c r="AB42" s="23">
        <f>Domestic!AK42+Europe!AK42+'Asia-Pacific'!AK42+'Rest of world'!AK42+'North America'!AK42+'Latin America'!AK42</f>
        <v>30</v>
      </c>
      <c r="AC42" s="510">
        <f>Domestic!AM42+Europe!AM42+'Asia-Pacific'!AM42+'Rest of world'!AM42+'North America'!AM42+'Latin America'!AM42</f>
        <v>0.32548802599999999</v>
      </c>
      <c r="AD42" s="23">
        <f>Domestic!AN42+Europe!AN42+'Asia-Pacific'!AN42+'Rest of world'!AN42+'North America'!AN42+'Latin America'!AN42</f>
        <v>0</v>
      </c>
      <c r="AE42" s="23">
        <f>Domestic!AO42+Europe!AO42+'Asia-Pacific'!AO42+'Rest of world'!AO42+'North America'!AO42+'Latin America'!AO42</f>
        <v>142</v>
      </c>
      <c r="AF42" s="510">
        <f>Domestic!AQ42+Europe!AQ42+'Asia-Pacific'!AQ42+'Rest of world'!AQ42+'North America'!AQ42+'Latin America'!AQ42</f>
        <v>1.5242129160000002</v>
      </c>
      <c r="AG42" s="23">
        <f>Domestic!AR42+Europe!AR42+'Asia-Pacific'!AR42+'Rest of world'!AR42+'North America'!AR42+'Latin America'!AR42</f>
        <v>0</v>
      </c>
      <c r="AH42" s="23">
        <f>Domestic!AS42+Europe!AS42+'Asia-Pacific'!AS42+'Rest of world'!AS42+'North America'!AS42+'Latin America'!AS42</f>
        <v>0</v>
      </c>
      <c r="AI42" s="510">
        <f>Domestic!AU42+Europe!AU42+'Asia-Pacific'!AU42+'Rest of world'!AU42+'North America'!AU42+'Latin America'!AU42</f>
        <v>0</v>
      </c>
      <c r="AJ42" s="23">
        <f>Domestic!AV42+Europe!AV42+'Asia-Pacific'!AV42+'Rest of world'!AV42+'North America'!AV42+'Latin America'!AV42</f>
        <v>0</v>
      </c>
      <c r="AK42" s="23">
        <f>Domestic!AQ42+Europe!AQ42+'Asia-Pacific'!AQ42+'Rest of world'!AQ42+'North America'!AQ42+'Latin America'!AQ42</f>
        <v>1.5242129160000002</v>
      </c>
      <c r="AL42" s="510">
        <f>Domestic!AY42+Europe!AY42+'Asia-Pacific'!AY42+'Rest of world'!AY42+'North America'!AY42+'Latin America'!AY42</f>
        <v>0</v>
      </c>
      <c r="AM42" s="257">
        <f t="shared" si="41"/>
        <v>0</v>
      </c>
      <c r="AN42" s="257">
        <f t="shared" si="42"/>
        <v>0</v>
      </c>
      <c r="AO42" s="257">
        <f t="shared" si="43"/>
        <v>0</v>
      </c>
      <c r="AP42" s="257">
        <f t="shared" si="44"/>
        <v>0</v>
      </c>
      <c r="AQ42" s="257">
        <f t="shared" si="45"/>
        <v>0</v>
      </c>
      <c r="AR42" s="257">
        <f t="shared" si="46"/>
        <v>0</v>
      </c>
      <c r="AS42" s="257">
        <f t="shared" si="47"/>
        <v>0</v>
      </c>
      <c r="AT42" s="257">
        <f t="shared" si="48"/>
        <v>62</v>
      </c>
      <c r="AU42" s="257">
        <f t="shared" si="49"/>
        <v>0.67668777000000002</v>
      </c>
      <c r="AV42" s="257">
        <f t="shared" si="50"/>
        <v>0</v>
      </c>
      <c r="AW42" s="257">
        <f t="shared" si="51"/>
        <v>143.52421291600001</v>
      </c>
      <c r="AX42" s="257">
        <f t="shared" si="52"/>
        <v>1.5242129160000002</v>
      </c>
      <c r="AY42" s="257">
        <f t="shared" si="53"/>
        <v>0</v>
      </c>
      <c r="AZ42" s="257">
        <f t="shared" si="54"/>
        <v>205.52421291600001</v>
      </c>
      <c r="BA42" s="257">
        <f t="shared" si="55"/>
        <v>2.2009006860000002</v>
      </c>
      <c r="BB42" s="257">
        <f t="shared" si="56"/>
        <v>0</v>
      </c>
      <c r="BD42" s="23">
        <f t="shared" si="57"/>
        <v>0</v>
      </c>
      <c r="BE42" s="23">
        <f t="shared" si="58"/>
        <v>0</v>
      </c>
      <c r="BF42" s="466">
        <f t="shared" si="59"/>
        <v>0</v>
      </c>
      <c r="BG42" s="509">
        <f t="shared" si="60"/>
        <v>0</v>
      </c>
      <c r="BH42" s="466">
        <f t="shared" si="61"/>
        <v>0</v>
      </c>
    </row>
    <row r="43" spans="1:60" ht="12.6" customHeight="1">
      <c r="A43" s="254" t="s">
        <v>36</v>
      </c>
      <c r="B43" s="510">
        <f t="shared" si="40"/>
        <v>0</v>
      </c>
      <c r="C43" s="23">
        <f>Domestic!D43+Europe!D43+'Asia-Pacific'!D43+'Rest of world'!D43+'North America'!D43+'Latin America'!D43</f>
        <v>0</v>
      </c>
      <c r="D43" s="23">
        <f>Domestic!E43+Europe!E43+'Asia-Pacific'!E43+'Rest of world'!E43+'North America'!E43+'Latin America'!E43</f>
        <v>0</v>
      </c>
      <c r="E43" s="257">
        <f>Domestic!G43+Europe!G43+'Asia-Pacific'!G43+'Rest of world'!G43+'North America'!G43+'Latin America'!G43</f>
        <v>0</v>
      </c>
      <c r="F43" s="23">
        <f>Domestic!H43+Europe!H43+'Asia-Pacific'!H43+'Rest of world'!H43+'North America'!H43+'Latin America'!H43</f>
        <v>0</v>
      </c>
      <c r="G43" s="23">
        <f>Domestic!I43+Europe!I43+'Asia-Pacific'!I43+'Rest of world'!I43+'North America'!I43+'Latin America'!I43</f>
        <v>0</v>
      </c>
      <c r="H43" s="257">
        <f>Domestic!K43+Europe!K43+'Asia-Pacific'!K43+'Rest of world'!K43+'North America'!K43+'Latin America'!K43</f>
        <v>0</v>
      </c>
      <c r="I43" s="23">
        <f>Domestic!L43+Europe!L43+'Asia-Pacific'!L43+'Rest of world'!L43+'North America'!L43+'Latin America'!L43</f>
        <v>0</v>
      </c>
      <c r="J43" s="23">
        <f>Domestic!M43+Europe!M43+'Asia-Pacific'!M43+'Rest of world'!M43+'North America'!M43+'Latin America'!M43</f>
        <v>0</v>
      </c>
      <c r="K43" s="257">
        <f>Domestic!O43+Europe!O43+'Asia-Pacific'!O43+'Rest of world'!O43+'North America'!O43+'Latin America'!O43</f>
        <v>0</v>
      </c>
      <c r="L43" s="23">
        <f>Domestic!P43+Europe!P43+'Asia-Pacific'!P43+'Rest of world'!P43+'North America'!P43+'Latin America'!P43</f>
        <v>0</v>
      </c>
      <c r="M43" s="23">
        <f>Domestic!Q43+Europe!Q43+'Asia-Pacific'!Q43+'Rest of world'!Q43+'North America'!Q43+'Latin America'!Q43</f>
        <v>0</v>
      </c>
      <c r="N43" s="509">
        <f>Domestic!S43+Europe!S43+'Asia-Pacific'!S43+'Rest of world'!S43+'North America'!S43+'Latin America'!S43</f>
        <v>0</v>
      </c>
      <c r="O43" s="23">
        <f>Domestic!T43+Europe!T43+'Asia-Pacific'!T43+'Rest of world'!T43+'North America'!T43+'Latin America'!T43</f>
        <v>0</v>
      </c>
      <c r="P43" s="23">
        <f>Domestic!U43+Europe!U43+'Asia-Pacific'!U43+'Rest of world'!U43+'North America'!U43+'Latin America'!U43</f>
        <v>0</v>
      </c>
      <c r="Q43" s="510">
        <f>Domestic!W43+'North America'!W43+Europe!W43+'Asia-Pacific'!W43+'Rest of world'!W43+'Latin America'!W43</f>
        <v>0</v>
      </c>
      <c r="R43" s="23">
        <f>Domestic!X43+Europe!X43+'Asia-Pacific'!X43+'Rest of world'!X43+'North America'!X43+'Latin America'!X43</f>
        <v>0</v>
      </c>
      <c r="S43" s="23">
        <f>Domestic!Y43+Europe!Y43+'Asia-Pacific'!Y43+'Rest of world'!Y43+'North America'!Y43+'Latin America'!Y43</f>
        <v>0</v>
      </c>
      <c r="T43" s="510">
        <f>Domestic!AA43+Europe!AA43+'Asia-Pacific'!AA43+'Rest of world'!AA43+'North America'!AA43+'Latin America'!AA43</f>
        <v>0</v>
      </c>
      <c r="U43" s="23">
        <f>Domestic!AB43+Europe!AB43+'Asia-Pacific'!AB43+'Rest of world'!AB43+'North America'!AB43+'Latin America'!AB43</f>
        <v>0</v>
      </c>
      <c r="V43" s="23">
        <f>Domestic!AC43+Europe!AC43+'Asia-Pacific'!AC43+'Rest of world'!AC43+'North America'!AC43+'Latin America'!AC43</f>
        <v>0</v>
      </c>
      <c r="W43" s="510">
        <f>Domestic!AE43+Europe!AE43+'Asia-Pacific'!AE43+'Rest of world'!AE43+'North America'!AE43+'Latin America'!AE43</f>
        <v>0</v>
      </c>
      <c r="X43" s="23">
        <f>Domestic!AF43+Europe!AF43+'Asia-Pacific'!AF43+'Rest of world'!AF43+'North America'!AF43+'Latin America'!AF43</f>
        <v>0</v>
      </c>
      <c r="Y43" s="23">
        <f>Domestic!AG43+Europe!AG43+'Asia-Pacific'!AG43+'Rest of world'!AG43+'North America'!AG43+'Latin America'!AG43</f>
        <v>0</v>
      </c>
      <c r="Z43" s="510">
        <f>Domestic!AI43+Europe!AI43+'Asia-Pacific'!AI43+'Rest of world'!AI43+'North America'!AI43+'Latin America'!AI43</f>
        <v>0</v>
      </c>
      <c r="AA43" s="23">
        <f>Domestic!AJ43+Europe!AJ43+'Asia-Pacific'!AJ43+'Rest of world'!AJ43+'North America'!AJ43+'Latin America'!AJ43</f>
        <v>0</v>
      </c>
      <c r="AB43" s="23">
        <f>Domestic!AK43+Europe!AK43+'Asia-Pacific'!AK43+'Rest of world'!AK43+'North America'!AK43+'Latin America'!AK43</f>
        <v>0</v>
      </c>
      <c r="AC43" s="510">
        <f>Domestic!AM43+Europe!AM43+'Asia-Pacific'!AM43+'Rest of world'!AM43+'North America'!AM43+'Latin America'!AM43</f>
        <v>0</v>
      </c>
      <c r="AD43" s="23">
        <f>Domestic!AN43+Europe!AN43+'Asia-Pacific'!AN43+'Rest of world'!AN43+'North America'!AN43+'Latin America'!AN43</f>
        <v>0</v>
      </c>
      <c r="AE43" s="23">
        <f>Domestic!AO43+Europe!AO43+'Asia-Pacific'!AO43+'Rest of world'!AO43+'North America'!AO43+'Latin America'!AO43</f>
        <v>0</v>
      </c>
      <c r="AF43" s="510">
        <f>Domestic!AQ43+Europe!AQ43+'Asia-Pacific'!AQ43+'Rest of world'!AQ43+'North America'!AQ43+'Latin America'!AQ43</f>
        <v>0</v>
      </c>
      <c r="AG43" s="23">
        <f>Domestic!AR43+Europe!AR43+'Asia-Pacific'!AR43+'Rest of world'!AR43+'North America'!AR43+'Latin America'!AR43</f>
        <v>0</v>
      </c>
      <c r="AH43" s="23">
        <f>Domestic!AS43+Europe!AS43+'Asia-Pacific'!AS43+'Rest of world'!AS43+'North America'!AS43+'Latin America'!AS43</f>
        <v>0</v>
      </c>
      <c r="AI43" s="510">
        <f>Domestic!AU43+Europe!AU43+'Asia-Pacific'!AU43+'Rest of world'!AU43+'North America'!AU43+'Latin America'!AU43</f>
        <v>0</v>
      </c>
      <c r="AJ43" s="23">
        <f>Domestic!AV43+Europe!AV43+'Asia-Pacific'!AV43+'Rest of world'!AV43+'North America'!AV43+'Latin America'!AV43</f>
        <v>0</v>
      </c>
      <c r="AK43" s="23">
        <f>Domestic!AQ43+Europe!AQ43+'Asia-Pacific'!AQ43+'Rest of world'!AQ43+'North America'!AQ43+'Latin America'!AQ43</f>
        <v>0</v>
      </c>
      <c r="AL43" s="510">
        <f>Domestic!AY43+Europe!AY43+'Asia-Pacific'!AY43+'Rest of world'!AY43+'North America'!AY43+'Latin America'!AY43</f>
        <v>0</v>
      </c>
      <c r="AM43" s="257">
        <f t="shared" si="41"/>
        <v>0</v>
      </c>
      <c r="AN43" s="257">
        <f t="shared" si="42"/>
        <v>0</v>
      </c>
      <c r="AO43" s="257">
        <f t="shared" si="43"/>
        <v>0</v>
      </c>
      <c r="AP43" s="257">
        <f t="shared" si="44"/>
        <v>0</v>
      </c>
      <c r="AQ43" s="257">
        <f t="shared" si="45"/>
        <v>0</v>
      </c>
      <c r="AR43" s="257">
        <f t="shared" si="46"/>
        <v>0</v>
      </c>
      <c r="AS43" s="257">
        <f t="shared" si="47"/>
        <v>0</v>
      </c>
      <c r="AT43" s="257">
        <f t="shared" si="48"/>
        <v>0</v>
      </c>
      <c r="AU43" s="257">
        <f t="shared" si="49"/>
        <v>0</v>
      </c>
      <c r="AV43" s="257">
        <f t="shared" si="50"/>
        <v>0</v>
      </c>
      <c r="AW43" s="257">
        <f t="shared" si="51"/>
        <v>0</v>
      </c>
      <c r="AX43" s="257">
        <f t="shared" si="52"/>
        <v>0</v>
      </c>
      <c r="AY43" s="257">
        <f t="shared" si="53"/>
        <v>0</v>
      </c>
      <c r="AZ43" s="257">
        <f t="shared" si="54"/>
        <v>0</v>
      </c>
      <c r="BA43" s="257">
        <f t="shared" si="55"/>
        <v>0</v>
      </c>
      <c r="BB43" s="257">
        <f t="shared" si="56"/>
        <v>0</v>
      </c>
      <c r="BD43" s="23">
        <f t="shared" si="57"/>
        <v>0</v>
      </c>
      <c r="BE43" s="23">
        <f t="shared" si="58"/>
        <v>0</v>
      </c>
      <c r="BF43" s="466">
        <f t="shared" si="59"/>
        <v>0</v>
      </c>
      <c r="BG43" s="509">
        <f t="shared" si="60"/>
        <v>0</v>
      </c>
      <c r="BH43" s="466">
        <f t="shared" si="61"/>
        <v>0</v>
      </c>
    </row>
    <row r="44" spans="1:60" ht="12.6" customHeight="1">
      <c r="A44" s="254" t="s">
        <v>53</v>
      </c>
      <c r="B44" s="510">
        <f t="shared" si="40"/>
        <v>0</v>
      </c>
      <c r="C44" s="23">
        <f>Domestic!D44+Europe!D44+'Asia-Pacific'!D44+'Rest of world'!D44+'North America'!D44+'Latin America'!D44</f>
        <v>0</v>
      </c>
      <c r="D44" s="23">
        <f>Domestic!E44+Europe!E44+'Asia-Pacific'!E44+'Rest of world'!E44+'North America'!E44+'Latin America'!E44</f>
        <v>0</v>
      </c>
      <c r="E44" s="257">
        <f>Domestic!G44+Europe!G44+'Asia-Pacific'!G44+'Rest of world'!G44+'North America'!G44+'Latin America'!G44</f>
        <v>0</v>
      </c>
      <c r="F44" s="23">
        <f>Domestic!H44+Europe!H44+'Asia-Pacific'!H44+'Rest of world'!H44+'North America'!H44+'Latin America'!H44</f>
        <v>0</v>
      </c>
      <c r="G44" s="23">
        <f>Domestic!I44+Europe!I44+'Asia-Pacific'!I44+'Rest of world'!I44+'North America'!I44+'Latin America'!I44</f>
        <v>0</v>
      </c>
      <c r="H44" s="257">
        <f>Domestic!K44+Europe!K44+'Asia-Pacific'!K44+'Rest of world'!K44+'North America'!K44+'Latin America'!K44</f>
        <v>0</v>
      </c>
      <c r="I44" s="23">
        <f>Domestic!L44+Europe!L44+'Asia-Pacific'!L44+'Rest of world'!L44+'North America'!L44+'Latin America'!L44</f>
        <v>0</v>
      </c>
      <c r="J44" s="23">
        <f>Domestic!M44+Europe!M44+'Asia-Pacific'!M44+'Rest of world'!M44+'North America'!M44+'Latin America'!M44</f>
        <v>0</v>
      </c>
      <c r="K44" s="257">
        <f>Domestic!O44+Europe!O44+'Asia-Pacific'!O44+'Rest of world'!O44+'North America'!O44+'Latin America'!O44</f>
        <v>0</v>
      </c>
      <c r="L44" s="23">
        <f>Domestic!P44+Europe!P44+'Asia-Pacific'!P44+'Rest of world'!P44+'North America'!P44+'Latin America'!P44</f>
        <v>0</v>
      </c>
      <c r="M44" s="23">
        <f>Domestic!Q44+Europe!Q44+'Asia-Pacific'!Q44+'Rest of world'!Q44+'North America'!Q44+'Latin America'!Q44</f>
        <v>0</v>
      </c>
      <c r="N44" s="509">
        <f>Domestic!S44+Europe!S44+'Asia-Pacific'!S44+'Rest of world'!S44+'North America'!S44+'Latin America'!S44</f>
        <v>0</v>
      </c>
      <c r="O44" s="23">
        <f>Domestic!T44+Europe!T44+'Asia-Pacific'!T44+'Rest of world'!T44+'North America'!T44+'Latin America'!T44</f>
        <v>0</v>
      </c>
      <c r="P44" s="23">
        <f>Domestic!U44+Europe!U44+'Asia-Pacific'!U44+'Rest of world'!U44+'North America'!U44+'Latin America'!U44</f>
        <v>0</v>
      </c>
      <c r="Q44" s="510">
        <f>Domestic!W44+'North America'!W44+Europe!W44+'Asia-Pacific'!W44+'Rest of world'!W44+'Latin America'!W44</f>
        <v>0</v>
      </c>
      <c r="R44" s="23">
        <f>Domestic!X44+Europe!X44+'Asia-Pacific'!X44+'Rest of world'!X44+'North America'!X44+'Latin America'!X44</f>
        <v>0</v>
      </c>
      <c r="S44" s="23">
        <f>Domestic!Y44+Europe!Y44+'Asia-Pacific'!Y44+'Rest of world'!Y44+'North America'!Y44+'Latin America'!Y44</f>
        <v>0</v>
      </c>
      <c r="T44" s="510">
        <f>Domestic!AA44+Europe!AA44+'Asia-Pacific'!AA44+'Rest of world'!AA44+'North America'!AA44+'Latin America'!AA44</f>
        <v>0</v>
      </c>
      <c r="U44" s="23">
        <f>Domestic!AB44+Europe!AB44+'Asia-Pacific'!AB44+'Rest of world'!AB44+'North America'!AB44+'Latin America'!AB44</f>
        <v>0</v>
      </c>
      <c r="V44" s="23">
        <f>Domestic!AC44+Europe!AC44+'Asia-Pacific'!AC44+'Rest of world'!AC44+'North America'!AC44+'Latin America'!AC44</f>
        <v>0</v>
      </c>
      <c r="W44" s="510">
        <f>Domestic!AE44+Europe!AE44+'Asia-Pacific'!AE44+'Rest of world'!AE44+'North America'!AE44+'Latin America'!AE44</f>
        <v>0</v>
      </c>
      <c r="X44" s="23">
        <f>Domestic!AF44+Europe!AF44+'Asia-Pacific'!AF44+'Rest of world'!AF44+'North America'!AF44+'Latin America'!AF44</f>
        <v>0</v>
      </c>
      <c r="Y44" s="23">
        <f>Domestic!AG44+Europe!AG44+'Asia-Pacific'!AG44+'Rest of world'!AG44+'North America'!AG44+'Latin America'!AG44</f>
        <v>0</v>
      </c>
      <c r="Z44" s="510">
        <f>Domestic!AI44+Europe!AI44+'Asia-Pacific'!AI44+'Rest of world'!AI44+'North America'!AI44+'Latin America'!AI44</f>
        <v>0</v>
      </c>
      <c r="AA44" s="23">
        <f>Domestic!AJ44+Europe!AJ44+'Asia-Pacific'!AJ44+'Rest of world'!AJ44+'North America'!AJ44+'Latin America'!AJ44</f>
        <v>0</v>
      </c>
      <c r="AB44" s="23">
        <f>Domestic!AK44+Europe!AK44+'Asia-Pacific'!AK44+'Rest of world'!AK44+'North America'!AK44+'Latin America'!AK44</f>
        <v>0</v>
      </c>
      <c r="AC44" s="510">
        <f>Domestic!AM44+Europe!AM44+'Asia-Pacific'!AM44+'Rest of world'!AM44+'North America'!AM44+'Latin America'!AM44</f>
        <v>0</v>
      </c>
      <c r="AD44" s="23">
        <f>Domestic!AN44+Europe!AN44+'Asia-Pacific'!AN44+'Rest of world'!AN44+'North America'!AN44+'Latin America'!AN44</f>
        <v>0</v>
      </c>
      <c r="AE44" s="23">
        <f>Domestic!AO44+Europe!AO44+'Asia-Pacific'!AO44+'Rest of world'!AO44+'North America'!AO44+'Latin America'!AO44</f>
        <v>0</v>
      </c>
      <c r="AF44" s="510">
        <f>Domestic!AQ44+Europe!AQ44+'Asia-Pacific'!AQ44+'Rest of world'!AQ44+'North America'!AQ44+'Latin America'!AQ44</f>
        <v>0</v>
      </c>
      <c r="AG44" s="23">
        <f>Domestic!AR44+Europe!AR44+'Asia-Pacific'!AR44+'Rest of world'!AR44+'North America'!AR44+'Latin America'!AR44</f>
        <v>0</v>
      </c>
      <c r="AH44" s="23">
        <f>Domestic!AS44+Europe!AS44+'Asia-Pacific'!AS44+'Rest of world'!AS44+'North America'!AS44+'Latin America'!AS44</f>
        <v>0</v>
      </c>
      <c r="AI44" s="510">
        <f>Domestic!AU44+Europe!AU44+'Asia-Pacific'!AU44+'Rest of world'!AU44+'North America'!AU44+'Latin America'!AU44</f>
        <v>0</v>
      </c>
      <c r="AJ44" s="23">
        <f>Domestic!AV44+Europe!AV44+'Asia-Pacific'!AV44+'Rest of world'!AV44+'North America'!AV44+'Latin America'!AV44</f>
        <v>0</v>
      </c>
      <c r="AK44" s="23">
        <f>Domestic!AQ44+Europe!AQ44+'Asia-Pacific'!AQ44+'Rest of world'!AQ44+'North America'!AQ44+'Latin America'!AQ44</f>
        <v>0</v>
      </c>
      <c r="AL44" s="510">
        <f>Domestic!AY44+Europe!AY44+'Asia-Pacific'!AY44+'Rest of world'!AY44+'North America'!AY44+'Latin America'!AY44</f>
        <v>0</v>
      </c>
      <c r="AM44" s="257">
        <f t="shared" si="41"/>
        <v>0</v>
      </c>
      <c r="AN44" s="257">
        <f t="shared" si="42"/>
        <v>0</v>
      </c>
      <c r="AO44" s="257">
        <f t="shared" si="43"/>
        <v>0</v>
      </c>
      <c r="AP44" s="257">
        <f t="shared" si="44"/>
        <v>0</v>
      </c>
      <c r="AQ44" s="257">
        <f t="shared" si="45"/>
        <v>0</v>
      </c>
      <c r="AR44" s="257">
        <f t="shared" si="46"/>
        <v>0</v>
      </c>
      <c r="AS44" s="257">
        <f t="shared" si="47"/>
        <v>0</v>
      </c>
      <c r="AT44" s="257">
        <f t="shared" si="48"/>
        <v>0</v>
      </c>
      <c r="AU44" s="257">
        <f t="shared" si="49"/>
        <v>0</v>
      </c>
      <c r="AV44" s="257">
        <f t="shared" si="50"/>
        <v>0</v>
      </c>
      <c r="AW44" s="257">
        <f t="shared" si="51"/>
        <v>0</v>
      </c>
      <c r="AX44" s="257">
        <f t="shared" si="52"/>
        <v>0</v>
      </c>
      <c r="AY44" s="257">
        <f t="shared" si="53"/>
        <v>0</v>
      </c>
      <c r="AZ44" s="257">
        <f t="shared" si="54"/>
        <v>0</v>
      </c>
      <c r="BA44" s="257">
        <f t="shared" si="55"/>
        <v>0</v>
      </c>
      <c r="BB44" s="257">
        <f t="shared" si="56"/>
        <v>0</v>
      </c>
      <c r="BD44" s="23">
        <f t="shared" si="57"/>
        <v>0</v>
      </c>
      <c r="BE44" s="23">
        <f t="shared" si="58"/>
        <v>0</v>
      </c>
      <c r="BF44" s="466">
        <f t="shared" si="59"/>
        <v>0</v>
      </c>
      <c r="BG44" s="509">
        <f t="shared" si="60"/>
        <v>0</v>
      </c>
      <c r="BH44" s="466">
        <f t="shared" si="61"/>
        <v>0</v>
      </c>
    </row>
    <row r="45" spans="1:60" ht="12.6" customHeight="1">
      <c r="A45" s="505" t="s">
        <v>124</v>
      </c>
      <c r="B45" s="510">
        <f t="shared" si="40"/>
        <v>2460</v>
      </c>
      <c r="C45" s="23">
        <f>Domestic!D45+Europe!D45+'Asia-Pacific'!D45+'Rest of world'!D45+'North America'!D45+'Latin America'!D45</f>
        <v>200</v>
      </c>
      <c r="D45" s="23">
        <f>Domestic!E45+Europe!E45+'Asia-Pacific'!E45+'Rest of world'!E45+'North America'!E45+'Latin America'!E45</f>
        <v>108</v>
      </c>
      <c r="E45" s="257">
        <f>Domestic!G45+Europe!G45+'Asia-Pacific'!G45+'Rest of world'!G45+'North America'!G45+'Latin America'!G45</f>
        <v>0.65885633742857141</v>
      </c>
      <c r="F45" s="23">
        <f>Domestic!H45+Europe!H45+'Asia-Pacific'!H45+'Rest of world'!H45+'North America'!H45+'Latin America'!H45</f>
        <v>200</v>
      </c>
      <c r="G45" s="23">
        <f>Domestic!I45+Europe!I45+'Asia-Pacific'!I45+'Rest of world'!I45+'North America'!I45+'Latin America'!I45</f>
        <v>90</v>
      </c>
      <c r="H45" s="257">
        <f>Domestic!K45+Europe!K45+'Asia-Pacific'!K45+'Rest of world'!K45+'North America'!K45+'Latin America'!K45</f>
        <v>0.56267773328571435</v>
      </c>
      <c r="I45" s="23">
        <f>Domestic!L45+Europe!L45+'Asia-Pacific'!L45+'Rest of world'!L45+'North America'!L45+'Latin America'!L45</f>
        <v>215</v>
      </c>
      <c r="J45" s="23">
        <f>Domestic!M45+Europe!M45+'Asia-Pacific'!M45+'Rest of world'!M45+'North America'!M45+'Latin America'!M45</f>
        <v>244</v>
      </c>
      <c r="K45" s="257">
        <f>Domestic!O45+Europe!O45+'Asia-Pacific'!O45+'Rest of world'!O45+'North America'!O45+'Latin America'!O45</f>
        <v>1.5087507321142857</v>
      </c>
      <c r="L45" s="23">
        <f>Domestic!P45+Europe!P45+'Asia-Pacific'!P45+'Rest of world'!P45+'North America'!P45+'Latin America'!P45</f>
        <v>200</v>
      </c>
      <c r="M45" s="23">
        <f>Domestic!Q45+Europe!Q45+'Asia-Pacific'!Q45+'Rest of world'!Q45+'North America'!Q45+'Latin America'!Q45</f>
        <v>105</v>
      </c>
      <c r="N45" s="509">
        <f>Domestic!S45+Europe!S45+'Asia-Pacific'!S45+'Rest of world'!S45+'North America'!S45+'Latin America'!S45</f>
        <v>0.66955374000000001</v>
      </c>
      <c r="O45" s="23">
        <f>Domestic!T45+Europe!T45+'Asia-Pacific'!T45+'Rest of world'!T45+'North America'!T45+'Latin America'!T45</f>
        <v>200</v>
      </c>
      <c r="P45" s="23">
        <f>Domestic!U45+Europe!U45+'Asia-Pacific'!U45+'Rest of world'!U45+'North America'!U45+'Latin America'!U45</f>
        <v>26</v>
      </c>
      <c r="Q45" s="510">
        <f>Domestic!W45+'North America'!W45+Europe!W45+'Asia-Pacific'!W45+'Rest of world'!W45+'Latin America'!W45</f>
        <v>0.16214748642857144</v>
      </c>
      <c r="R45" s="23">
        <f>Domestic!X45+Europe!X45+'Asia-Pacific'!X45+'Rest of world'!X45+'North America'!X45+'Latin America'!X45</f>
        <v>215</v>
      </c>
      <c r="S45" s="23">
        <f>Domestic!Y45+Europe!Y45+'Asia-Pacific'!Y45+'Rest of world'!Y45+'North America'!Y45+'Latin America'!Y45</f>
        <v>103</v>
      </c>
      <c r="T45" s="510">
        <f>Domestic!AA45+Europe!AA45+'Asia-Pacific'!AA45+'Rest of world'!AA45+'North America'!AA45+'Latin America'!AA45</f>
        <v>0.6888205266428572</v>
      </c>
      <c r="U45" s="23">
        <f>Domestic!AB45+Europe!AB45+'Asia-Pacific'!AB45+'Rest of world'!AB45+'North America'!AB45+'Latin America'!AB45</f>
        <v>200</v>
      </c>
      <c r="V45" s="23">
        <f>Domestic!AC45+Europe!AC45+'Asia-Pacific'!AC45+'Rest of world'!AC45+'North America'!AC45+'Latin America'!AC45</f>
        <v>104</v>
      </c>
      <c r="W45" s="510">
        <f>Domestic!AE45+Europe!AE45+'Asia-Pacific'!AE45+'Rest of world'!AE45+'North America'!AE45+'Latin America'!AE45</f>
        <v>0.70672060697267536</v>
      </c>
      <c r="X45" s="23">
        <f>Domestic!AF45+Europe!AF45+'Asia-Pacific'!AF45+'Rest of world'!AF45+'North America'!AF45+'Latin America'!AF45</f>
        <v>200</v>
      </c>
      <c r="Y45" s="23">
        <f>Domestic!AG45+Europe!AG45+'Asia-Pacific'!AG45+'Rest of world'!AG45+'North America'!AG45+'Latin America'!AG45</f>
        <v>156</v>
      </c>
      <c r="Z45" s="510">
        <f>Domestic!AI45+Europe!AI45+'Asia-Pacific'!AI45+'Rest of world'!AI45+'North America'!AI45+'Latin America'!AI45</f>
        <v>1.111638438125039</v>
      </c>
      <c r="AA45" s="23">
        <f>Domestic!AJ45+Europe!AJ45+'Asia-Pacific'!AJ45+'Rest of world'!AJ45+'North America'!AJ45+'Latin America'!AJ45</f>
        <v>215</v>
      </c>
      <c r="AB45" s="23">
        <f>Domestic!AK45+Europe!AK45+'Asia-Pacific'!AK45+'Rest of world'!AK45+'North America'!AK45+'Latin America'!AK45</f>
        <v>0</v>
      </c>
      <c r="AC45" s="510">
        <f>Domestic!AM45+Europe!AM45+'Asia-Pacific'!AM45+'Rest of world'!AM45+'North America'!AM45+'Latin America'!AM45</f>
        <v>0</v>
      </c>
      <c r="AD45" s="23">
        <f>Domestic!AN45+Europe!AN45+'Asia-Pacific'!AN45+'Rest of world'!AN45+'North America'!AN45+'Latin America'!AN45</f>
        <v>200</v>
      </c>
      <c r="AE45" s="23">
        <f>Domestic!AO45+Europe!AO45+'Asia-Pacific'!AO45+'Rest of world'!AO45+'North America'!AO45+'Latin America'!AO45</f>
        <v>207</v>
      </c>
      <c r="AF45" s="510">
        <f>Domestic!AQ45+Europe!AQ45+'Asia-Pacific'!AQ45+'Rest of world'!AQ45+'North America'!AQ45+'Latin America'!AQ45</f>
        <v>1.4688079055579517</v>
      </c>
      <c r="AG45" s="23">
        <f>Domestic!AR45+Europe!AR45+'Asia-Pacific'!AR45+'Rest of world'!AR45+'North America'!AR45+'Latin America'!AR45</f>
        <v>215</v>
      </c>
      <c r="AH45" s="23">
        <f>Domestic!AS45+Europe!AS45+'Asia-Pacific'!AS45+'Rest of world'!AS45+'North America'!AS45+'Latin America'!AS45</f>
        <v>173</v>
      </c>
      <c r="AI45" s="510">
        <f>Domestic!AU45+Europe!AU45+'Asia-Pacific'!AU45+'Rest of world'!AU45+'North America'!AU45+'Latin America'!AU45</f>
        <v>1.2518268667969656</v>
      </c>
      <c r="AJ45" s="23">
        <f>Domestic!AV45+Europe!AV45+'Asia-Pacific'!AV45+'Rest of world'!AV45+'North America'!AV45+'Latin America'!AV45</f>
        <v>200</v>
      </c>
      <c r="AK45" s="23">
        <f>Domestic!AQ45+Europe!AQ45+'Asia-Pacific'!AQ45+'Rest of world'!AQ45+'North America'!AQ45+'Latin America'!AQ45</f>
        <v>1.4688079055579517</v>
      </c>
      <c r="AL45" s="510">
        <f>Domestic!AY45+Europe!AY45+'Asia-Pacific'!AY45+'Rest of world'!AY45+'North America'!AY45+'Latin America'!AY45</f>
        <v>0</v>
      </c>
      <c r="AM45" s="257">
        <f t="shared" si="41"/>
        <v>615</v>
      </c>
      <c r="AN45" s="257">
        <f t="shared" si="42"/>
        <v>442</v>
      </c>
      <c r="AO45" s="257">
        <f t="shared" si="43"/>
        <v>2.7302848028285713</v>
      </c>
      <c r="AP45" s="257">
        <f t="shared" si="44"/>
        <v>615</v>
      </c>
      <c r="AQ45" s="257">
        <f t="shared" si="45"/>
        <v>234</v>
      </c>
      <c r="AR45" s="257">
        <f t="shared" si="46"/>
        <v>1.5205217530714288</v>
      </c>
      <c r="AS45" s="257">
        <f t="shared" si="47"/>
        <v>615</v>
      </c>
      <c r="AT45" s="257">
        <f t="shared" si="48"/>
        <v>260</v>
      </c>
      <c r="AU45" s="257">
        <f t="shared" si="49"/>
        <v>1.8183590450977145</v>
      </c>
      <c r="AV45" s="257">
        <f t="shared" si="50"/>
        <v>615</v>
      </c>
      <c r="AW45" s="257">
        <f t="shared" si="51"/>
        <v>381.46880790555792</v>
      </c>
      <c r="AX45" s="257">
        <f t="shared" si="52"/>
        <v>2.7206347723549174</v>
      </c>
      <c r="AY45" s="257">
        <f t="shared" si="53"/>
        <v>2460</v>
      </c>
      <c r="AZ45" s="257">
        <f t="shared" si="54"/>
        <v>1317.4688079055579</v>
      </c>
      <c r="BA45" s="257">
        <f t="shared" si="55"/>
        <v>8.7898003733526338</v>
      </c>
      <c r="BB45" s="257">
        <f t="shared" si="56"/>
        <v>0.53555642597786912</v>
      </c>
      <c r="BD45" s="23">
        <f t="shared" si="57"/>
        <v>1230</v>
      </c>
      <c r="BE45" s="23">
        <f t="shared" si="58"/>
        <v>676</v>
      </c>
      <c r="BF45" s="466">
        <f t="shared" si="59"/>
        <v>0.54959349593495932</v>
      </c>
      <c r="BG45" s="509">
        <f t="shared" si="60"/>
        <v>4.2508065558999997</v>
      </c>
      <c r="BH45" s="466">
        <f t="shared" si="61"/>
        <v>0.27479674796747966</v>
      </c>
    </row>
    <row r="46" spans="1:60" ht="12.6" customHeight="1">
      <c r="A46" s="254" t="s">
        <v>63</v>
      </c>
      <c r="B46" s="510">
        <f t="shared" si="40"/>
        <v>0</v>
      </c>
      <c r="C46" s="23">
        <f>Domestic!D46+Europe!D46+'Asia-Pacific'!D46+'Rest of world'!D46+'North America'!D46+'Latin America'!D46</f>
        <v>0</v>
      </c>
      <c r="D46" s="23">
        <f>Domestic!E46+Europe!E46+'Asia-Pacific'!E46+'Rest of world'!E46+'North America'!E46+'Latin America'!E46</f>
        <v>0</v>
      </c>
      <c r="E46" s="257">
        <f>Domestic!G46+Europe!G46+'Asia-Pacific'!G46+'Rest of world'!G46+'North America'!G46+'Latin America'!G46</f>
        <v>0</v>
      </c>
      <c r="F46" s="23">
        <f>Domestic!H46+Europe!H46+'Asia-Pacific'!H46+'Rest of world'!H46+'North America'!H46+'Latin America'!H46</f>
        <v>0</v>
      </c>
      <c r="G46" s="23">
        <f>Domestic!I46+Europe!I46+'Asia-Pacific'!I46+'Rest of world'!I46+'North America'!I46+'Latin America'!I46</f>
        <v>0</v>
      </c>
      <c r="H46" s="257">
        <f>Domestic!K46+Europe!K46+'Asia-Pacific'!K46+'Rest of world'!K46+'North America'!K46+'Latin America'!K46</f>
        <v>0</v>
      </c>
      <c r="I46" s="23">
        <f>Domestic!L46+Europe!L46+'Asia-Pacific'!L46+'Rest of world'!L46+'North America'!L46+'Latin America'!L46</f>
        <v>0</v>
      </c>
      <c r="J46" s="23">
        <f>Domestic!M46+Europe!M46+'Asia-Pacific'!M46+'Rest of world'!M46+'North America'!M46+'Latin America'!M46</f>
        <v>0</v>
      </c>
      <c r="K46" s="257">
        <f>Domestic!O46+Europe!O46+'Asia-Pacific'!O46+'Rest of world'!O46+'North America'!O46+'Latin America'!O46</f>
        <v>0</v>
      </c>
      <c r="L46" s="23">
        <f>Domestic!P46+Europe!P46+'Asia-Pacific'!P46+'Rest of world'!P46+'North America'!P46+'Latin America'!P46</f>
        <v>0</v>
      </c>
      <c r="M46" s="23">
        <f>Domestic!Q46+Europe!Q46+'Asia-Pacific'!Q46+'Rest of world'!Q46+'North America'!Q46+'Latin America'!Q46</f>
        <v>0</v>
      </c>
      <c r="N46" s="509">
        <f>Domestic!S46+Europe!S46+'Asia-Pacific'!S46+'Rest of world'!S46+'North America'!S46+'Latin America'!S46</f>
        <v>0</v>
      </c>
      <c r="O46" s="23">
        <f>Domestic!T46+Europe!T46+'Asia-Pacific'!T46+'Rest of world'!T46+'North America'!T46+'Latin America'!T46</f>
        <v>0</v>
      </c>
      <c r="P46" s="23">
        <f>Domestic!U46+Europe!U46+'Asia-Pacific'!U46+'Rest of world'!U46+'North America'!U46+'Latin America'!U46</f>
        <v>0</v>
      </c>
      <c r="Q46" s="510">
        <f>Domestic!W46+'North America'!W46+Europe!W46+'Asia-Pacific'!W46+'Rest of world'!W46+'Latin America'!W46</f>
        <v>0</v>
      </c>
      <c r="R46" s="23">
        <f>Domestic!X46+Europe!X46+'Asia-Pacific'!X46+'Rest of world'!X46+'North America'!X46+'Latin America'!X46</f>
        <v>0</v>
      </c>
      <c r="S46" s="23">
        <f>Domestic!Y46+Europe!Y46+'Asia-Pacific'!Y46+'Rest of world'!Y46+'North America'!Y46+'Latin America'!Y46</f>
        <v>0</v>
      </c>
      <c r="T46" s="510">
        <f>Domestic!AA46+Europe!AA46+'Asia-Pacific'!AA46+'Rest of world'!AA46+'North America'!AA46+'Latin America'!AA46</f>
        <v>0</v>
      </c>
      <c r="U46" s="23">
        <f>Domestic!AB46+Europe!AB46+'Asia-Pacific'!AB46+'Rest of world'!AB46+'North America'!AB46+'Latin America'!AB46</f>
        <v>0</v>
      </c>
      <c r="V46" s="23">
        <f>Domestic!AC46+Europe!AC46+'Asia-Pacific'!AC46+'Rest of world'!AC46+'North America'!AC46+'Latin America'!AC46</f>
        <v>0</v>
      </c>
      <c r="W46" s="510">
        <f>Domestic!AE46+Europe!AE46+'Asia-Pacific'!AE46+'Rest of world'!AE46+'North America'!AE46+'Latin America'!AE46</f>
        <v>0</v>
      </c>
      <c r="X46" s="23">
        <f>Domestic!AF46+Europe!AF46+'Asia-Pacific'!AF46+'Rest of world'!AF46+'North America'!AF46+'Latin America'!AF46</f>
        <v>0</v>
      </c>
      <c r="Y46" s="23">
        <f>Domestic!AG46+Europe!AG46+'Asia-Pacific'!AG46+'Rest of world'!AG46+'North America'!AG46+'Latin America'!AG46</f>
        <v>0</v>
      </c>
      <c r="Z46" s="510">
        <f>Domestic!AI46+Europe!AI46+'Asia-Pacific'!AI46+'Rest of world'!AI46+'North America'!AI46+'Latin America'!AI46</f>
        <v>0</v>
      </c>
      <c r="AA46" s="23">
        <f>Domestic!AJ46+Europe!AJ46+'Asia-Pacific'!AJ46+'Rest of world'!AJ46+'North America'!AJ46+'Latin America'!AJ46</f>
        <v>0</v>
      </c>
      <c r="AB46" s="23">
        <f>Domestic!AK46+Europe!AK46+'Asia-Pacific'!AK46+'Rest of world'!AK46+'North America'!AK46+'Latin America'!AK46</f>
        <v>0</v>
      </c>
      <c r="AC46" s="510">
        <f>Domestic!AM46+Europe!AM46+'Asia-Pacific'!AM46+'Rest of world'!AM46+'North America'!AM46+'Latin America'!AM46</f>
        <v>0</v>
      </c>
      <c r="AD46" s="23">
        <f>Domestic!AN46+Europe!AN46+'Asia-Pacific'!AN46+'Rest of world'!AN46+'North America'!AN46+'Latin America'!AN46</f>
        <v>0</v>
      </c>
      <c r="AE46" s="23">
        <f>Domestic!AO46+Europe!AO46+'Asia-Pacific'!AO46+'Rest of world'!AO46+'North America'!AO46+'Latin America'!AO46</f>
        <v>0</v>
      </c>
      <c r="AF46" s="510">
        <f>Domestic!AQ46+Europe!AQ46+'Asia-Pacific'!AQ46+'Rest of world'!AQ46+'North America'!AQ46+'Latin America'!AQ46</f>
        <v>0</v>
      </c>
      <c r="AG46" s="23">
        <f>Domestic!AR46+Europe!AR46+'Asia-Pacific'!AR46+'Rest of world'!AR46+'North America'!AR46+'Latin America'!AR46</f>
        <v>0</v>
      </c>
      <c r="AH46" s="23">
        <f>Domestic!AS46+Europe!AS46+'Asia-Pacific'!AS46+'Rest of world'!AS46+'North America'!AS46+'Latin America'!AS46</f>
        <v>0</v>
      </c>
      <c r="AI46" s="510">
        <f>Domestic!AU46+Europe!AU46+'Asia-Pacific'!AU46+'Rest of world'!AU46+'North America'!AU46+'Latin America'!AU46</f>
        <v>0</v>
      </c>
      <c r="AJ46" s="23">
        <f>Domestic!AV46+Europe!AV46+'Asia-Pacific'!AV46+'Rest of world'!AV46+'North America'!AV46+'Latin America'!AV46</f>
        <v>0</v>
      </c>
      <c r="AK46" s="23">
        <f>Domestic!AQ46+Europe!AQ46+'Asia-Pacific'!AQ46+'Rest of world'!AQ46+'North America'!AQ46+'Latin America'!AQ46</f>
        <v>0</v>
      </c>
      <c r="AL46" s="510">
        <f>Domestic!AY46+Europe!AY46+'Asia-Pacific'!AY46+'Rest of world'!AY46+'North America'!AY46+'Latin America'!AY46</f>
        <v>0</v>
      </c>
      <c r="AM46" s="257">
        <f t="shared" si="41"/>
        <v>0</v>
      </c>
      <c r="AN46" s="257">
        <f t="shared" si="42"/>
        <v>0</v>
      </c>
      <c r="AO46" s="257">
        <f t="shared" si="43"/>
        <v>0</v>
      </c>
      <c r="AP46" s="257">
        <f t="shared" si="44"/>
        <v>0</v>
      </c>
      <c r="AQ46" s="257">
        <f t="shared" si="45"/>
        <v>0</v>
      </c>
      <c r="AR46" s="257">
        <f t="shared" si="46"/>
        <v>0</v>
      </c>
      <c r="AS46" s="257">
        <f t="shared" si="47"/>
        <v>0</v>
      </c>
      <c r="AT46" s="257">
        <f t="shared" si="48"/>
        <v>0</v>
      </c>
      <c r="AU46" s="257">
        <f t="shared" si="49"/>
        <v>0</v>
      </c>
      <c r="AV46" s="257">
        <f t="shared" si="50"/>
        <v>0</v>
      </c>
      <c r="AW46" s="257">
        <f t="shared" si="51"/>
        <v>0</v>
      </c>
      <c r="AX46" s="257">
        <f t="shared" si="52"/>
        <v>0</v>
      </c>
      <c r="AY46" s="257">
        <f t="shared" si="53"/>
        <v>0</v>
      </c>
      <c r="AZ46" s="257">
        <f t="shared" si="54"/>
        <v>0</v>
      </c>
      <c r="BA46" s="257">
        <f t="shared" si="55"/>
        <v>0</v>
      </c>
      <c r="BB46" s="257">
        <f t="shared" si="56"/>
        <v>0</v>
      </c>
      <c r="BD46" s="23">
        <f t="shared" si="57"/>
        <v>0</v>
      </c>
      <c r="BE46" s="23">
        <f t="shared" si="58"/>
        <v>0</v>
      </c>
      <c r="BF46" s="466">
        <f t="shared" si="59"/>
        <v>0</v>
      </c>
      <c r="BG46" s="509">
        <f t="shared" si="60"/>
        <v>0</v>
      </c>
      <c r="BH46" s="466">
        <f t="shared" si="61"/>
        <v>0</v>
      </c>
    </row>
    <row r="47" spans="1:60" ht="12.6" customHeight="1">
      <c r="A47" s="254" t="s">
        <v>41</v>
      </c>
      <c r="B47" s="510">
        <f t="shared" si="40"/>
        <v>1320</v>
      </c>
      <c r="C47" s="23">
        <f>Domestic!D47+Europe!D47+'Asia-Pacific'!D47+'Rest of world'!D47+'North America'!D47+'Latin America'!D47</f>
        <v>250</v>
      </c>
      <c r="D47" s="23">
        <f>Domestic!E47+Europe!E47+'Asia-Pacific'!E47+'Rest of world'!E47+'North America'!E47+'Latin America'!E47</f>
        <v>0</v>
      </c>
      <c r="E47" s="257">
        <f>Domestic!G47+Europe!G47+'Asia-Pacific'!G47+'Rest of world'!G47+'North America'!G47+'Latin America'!G47</f>
        <v>0</v>
      </c>
      <c r="F47" s="23">
        <f>Domestic!H47+Europe!H47+'Asia-Pacific'!H47+'Rest of world'!H47+'North America'!H47+'Latin America'!H47</f>
        <v>220</v>
      </c>
      <c r="G47" s="23">
        <f>Domestic!I47+Europe!I47+'Asia-Pacific'!I47+'Rest of world'!I47+'North America'!I47+'Latin America'!I47</f>
        <v>126</v>
      </c>
      <c r="H47" s="257">
        <f>Domestic!K47+Europe!K47+'Asia-Pacific'!K47+'Rest of world'!K47+'North America'!K47+'Latin America'!K47</f>
        <v>0.61336396999999998</v>
      </c>
      <c r="I47" s="23">
        <f>Domestic!L47+Europe!L47+'Asia-Pacific'!L47+'Rest of world'!L47+'North America'!L47+'Latin America'!L47</f>
        <v>20</v>
      </c>
      <c r="J47" s="23">
        <f>Domestic!M47+Europe!M47+'Asia-Pacific'!M47+'Rest of world'!M47+'North America'!M47+'Latin America'!M47</f>
        <v>108</v>
      </c>
      <c r="K47" s="257">
        <f>Domestic!O47+Europe!O47+'Asia-Pacific'!O47+'Rest of world'!O47+'North America'!O47+'Latin America'!O47</f>
        <v>3.3788016000000004E-2</v>
      </c>
      <c r="L47" s="23">
        <f>Domestic!P47+Europe!P47+'Asia-Pacific'!P47+'Rest of world'!P47+'North America'!P47+'Latin America'!P47</f>
        <v>0</v>
      </c>
      <c r="M47" s="23">
        <f>Domestic!Q47+Europe!Q47+'Asia-Pacific'!Q47+'Rest of world'!Q47+'North America'!Q47+'Latin America'!Q47</f>
        <v>0</v>
      </c>
      <c r="N47" s="509">
        <f>Domestic!S47+Europe!S47+'Asia-Pacific'!S47+'Rest of world'!S47+'North America'!S47+'Latin America'!S47</f>
        <v>0</v>
      </c>
      <c r="O47" s="23">
        <f>Domestic!T47+Europe!T47+'Asia-Pacific'!T47+'Rest of world'!T47+'North America'!T47+'Latin America'!T47</f>
        <v>20</v>
      </c>
      <c r="P47" s="23">
        <f>Domestic!U47+Europe!U47+'Asia-Pacific'!U47+'Rest of world'!U47+'North America'!U47+'Latin America'!U47</f>
        <v>254</v>
      </c>
      <c r="Q47" s="510">
        <f>Domestic!W47+'North America'!W47+Europe!W47+'Asia-Pacific'!W47+'Rest of world'!W47+'Latin America'!W47</f>
        <v>0.77691005400000013</v>
      </c>
      <c r="R47" s="23">
        <f>Domestic!X47+Europe!X47+'Asia-Pacific'!X47+'Rest of world'!X47+'North America'!X47+'Latin America'!X47</f>
        <v>0</v>
      </c>
      <c r="S47" s="23">
        <f>Domestic!Y47+Europe!Y47+'Asia-Pacific'!Y47+'Rest of world'!Y47+'North America'!Y47+'Latin America'!Y47</f>
        <v>79</v>
      </c>
      <c r="T47" s="510">
        <f>Domestic!AA47+Europe!AA47+'Asia-Pacific'!AA47+'Rest of world'!AA47+'North America'!AA47+'Latin America'!AA47</f>
        <v>0.53756808300000003</v>
      </c>
      <c r="U47" s="23">
        <f>Domestic!AB47+Europe!AB47+'Asia-Pacific'!AB47+'Rest of world'!AB47+'North America'!AB47+'Latin America'!AB47</f>
        <v>220</v>
      </c>
      <c r="V47" s="23">
        <f>Domestic!AC47+Europe!AC47+'Asia-Pacific'!AC47+'Rest of world'!AC47+'North America'!AC47+'Latin America'!AC47</f>
        <v>32</v>
      </c>
      <c r="W47" s="510">
        <f>Domestic!AE47+Europe!AE47+'Asia-Pacific'!AE47+'Rest of world'!AE47+'North America'!AE47+'Latin America'!AE47</f>
        <v>-2.1567136000000001E-2</v>
      </c>
      <c r="X47" s="23">
        <f>Domestic!AF47+Europe!AF47+'Asia-Pacific'!AF47+'Rest of world'!AF47+'North America'!AF47+'Latin America'!AF47</f>
        <v>200</v>
      </c>
      <c r="Y47" s="23">
        <f>Domestic!AG47+Europe!AG47+'Asia-Pacific'!AG47+'Rest of world'!AG47+'North America'!AG47+'Latin America'!AG47</f>
        <v>0</v>
      </c>
      <c r="Z47" s="510">
        <f>Domestic!AI47+Europe!AI47+'Asia-Pacific'!AI47+'Rest of world'!AI47+'North America'!AI47+'Latin America'!AI47</f>
        <v>0</v>
      </c>
      <c r="AA47" s="23">
        <f>Domestic!AJ47+Europe!AJ47+'Asia-Pacific'!AJ47+'Rest of world'!AJ47+'North America'!AJ47+'Latin America'!AJ47</f>
        <v>200</v>
      </c>
      <c r="AB47" s="23">
        <f>Domestic!AK47+Europe!AK47+'Asia-Pacific'!AK47+'Rest of world'!AK47+'North America'!AK47+'Latin America'!AK47</f>
        <v>0</v>
      </c>
      <c r="AC47" s="510">
        <f>Domestic!AM47+Europe!AM47+'Asia-Pacific'!AM47+'Rest of world'!AM47+'North America'!AM47+'Latin America'!AM47</f>
        <v>0</v>
      </c>
      <c r="AD47" s="23">
        <f>Domestic!AN47+Europe!AN47+'Asia-Pacific'!AN47+'Rest of world'!AN47+'North America'!AN47+'Latin America'!AN47</f>
        <v>70</v>
      </c>
      <c r="AE47" s="23">
        <f>Domestic!AO47+Europe!AO47+'Asia-Pacific'!AO47+'Rest of world'!AO47+'North America'!AO47+'Latin America'!AO47</f>
        <v>0</v>
      </c>
      <c r="AF47" s="510">
        <f>Domestic!AQ47+Europe!AQ47+'Asia-Pacific'!AQ47+'Rest of world'!AQ47+'North America'!AQ47+'Latin America'!AQ47</f>
        <v>0</v>
      </c>
      <c r="AG47" s="23">
        <f>Domestic!AR47+Europe!AR47+'Asia-Pacific'!AR47+'Rest of world'!AR47+'North America'!AR47+'Latin America'!AR47</f>
        <v>50</v>
      </c>
      <c r="AH47" s="23">
        <f>Domestic!AS47+Europe!AS47+'Asia-Pacific'!AS47+'Rest of world'!AS47+'North America'!AS47+'Latin America'!AS47</f>
        <v>0</v>
      </c>
      <c r="AI47" s="510">
        <f>Domestic!AU47+Europe!AU47+'Asia-Pacific'!AU47+'Rest of world'!AU47+'North America'!AU47+'Latin America'!AU47</f>
        <v>0</v>
      </c>
      <c r="AJ47" s="23">
        <f>Domestic!AV47+Europe!AV47+'Asia-Pacific'!AV47+'Rest of world'!AV47+'North America'!AV47+'Latin America'!AV47</f>
        <v>70</v>
      </c>
      <c r="AK47" s="23">
        <f>Domestic!AQ47+Europe!AQ47+'Asia-Pacific'!AQ47+'Rest of world'!AQ47+'North America'!AQ47+'Latin America'!AQ47</f>
        <v>0</v>
      </c>
      <c r="AL47" s="510">
        <f>Domestic!AY47+Europe!AY47+'Asia-Pacific'!AY47+'Rest of world'!AY47+'North America'!AY47+'Latin America'!AY47</f>
        <v>0</v>
      </c>
      <c r="AM47" s="257">
        <f t="shared" si="41"/>
        <v>490</v>
      </c>
      <c r="AN47" s="257">
        <f t="shared" si="42"/>
        <v>234</v>
      </c>
      <c r="AO47" s="257">
        <f t="shared" si="43"/>
        <v>0.64715198600000001</v>
      </c>
      <c r="AP47" s="257">
        <f t="shared" si="44"/>
        <v>20</v>
      </c>
      <c r="AQ47" s="257">
        <f t="shared" si="45"/>
        <v>333</v>
      </c>
      <c r="AR47" s="257">
        <f t="shared" si="46"/>
        <v>1.314478137</v>
      </c>
      <c r="AS47" s="257">
        <f t="shared" si="47"/>
        <v>620</v>
      </c>
      <c r="AT47" s="257">
        <f t="shared" si="48"/>
        <v>32</v>
      </c>
      <c r="AU47" s="257">
        <f t="shared" si="49"/>
        <v>-2.1567136000000001E-2</v>
      </c>
      <c r="AV47" s="257">
        <f t="shared" si="50"/>
        <v>190</v>
      </c>
      <c r="AW47" s="257">
        <f t="shared" si="51"/>
        <v>0</v>
      </c>
      <c r="AX47" s="257">
        <f t="shared" si="52"/>
        <v>0</v>
      </c>
      <c r="AY47" s="257">
        <f t="shared" si="53"/>
        <v>1320</v>
      </c>
      <c r="AZ47" s="257">
        <f t="shared" si="54"/>
        <v>599</v>
      </c>
      <c r="BA47" s="257">
        <f t="shared" si="55"/>
        <v>1.9400629869999999</v>
      </c>
      <c r="BB47" s="257">
        <f t="shared" si="56"/>
        <v>0.4537878787878788</v>
      </c>
      <c r="BD47" s="23">
        <f t="shared" si="57"/>
        <v>510</v>
      </c>
      <c r="BE47" s="23">
        <f t="shared" si="58"/>
        <v>567</v>
      </c>
      <c r="BF47" s="466">
        <f t="shared" si="59"/>
        <v>1.111764705882353</v>
      </c>
      <c r="BG47" s="509">
        <f t="shared" si="60"/>
        <v>1.9616301230000002</v>
      </c>
      <c r="BH47" s="466">
        <f t="shared" si="61"/>
        <v>0.42954545454545456</v>
      </c>
    </row>
    <row r="48" spans="1:60" ht="12.6" customHeight="1">
      <c r="A48" s="254" t="s">
        <v>52</v>
      </c>
      <c r="B48" s="510">
        <f t="shared" si="40"/>
        <v>0</v>
      </c>
      <c r="C48" s="23">
        <f>Domestic!D48+Europe!D48+'Asia-Pacific'!D48+'Rest of world'!D48+'North America'!D48+'Latin America'!D48</f>
        <v>0</v>
      </c>
      <c r="D48" s="23">
        <f>Domestic!E48+Europe!E48+'Asia-Pacific'!E48+'Rest of world'!E48+'North America'!E48+'Latin America'!E48</f>
        <v>0</v>
      </c>
      <c r="E48" s="257">
        <f>Domestic!G48+Europe!G48+'Asia-Pacific'!G48+'Rest of world'!G48+'North America'!G48+'Latin America'!G48</f>
        <v>0</v>
      </c>
      <c r="F48" s="23">
        <f>Domestic!H48+Europe!H48+'Asia-Pacific'!H48+'Rest of world'!H48+'North America'!H48+'Latin America'!H48</f>
        <v>0</v>
      </c>
      <c r="G48" s="23">
        <f>Domestic!I48+Europe!I48+'Asia-Pacific'!I48+'Rest of world'!I48+'North America'!I48+'Latin America'!I48</f>
        <v>0</v>
      </c>
      <c r="H48" s="257">
        <f>Domestic!K48+Europe!K48+'Asia-Pacific'!K48+'Rest of world'!K48+'North America'!K48+'Latin America'!K48</f>
        <v>0</v>
      </c>
      <c r="I48" s="23">
        <f>Domestic!L48+Europe!L48+'Asia-Pacific'!L48+'Rest of world'!L48+'North America'!L48+'Latin America'!L48</f>
        <v>0</v>
      </c>
      <c r="J48" s="23">
        <f>Domestic!M48+Europe!M48+'Asia-Pacific'!M48+'Rest of world'!M48+'North America'!M48+'Latin America'!M48</f>
        <v>0</v>
      </c>
      <c r="K48" s="257">
        <f>Domestic!O48+Europe!O48+'Asia-Pacific'!O48+'Rest of world'!O48+'North America'!O48+'Latin America'!O48</f>
        <v>0</v>
      </c>
      <c r="L48" s="23">
        <f>Domestic!P48+Europe!P48+'Asia-Pacific'!P48+'Rest of world'!P48+'North America'!P48+'Latin America'!P48</f>
        <v>0</v>
      </c>
      <c r="M48" s="23">
        <f>Domestic!Q48+Europe!Q48+'Asia-Pacific'!Q48+'Rest of world'!Q48+'North America'!Q48+'Latin America'!Q48</f>
        <v>0</v>
      </c>
      <c r="N48" s="509">
        <f>Domestic!S48+Europe!S48+'Asia-Pacific'!S48+'Rest of world'!S48+'North America'!S48+'Latin America'!S48</f>
        <v>0</v>
      </c>
      <c r="O48" s="23">
        <f>Domestic!T48+Europe!T48+'Asia-Pacific'!T48+'Rest of world'!T48+'North America'!T48+'Latin America'!T48</f>
        <v>0</v>
      </c>
      <c r="P48" s="23">
        <f>Domestic!U48+Europe!U48+'Asia-Pacific'!U48+'Rest of world'!U48+'North America'!U48+'Latin America'!U48</f>
        <v>0</v>
      </c>
      <c r="Q48" s="510">
        <f>Domestic!W48+'North America'!W48+Europe!W48+'Asia-Pacific'!W48+'Rest of world'!W48+'Latin America'!W48</f>
        <v>0</v>
      </c>
      <c r="R48" s="23">
        <f>Domestic!X48+Europe!X48+'Asia-Pacific'!X48+'Rest of world'!X48+'North America'!X48+'Latin America'!X48</f>
        <v>0</v>
      </c>
      <c r="S48" s="23">
        <f>Domestic!Y48+Europe!Y48+'Asia-Pacific'!Y48+'Rest of world'!Y48+'North America'!Y48+'Latin America'!Y48</f>
        <v>0</v>
      </c>
      <c r="T48" s="510">
        <f>Domestic!AA48+Europe!AA48+'Asia-Pacific'!AA48+'Rest of world'!AA48+'North America'!AA48+'Latin America'!AA48</f>
        <v>0</v>
      </c>
      <c r="U48" s="23">
        <f>Domestic!AB48+Europe!AB48+'Asia-Pacific'!AB48+'Rest of world'!AB48+'North America'!AB48+'Latin America'!AB48</f>
        <v>0</v>
      </c>
      <c r="V48" s="23">
        <f>Domestic!AC48+Europe!AC48+'Asia-Pacific'!AC48+'Rest of world'!AC48+'North America'!AC48+'Latin America'!AC48</f>
        <v>0</v>
      </c>
      <c r="W48" s="510">
        <f>Domestic!AE48+Europe!AE48+'Asia-Pacific'!AE48+'Rest of world'!AE48+'North America'!AE48+'Latin America'!AE48</f>
        <v>0</v>
      </c>
      <c r="X48" s="23">
        <f>Domestic!AF48+Europe!AF48+'Asia-Pacific'!AF48+'Rest of world'!AF48+'North America'!AF48+'Latin America'!AF48</f>
        <v>0</v>
      </c>
      <c r="Y48" s="23">
        <f>Domestic!AG48+Europe!AG48+'Asia-Pacific'!AG48+'Rest of world'!AG48+'North America'!AG48+'Latin America'!AG48</f>
        <v>0</v>
      </c>
      <c r="Z48" s="510">
        <f>Domestic!AI48+Europe!AI48+'Asia-Pacific'!AI48+'Rest of world'!AI48+'North America'!AI48+'Latin America'!AI48</f>
        <v>0</v>
      </c>
      <c r="AA48" s="23">
        <f>Domestic!AJ48+Europe!AJ48+'Asia-Pacific'!AJ48+'Rest of world'!AJ48+'North America'!AJ48+'Latin America'!AJ48</f>
        <v>0</v>
      </c>
      <c r="AB48" s="23">
        <f>Domestic!AK48+Europe!AK48+'Asia-Pacific'!AK48+'Rest of world'!AK48+'North America'!AK48+'Latin America'!AK48</f>
        <v>0</v>
      </c>
      <c r="AC48" s="510">
        <f>Domestic!AM48+Europe!AM48+'Asia-Pacific'!AM48+'Rest of world'!AM48+'North America'!AM48+'Latin America'!AM48</f>
        <v>0</v>
      </c>
      <c r="AD48" s="23">
        <f>Domestic!AN48+Europe!AN48+'Asia-Pacific'!AN48+'Rest of world'!AN48+'North America'!AN48+'Latin America'!AN48</f>
        <v>0</v>
      </c>
      <c r="AE48" s="23">
        <f>Domestic!AO48+Europe!AO48+'Asia-Pacific'!AO48+'Rest of world'!AO48+'North America'!AO48+'Latin America'!AO48</f>
        <v>0</v>
      </c>
      <c r="AF48" s="510">
        <f>Domestic!AQ48+Europe!AQ48+'Asia-Pacific'!AQ48+'Rest of world'!AQ48+'North America'!AQ48+'Latin America'!AQ48</f>
        <v>0</v>
      </c>
      <c r="AG48" s="23">
        <f>Domestic!AR48+Europe!AR48+'Asia-Pacific'!AR48+'Rest of world'!AR48+'North America'!AR48+'Latin America'!AR48</f>
        <v>0</v>
      </c>
      <c r="AH48" s="23">
        <f>Domestic!AS48+Europe!AS48+'Asia-Pacific'!AS48+'Rest of world'!AS48+'North America'!AS48+'Latin America'!AS48</f>
        <v>0</v>
      </c>
      <c r="AI48" s="510">
        <f>Domestic!AU48+Europe!AU48+'Asia-Pacific'!AU48+'Rest of world'!AU48+'North America'!AU48+'Latin America'!AU48</f>
        <v>0</v>
      </c>
      <c r="AJ48" s="23">
        <f>Domestic!AV48+Europe!AV48+'Asia-Pacific'!AV48+'Rest of world'!AV48+'North America'!AV48+'Latin America'!AV48</f>
        <v>0</v>
      </c>
      <c r="AK48" s="23">
        <f>Domestic!AQ48+Europe!AQ48+'Asia-Pacific'!AQ48+'Rest of world'!AQ48+'North America'!AQ48+'Latin America'!AQ48</f>
        <v>0</v>
      </c>
      <c r="AL48" s="510">
        <f>Domestic!AY48+Europe!AY48+'Asia-Pacific'!AY48+'Rest of world'!AY48+'North America'!AY48+'Latin America'!AY48</f>
        <v>0</v>
      </c>
      <c r="AM48" s="257">
        <f t="shared" si="41"/>
        <v>0</v>
      </c>
      <c r="AN48" s="257">
        <f t="shared" si="42"/>
        <v>0</v>
      </c>
      <c r="AO48" s="257">
        <f t="shared" si="43"/>
        <v>0</v>
      </c>
      <c r="AP48" s="257">
        <f t="shared" si="44"/>
        <v>0</v>
      </c>
      <c r="AQ48" s="257">
        <f t="shared" si="45"/>
        <v>0</v>
      </c>
      <c r="AR48" s="257">
        <f t="shared" si="46"/>
        <v>0</v>
      </c>
      <c r="AS48" s="257">
        <f t="shared" si="47"/>
        <v>0</v>
      </c>
      <c r="AT48" s="257">
        <f t="shared" si="48"/>
        <v>0</v>
      </c>
      <c r="AU48" s="257">
        <f t="shared" si="49"/>
        <v>0</v>
      </c>
      <c r="AV48" s="257">
        <f t="shared" si="50"/>
        <v>0</v>
      </c>
      <c r="AW48" s="257">
        <f t="shared" si="51"/>
        <v>0</v>
      </c>
      <c r="AX48" s="257">
        <f t="shared" si="52"/>
        <v>0</v>
      </c>
      <c r="AY48" s="257">
        <f t="shared" si="53"/>
        <v>0</v>
      </c>
      <c r="AZ48" s="257">
        <f t="shared" si="54"/>
        <v>0</v>
      </c>
      <c r="BA48" s="257">
        <f t="shared" si="55"/>
        <v>0</v>
      </c>
      <c r="BB48" s="257">
        <f t="shared" si="56"/>
        <v>0</v>
      </c>
      <c r="BD48" s="23">
        <f t="shared" si="57"/>
        <v>0</v>
      </c>
      <c r="BE48" s="23">
        <f t="shared" si="58"/>
        <v>0</v>
      </c>
      <c r="BF48" s="466">
        <f t="shared" si="59"/>
        <v>0</v>
      </c>
      <c r="BG48" s="509">
        <f t="shared" si="60"/>
        <v>0</v>
      </c>
      <c r="BH48" s="466">
        <f t="shared" si="61"/>
        <v>0</v>
      </c>
    </row>
    <row r="49" spans="1:60" ht="12.6" customHeight="1">
      <c r="A49" s="254" t="s">
        <v>42</v>
      </c>
      <c r="B49" s="510">
        <f t="shared" si="40"/>
        <v>0</v>
      </c>
      <c r="C49" s="23">
        <f>Domestic!D49+Europe!D49+'Asia-Pacific'!D49+'Rest of world'!D49+'North America'!D49+'Latin America'!D49</f>
        <v>0</v>
      </c>
      <c r="D49" s="23">
        <f>Domestic!E49+Europe!E49+'Asia-Pacific'!E49+'Rest of world'!E49+'North America'!E49+'Latin America'!E49</f>
        <v>0</v>
      </c>
      <c r="E49" s="257">
        <f>Domestic!G49+Europe!G49+'Asia-Pacific'!G49+'Rest of world'!G49+'North America'!G49+'Latin America'!G49</f>
        <v>0</v>
      </c>
      <c r="F49" s="23">
        <f>Domestic!H49+Europe!H49+'Asia-Pacific'!H49+'Rest of world'!H49+'North America'!H49+'Latin America'!H49</f>
        <v>0</v>
      </c>
      <c r="G49" s="23">
        <f>Domestic!I49+Europe!I49+'Asia-Pacific'!I49+'Rest of world'!I49+'North America'!I49+'Latin America'!I49</f>
        <v>0</v>
      </c>
      <c r="H49" s="257">
        <f>Domestic!K49+Europe!K49+'Asia-Pacific'!K49+'Rest of world'!K49+'North America'!K49+'Latin America'!K49</f>
        <v>0</v>
      </c>
      <c r="I49" s="23">
        <f>Domestic!L49+Europe!L49+'Asia-Pacific'!L49+'Rest of world'!L49+'North America'!L49+'Latin America'!L49</f>
        <v>0</v>
      </c>
      <c r="J49" s="23">
        <f>Domestic!M49+Europe!M49+'Asia-Pacific'!M49+'Rest of world'!M49+'North America'!M49+'Latin America'!M49</f>
        <v>0</v>
      </c>
      <c r="K49" s="257">
        <f>Domestic!O49+Europe!O49+'Asia-Pacific'!O49+'Rest of world'!O49+'North America'!O49+'Latin America'!O49</f>
        <v>0</v>
      </c>
      <c r="L49" s="23">
        <f>Domestic!P49+Europe!P49+'Asia-Pacific'!P49+'Rest of world'!P49+'North America'!P49+'Latin America'!P49</f>
        <v>0</v>
      </c>
      <c r="M49" s="23">
        <f>Domestic!Q49+Europe!Q49+'Asia-Pacific'!Q49+'Rest of world'!Q49+'North America'!Q49+'Latin America'!Q49</f>
        <v>0</v>
      </c>
      <c r="N49" s="509">
        <f>Domestic!S49+Europe!S49+'Asia-Pacific'!S49+'Rest of world'!S49+'North America'!S49+'Latin America'!S49</f>
        <v>0</v>
      </c>
      <c r="O49" s="23">
        <f>Domestic!T49+Europe!T49+'Asia-Pacific'!T49+'Rest of world'!T49+'North America'!T49+'Latin America'!T49</f>
        <v>0</v>
      </c>
      <c r="P49" s="23">
        <f>Domestic!U49+Europe!U49+'Asia-Pacific'!U49+'Rest of world'!U49+'North America'!U49+'Latin America'!U49</f>
        <v>0</v>
      </c>
      <c r="Q49" s="510">
        <f>Domestic!W49+'North America'!W49+Europe!W49+'Asia-Pacific'!W49+'Rest of world'!W49+'Latin America'!W49</f>
        <v>0</v>
      </c>
      <c r="R49" s="23">
        <f>Domestic!X49+Europe!X49+'Asia-Pacific'!X49+'Rest of world'!X49+'North America'!X49+'Latin America'!X49</f>
        <v>0</v>
      </c>
      <c r="S49" s="23">
        <f>Domestic!Y49+Europe!Y49+'Asia-Pacific'!Y49+'Rest of world'!Y49+'North America'!Y49+'Latin America'!Y49</f>
        <v>0</v>
      </c>
      <c r="T49" s="510">
        <f>Domestic!AA49+Europe!AA49+'Asia-Pacific'!AA49+'Rest of world'!AA49+'North America'!AA49+'Latin America'!AA49</f>
        <v>0</v>
      </c>
      <c r="U49" s="23">
        <f>Domestic!AB49+Europe!AB49+'Asia-Pacific'!AB49+'Rest of world'!AB49+'North America'!AB49+'Latin America'!AB49</f>
        <v>0</v>
      </c>
      <c r="V49" s="23">
        <f>Domestic!AC49+Europe!AC49+'Asia-Pacific'!AC49+'Rest of world'!AC49+'North America'!AC49+'Latin America'!AC49</f>
        <v>0</v>
      </c>
      <c r="W49" s="510">
        <f>Domestic!AE49+Europe!AE49+'Asia-Pacific'!AE49+'Rest of world'!AE49+'North America'!AE49+'Latin America'!AE49</f>
        <v>0</v>
      </c>
      <c r="X49" s="23">
        <f>Domestic!AF49+Europe!AF49+'Asia-Pacific'!AF49+'Rest of world'!AF49+'North America'!AF49+'Latin America'!AF49</f>
        <v>0</v>
      </c>
      <c r="Y49" s="23">
        <f>Domestic!AG49+Europe!AG49+'Asia-Pacific'!AG49+'Rest of world'!AG49+'North America'!AG49+'Latin America'!AG49</f>
        <v>0</v>
      </c>
      <c r="Z49" s="510">
        <f>Domestic!AI49+Europe!AI49+'Asia-Pacific'!AI49+'Rest of world'!AI49+'North America'!AI49+'Latin America'!AI49</f>
        <v>0</v>
      </c>
      <c r="AA49" s="23">
        <f>Domestic!AJ49+Europe!AJ49+'Asia-Pacific'!AJ49+'Rest of world'!AJ49+'North America'!AJ49+'Latin America'!AJ49</f>
        <v>0</v>
      </c>
      <c r="AB49" s="23">
        <f>Domestic!AK49+Europe!AK49+'Asia-Pacific'!AK49+'Rest of world'!AK49+'North America'!AK49+'Latin America'!AK49</f>
        <v>0</v>
      </c>
      <c r="AC49" s="510">
        <f>Domestic!AM49+Europe!AM49+'Asia-Pacific'!AM49+'Rest of world'!AM49+'North America'!AM49+'Latin America'!AM49</f>
        <v>0</v>
      </c>
      <c r="AD49" s="23">
        <f>Domestic!AN49+Europe!AN49+'Asia-Pacific'!AN49+'Rest of world'!AN49+'North America'!AN49+'Latin America'!AN49</f>
        <v>0</v>
      </c>
      <c r="AE49" s="23">
        <f>Domestic!AO49+Europe!AO49+'Asia-Pacific'!AO49+'Rest of world'!AO49+'North America'!AO49+'Latin America'!AO49</f>
        <v>0</v>
      </c>
      <c r="AF49" s="510">
        <f>Domestic!AQ49+Europe!AQ49+'Asia-Pacific'!AQ49+'Rest of world'!AQ49+'North America'!AQ49+'Latin America'!AQ49</f>
        <v>0</v>
      </c>
      <c r="AG49" s="23">
        <f>Domestic!AR49+Europe!AR49+'Asia-Pacific'!AR49+'Rest of world'!AR49+'North America'!AR49+'Latin America'!AR49</f>
        <v>0</v>
      </c>
      <c r="AH49" s="23">
        <f>Domestic!AS49+Europe!AS49+'Asia-Pacific'!AS49+'Rest of world'!AS49+'North America'!AS49+'Latin America'!AS49</f>
        <v>0</v>
      </c>
      <c r="AI49" s="510">
        <f>Domestic!AU49+Europe!AU49+'Asia-Pacific'!AU49+'Rest of world'!AU49+'North America'!AU49+'Latin America'!AU49</f>
        <v>0</v>
      </c>
      <c r="AJ49" s="23">
        <f>Domestic!AV49+Europe!AV49+'Asia-Pacific'!AV49+'Rest of world'!AV49+'North America'!AV49+'Latin America'!AV49</f>
        <v>0</v>
      </c>
      <c r="AK49" s="23">
        <f>Domestic!AQ49+Europe!AQ49+'Asia-Pacific'!AQ49+'Rest of world'!AQ49+'North America'!AQ49+'Latin America'!AQ49</f>
        <v>0</v>
      </c>
      <c r="AL49" s="510">
        <f>Domestic!AY49+Europe!AY49+'Asia-Pacific'!AY49+'Rest of world'!AY49+'North America'!AY49+'Latin America'!AY49</f>
        <v>0</v>
      </c>
      <c r="AM49" s="257">
        <f t="shared" si="41"/>
        <v>0</v>
      </c>
      <c r="AN49" s="257">
        <f t="shared" si="42"/>
        <v>0</v>
      </c>
      <c r="AO49" s="257">
        <f t="shared" si="43"/>
        <v>0</v>
      </c>
      <c r="AP49" s="257">
        <f t="shared" si="44"/>
        <v>0</v>
      </c>
      <c r="AQ49" s="257">
        <f t="shared" si="45"/>
        <v>0</v>
      </c>
      <c r="AR49" s="257">
        <f t="shared" si="46"/>
        <v>0</v>
      </c>
      <c r="AS49" s="257">
        <f t="shared" si="47"/>
        <v>0</v>
      </c>
      <c r="AT49" s="257">
        <f t="shared" si="48"/>
        <v>0</v>
      </c>
      <c r="AU49" s="257">
        <f t="shared" si="49"/>
        <v>0</v>
      </c>
      <c r="AV49" s="257">
        <f t="shared" si="50"/>
        <v>0</v>
      </c>
      <c r="AW49" s="257">
        <f t="shared" si="51"/>
        <v>0</v>
      </c>
      <c r="AX49" s="257">
        <f t="shared" si="52"/>
        <v>0</v>
      </c>
      <c r="AY49" s="257">
        <f t="shared" si="53"/>
        <v>0</v>
      </c>
      <c r="AZ49" s="257">
        <f t="shared" si="54"/>
        <v>0</v>
      </c>
      <c r="BA49" s="257">
        <f t="shared" si="55"/>
        <v>0</v>
      </c>
      <c r="BB49" s="257">
        <f t="shared" si="56"/>
        <v>0</v>
      </c>
      <c r="BD49" s="23">
        <f t="shared" si="57"/>
        <v>0</v>
      </c>
      <c r="BE49" s="23">
        <f t="shared" si="58"/>
        <v>0</v>
      </c>
      <c r="BF49" s="466">
        <f t="shared" si="59"/>
        <v>0</v>
      </c>
      <c r="BG49" s="509">
        <f t="shared" si="60"/>
        <v>0</v>
      </c>
      <c r="BH49" s="466">
        <f t="shared" si="61"/>
        <v>0</v>
      </c>
    </row>
    <row r="50" spans="1:60" ht="12.6" customHeight="1">
      <c r="A50" s="505" t="s">
        <v>127</v>
      </c>
      <c r="B50" s="510">
        <f t="shared" si="40"/>
        <v>0</v>
      </c>
      <c r="C50" s="23">
        <f>Domestic!D50+Europe!D50+'Asia-Pacific'!D50+'Rest of world'!D50+'North America'!D50+'Latin America'!D50</f>
        <v>0</v>
      </c>
      <c r="D50" s="23">
        <f>Domestic!E50+Europe!E50+'Asia-Pacific'!E50+'Rest of world'!E50+'North America'!E50+'Latin America'!E50</f>
        <v>29</v>
      </c>
      <c r="E50" s="257">
        <f>Domestic!G50+Europe!G50+'Asia-Pacific'!G50+'Rest of world'!G50+'North America'!G50+'Latin America'!G50</f>
        <v>0.19449786699999999</v>
      </c>
      <c r="F50" s="23">
        <f>Domestic!H50+Europe!H50+'Asia-Pacific'!H50+'Rest of world'!H50+'North America'!H50+'Latin America'!H50</f>
        <v>0</v>
      </c>
      <c r="G50" s="23">
        <f>Domestic!I50+Europe!I50+'Asia-Pacific'!I50+'Rest of world'!I50+'North America'!I50+'Latin America'!I50</f>
        <v>0</v>
      </c>
      <c r="H50" s="257">
        <f>Domestic!K50+Europe!K50+'Asia-Pacific'!K50+'Rest of world'!K50+'North America'!K50+'Latin America'!K50</f>
        <v>0</v>
      </c>
      <c r="I50" s="23">
        <f>Domestic!L50+Europe!L50+'Asia-Pacific'!L50+'Rest of world'!L50+'North America'!L50+'Latin America'!L50</f>
        <v>0</v>
      </c>
      <c r="J50" s="23">
        <f>Domestic!M50+Europe!M50+'Asia-Pacific'!M50+'Rest of world'!M50+'North America'!M50+'Latin America'!M50</f>
        <v>0</v>
      </c>
      <c r="K50" s="257">
        <f>Domestic!O50+Europe!O50+'Asia-Pacific'!O50+'Rest of world'!O50+'North America'!O50+'Latin America'!O50</f>
        <v>0</v>
      </c>
      <c r="L50" s="23">
        <f>Domestic!P50+Europe!P50+'Asia-Pacific'!P50+'Rest of world'!P50+'North America'!P50+'Latin America'!P50</f>
        <v>0</v>
      </c>
      <c r="M50" s="23">
        <f>Domestic!Q50+Europe!Q50+'Asia-Pacific'!Q50+'Rest of world'!Q50+'North America'!Q50+'Latin America'!Q50</f>
        <v>0</v>
      </c>
      <c r="N50" s="509">
        <f>Domestic!S50+Europe!S50+'Asia-Pacific'!S50+'Rest of world'!S50+'North America'!S50+'Latin America'!S50</f>
        <v>0</v>
      </c>
      <c r="O50" s="23">
        <f>Domestic!T50+Europe!T50+'Asia-Pacific'!T50+'Rest of world'!T50+'North America'!T50+'Latin America'!T50</f>
        <v>0</v>
      </c>
      <c r="P50" s="23">
        <f>Domestic!U50+Europe!U50+'Asia-Pacific'!U50+'Rest of world'!U50+'North America'!U50+'Latin America'!U50</f>
        <v>0</v>
      </c>
      <c r="Q50" s="510">
        <f>Domestic!W50+'North America'!W50+Europe!W50+'Asia-Pacific'!W50+'Rest of world'!W50+'Latin America'!W50</f>
        <v>0</v>
      </c>
      <c r="R50" s="23">
        <f>Domestic!X50+Europe!X50+'Asia-Pacific'!X50+'Rest of world'!X50+'North America'!X50+'Latin America'!X50</f>
        <v>0</v>
      </c>
      <c r="S50" s="23">
        <f>Domestic!Y50+Europe!Y50+'Asia-Pacific'!Y50+'Rest of world'!Y50+'North America'!Y50+'Latin America'!Y50</f>
        <v>0</v>
      </c>
      <c r="T50" s="510">
        <f>Domestic!AA50+Europe!AA50+'Asia-Pacific'!AA50+'Rest of world'!AA50+'North America'!AA50+'Latin America'!AA50</f>
        <v>0</v>
      </c>
      <c r="U50" s="23">
        <f>Domestic!AB50+Europe!AB50+'Asia-Pacific'!AB50+'Rest of world'!AB50+'North America'!AB50+'Latin America'!AB50</f>
        <v>0</v>
      </c>
      <c r="V50" s="23">
        <f>Domestic!AC50+Europe!AC50+'Asia-Pacific'!AC50+'Rest of world'!AC50+'North America'!AC50+'Latin America'!AC50</f>
        <v>0</v>
      </c>
      <c r="W50" s="510">
        <f>Domestic!AE50+Europe!AE50+'Asia-Pacific'!AE50+'Rest of world'!AE50+'North America'!AE50+'Latin America'!AE50</f>
        <v>0</v>
      </c>
      <c r="X50" s="23">
        <f>Domestic!AF50+Europe!AF50+'Asia-Pacific'!AF50+'Rest of world'!AF50+'North America'!AF50+'Latin America'!AF50</f>
        <v>0</v>
      </c>
      <c r="Y50" s="23">
        <f>Domestic!AG50+Europe!AG50+'Asia-Pacific'!AG50+'Rest of world'!AG50+'North America'!AG50+'Latin America'!AG50</f>
        <v>0</v>
      </c>
      <c r="Z50" s="510">
        <f>Domestic!AI50+Europe!AI50+'Asia-Pacific'!AI50+'Rest of world'!AI50+'North America'!AI50+'Latin America'!AI50</f>
        <v>0</v>
      </c>
      <c r="AA50" s="23">
        <f>Domestic!AJ50+Europe!AJ50+'Asia-Pacific'!AJ50+'Rest of world'!AJ50+'North America'!AJ50+'Latin America'!AJ50</f>
        <v>0</v>
      </c>
      <c r="AB50" s="23">
        <f>Domestic!AK50+Europe!AK50+'Asia-Pacific'!AK50+'Rest of world'!AK50+'North America'!AK50+'Latin America'!AK50</f>
        <v>0</v>
      </c>
      <c r="AC50" s="510">
        <f>Domestic!AM50+Europe!AM50+'Asia-Pacific'!AM50+'Rest of world'!AM50+'North America'!AM50+'Latin America'!AM50</f>
        <v>0</v>
      </c>
      <c r="AD50" s="23">
        <f>Domestic!AN50+Europe!AN50+'Asia-Pacific'!AN50+'Rest of world'!AN50+'North America'!AN50+'Latin America'!AN50</f>
        <v>0</v>
      </c>
      <c r="AE50" s="23">
        <f>Domestic!AO50+Europe!AO50+'Asia-Pacific'!AO50+'Rest of world'!AO50+'North America'!AO50+'Latin America'!AO50</f>
        <v>0</v>
      </c>
      <c r="AF50" s="510">
        <f>Domestic!AQ50+Europe!AQ50+'Asia-Pacific'!AQ50+'Rest of world'!AQ50+'North America'!AQ50+'Latin America'!AQ50</f>
        <v>0</v>
      </c>
      <c r="AG50" s="23">
        <f>Domestic!AR50+Europe!AR50+'Asia-Pacific'!AR50+'Rest of world'!AR50+'North America'!AR50+'Latin America'!AR50</f>
        <v>0</v>
      </c>
      <c r="AH50" s="23">
        <f>Domestic!AS50+Europe!AS50+'Asia-Pacific'!AS50+'Rest of world'!AS50+'North America'!AS50+'Latin America'!AS50</f>
        <v>0</v>
      </c>
      <c r="AI50" s="510">
        <f>Domestic!AU50+Europe!AU50+'Asia-Pacific'!AU50+'Rest of world'!AU50+'North America'!AU50+'Latin America'!AU50</f>
        <v>0</v>
      </c>
      <c r="AJ50" s="23">
        <f>Domestic!AV50+Europe!AV50+'Asia-Pacific'!AV50+'Rest of world'!AV50+'North America'!AV50+'Latin America'!AV50</f>
        <v>0</v>
      </c>
      <c r="AK50" s="23">
        <f>Domestic!AQ50+Europe!AQ50+'Asia-Pacific'!AQ50+'Rest of world'!AQ50+'North America'!AQ50+'Latin America'!AQ50</f>
        <v>0</v>
      </c>
      <c r="AL50" s="510">
        <f>Domestic!AY50+Europe!AY50+'Asia-Pacific'!AY50+'Rest of world'!AY50+'North America'!AY50+'Latin America'!AY50</f>
        <v>0</v>
      </c>
      <c r="AM50" s="257">
        <f t="shared" si="41"/>
        <v>0</v>
      </c>
      <c r="AN50" s="257">
        <f t="shared" si="42"/>
        <v>29</v>
      </c>
      <c r="AO50" s="257">
        <f t="shared" si="43"/>
        <v>0.19449786699999999</v>
      </c>
      <c r="AP50" s="257">
        <f t="shared" si="44"/>
        <v>0</v>
      </c>
      <c r="AQ50" s="257">
        <f t="shared" si="45"/>
        <v>0</v>
      </c>
      <c r="AR50" s="257">
        <f t="shared" si="46"/>
        <v>0</v>
      </c>
      <c r="AS50" s="257">
        <f t="shared" si="47"/>
        <v>0</v>
      </c>
      <c r="AT50" s="257">
        <f t="shared" si="48"/>
        <v>0</v>
      </c>
      <c r="AU50" s="257">
        <f t="shared" si="49"/>
        <v>0</v>
      </c>
      <c r="AV50" s="257">
        <f t="shared" si="50"/>
        <v>0</v>
      </c>
      <c r="AW50" s="257">
        <f t="shared" si="51"/>
        <v>0</v>
      </c>
      <c r="AX50" s="257">
        <f t="shared" si="52"/>
        <v>0</v>
      </c>
      <c r="AY50" s="257">
        <f t="shared" si="53"/>
        <v>0</v>
      </c>
      <c r="AZ50" s="257">
        <f t="shared" si="54"/>
        <v>29</v>
      </c>
      <c r="BA50" s="257">
        <f t="shared" si="55"/>
        <v>0.19449786699999999</v>
      </c>
      <c r="BB50" s="257">
        <f t="shared" si="56"/>
        <v>0</v>
      </c>
      <c r="BD50" s="23">
        <f t="shared" si="57"/>
        <v>0</v>
      </c>
      <c r="BE50" s="23">
        <f t="shared" si="58"/>
        <v>29</v>
      </c>
      <c r="BF50" s="466">
        <f t="shared" si="59"/>
        <v>0</v>
      </c>
      <c r="BG50" s="509">
        <f t="shared" si="60"/>
        <v>0.19449786699999999</v>
      </c>
      <c r="BH50" s="466">
        <f t="shared" si="61"/>
        <v>0</v>
      </c>
    </row>
    <row r="51" spans="1:60" ht="12.6" customHeight="1">
      <c r="A51" s="254" t="s">
        <v>126</v>
      </c>
      <c r="B51" s="510">
        <f t="shared" si="40"/>
        <v>1200</v>
      </c>
      <c r="C51" s="23">
        <f>Domestic!D51+Europe!D51+'Asia-Pacific'!D51+'Rest of world'!D51+'North America'!D51+'Latin America'!D51</f>
        <v>100</v>
      </c>
      <c r="D51" s="23">
        <f>Domestic!E51+Europe!E51+'Asia-Pacific'!E51+'Rest of world'!E51+'North America'!E51+'Latin America'!E51</f>
        <v>98</v>
      </c>
      <c r="E51" s="257">
        <f>Domestic!G51+Europe!G51+'Asia-Pacific'!G51+'Rest of world'!G51+'North America'!G51+'Latin America'!G51</f>
        <v>0.501349975</v>
      </c>
      <c r="F51" s="23">
        <f>Domestic!H51+Europe!H51+'Asia-Pacific'!H51+'Rest of world'!H51+'North America'!H51+'Latin America'!H51</f>
        <v>100</v>
      </c>
      <c r="G51" s="23">
        <f>Domestic!I51+Europe!I51+'Asia-Pacific'!I51+'Rest of world'!I51+'North America'!I51+'Latin America'!I51</f>
        <v>97</v>
      </c>
      <c r="H51" s="257">
        <f>Domestic!K51+Europe!K51+'Asia-Pacific'!K51+'Rest of world'!K51+'North America'!K51+'Latin America'!K51</f>
        <v>0.53618902014285719</v>
      </c>
      <c r="I51" s="23">
        <f>Domestic!L51+Europe!L51+'Asia-Pacific'!L51+'Rest of world'!L51+'North America'!L51+'Latin America'!L51</f>
        <v>100</v>
      </c>
      <c r="J51" s="23">
        <f>Domestic!M51+Europe!M51+'Asia-Pacific'!M51+'Rest of world'!M51+'North America'!M51+'Latin America'!M51</f>
        <v>157</v>
      </c>
      <c r="K51" s="257">
        <f>Domestic!O51+Europe!O51+'Asia-Pacific'!O51+'Rest of world'!O51+'North America'!O51+'Latin America'!O51</f>
        <v>0.92779004662857145</v>
      </c>
      <c r="L51" s="23">
        <f>Domestic!P51+Europe!P51+'Asia-Pacific'!P51+'Rest of world'!P51+'North America'!P51+'Latin America'!P51</f>
        <v>100</v>
      </c>
      <c r="M51" s="23">
        <f>Domestic!Q51+Europe!Q51+'Asia-Pacific'!Q51+'Rest of world'!Q51+'North America'!Q51+'Latin America'!Q51</f>
        <v>0</v>
      </c>
      <c r="N51" s="509">
        <f>Domestic!S51+Europe!S51+'Asia-Pacific'!S51+'Rest of world'!S51+'North America'!S51+'Latin America'!S51</f>
        <v>0</v>
      </c>
      <c r="O51" s="23">
        <f>Domestic!T51+Europe!T51+'Asia-Pacific'!T51+'Rest of world'!T51+'North America'!T51+'Latin America'!T51</f>
        <v>100</v>
      </c>
      <c r="P51" s="23">
        <f>Domestic!U51+Europe!U51+'Asia-Pacific'!U51+'Rest of world'!U51+'North America'!U51+'Latin America'!U51</f>
        <v>0</v>
      </c>
      <c r="Q51" s="510">
        <f>Domestic!W51+'North America'!W51+Europe!W51+'Asia-Pacific'!W51+'Rest of world'!W51+'Latin America'!W51</f>
        <v>0</v>
      </c>
      <c r="R51" s="23">
        <f>Domestic!X51+Europe!X51+'Asia-Pacific'!X51+'Rest of world'!X51+'North America'!X51+'Latin America'!X51</f>
        <v>100</v>
      </c>
      <c r="S51" s="23">
        <f>Domestic!Y51+Europe!Y51+'Asia-Pacific'!Y51+'Rest of world'!Y51+'North America'!Y51+'Latin America'!Y51</f>
        <v>0</v>
      </c>
      <c r="T51" s="510">
        <f>Domestic!AA51+Europe!AA51+'Asia-Pacific'!AA51+'Rest of world'!AA51+'North America'!AA51+'Latin America'!AA51</f>
        <v>0</v>
      </c>
      <c r="U51" s="23">
        <f>Domestic!AB51+Europe!AB51+'Asia-Pacific'!AB51+'Rest of world'!AB51+'North America'!AB51+'Latin America'!AB51</f>
        <v>100</v>
      </c>
      <c r="V51" s="23">
        <f>Domestic!AC51+Europe!AC51+'Asia-Pacific'!AC51+'Rest of world'!AC51+'North America'!AC51+'Latin America'!AC51</f>
        <v>58</v>
      </c>
      <c r="W51" s="510">
        <f>Domestic!AE51+Europe!AE51+'Asia-Pacific'!AE51+'Rest of world'!AE51+'North America'!AE51+'Latin America'!AE51</f>
        <v>0.4030953885137758</v>
      </c>
      <c r="X51" s="23">
        <f>Domestic!AF51+Europe!AF51+'Asia-Pacific'!AF51+'Rest of world'!AF51+'North America'!AF51+'Latin America'!AF51</f>
        <v>100</v>
      </c>
      <c r="Y51" s="23">
        <f>Domestic!AG51+Europe!AG51+'Asia-Pacific'!AG51+'Rest of world'!AG51+'North America'!AG51+'Latin America'!AG51</f>
        <v>58</v>
      </c>
      <c r="Z51" s="510">
        <f>Domestic!AI51+Europe!AI51+'Asia-Pacific'!AI51+'Rest of world'!AI51+'North America'!AI51+'Latin America'!AI51</f>
        <v>0.40390471720690868</v>
      </c>
      <c r="AA51" s="23">
        <f>Domestic!AJ51+Europe!AJ51+'Asia-Pacific'!AJ51+'Rest of world'!AJ51+'North America'!AJ51+'Latin America'!AJ51</f>
        <v>100</v>
      </c>
      <c r="AB51" s="23">
        <f>Domestic!AK51+Europe!AK51+'Asia-Pacific'!AK51+'Rest of world'!AK51+'North America'!AK51+'Latin America'!AK51</f>
        <v>0</v>
      </c>
      <c r="AC51" s="510">
        <f>Domestic!AM51+Europe!AM51+'Asia-Pacific'!AM51+'Rest of world'!AM51+'North America'!AM51+'Latin America'!AM51</f>
        <v>0</v>
      </c>
      <c r="AD51" s="23">
        <f>Domestic!AN51+Europe!AN51+'Asia-Pacific'!AN51+'Rest of world'!AN51+'North America'!AN51+'Latin America'!AN51</f>
        <v>100</v>
      </c>
      <c r="AE51" s="23">
        <f>Domestic!AO51+Europe!AO51+'Asia-Pacific'!AO51+'Rest of world'!AO51+'North America'!AO51+'Latin America'!AO51</f>
        <v>0</v>
      </c>
      <c r="AF51" s="510">
        <f>Domestic!AQ51+Europe!AQ51+'Asia-Pacific'!AQ51+'Rest of world'!AQ51+'North America'!AQ51+'Latin America'!AQ51</f>
        <v>0</v>
      </c>
      <c r="AG51" s="23">
        <f>Domestic!AR51+Europe!AR51+'Asia-Pacific'!AR51+'Rest of world'!AR51+'North America'!AR51+'Latin America'!AR51</f>
        <v>100</v>
      </c>
      <c r="AH51" s="23">
        <f>Domestic!AS51+Europe!AS51+'Asia-Pacific'!AS51+'Rest of world'!AS51+'North America'!AS51+'Latin America'!AS51</f>
        <v>0</v>
      </c>
      <c r="AI51" s="510">
        <f>Domestic!AU51+Europe!AU51+'Asia-Pacific'!AU51+'Rest of world'!AU51+'North America'!AU51+'Latin America'!AU51</f>
        <v>0</v>
      </c>
      <c r="AJ51" s="23">
        <f>Domestic!AV51+Europe!AV51+'Asia-Pacific'!AV51+'Rest of world'!AV51+'North America'!AV51+'Latin America'!AV51</f>
        <v>100</v>
      </c>
      <c r="AK51" s="23">
        <f>Domestic!AQ51+Europe!AQ51+'Asia-Pacific'!AQ51+'Rest of world'!AQ51+'North America'!AQ51+'Latin America'!AQ51</f>
        <v>0</v>
      </c>
      <c r="AL51" s="510">
        <f>Domestic!AY51+Europe!AY51+'Asia-Pacific'!AY51+'Rest of world'!AY51+'North America'!AY51+'Latin America'!AY51</f>
        <v>0</v>
      </c>
      <c r="AM51" s="257">
        <f t="shared" si="41"/>
        <v>300</v>
      </c>
      <c r="AN51" s="257">
        <f t="shared" si="42"/>
        <v>352</v>
      </c>
      <c r="AO51" s="257">
        <f t="shared" si="43"/>
        <v>1.9653290417714286</v>
      </c>
      <c r="AP51" s="257">
        <f t="shared" si="44"/>
        <v>300</v>
      </c>
      <c r="AQ51" s="257">
        <f t="shared" si="45"/>
        <v>0</v>
      </c>
      <c r="AR51" s="257">
        <f t="shared" si="46"/>
        <v>0</v>
      </c>
      <c r="AS51" s="257">
        <f t="shared" si="47"/>
        <v>300</v>
      </c>
      <c r="AT51" s="257">
        <f t="shared" si="48"/>
        <v>116</v>
      </c>
      <c r="AU51" s="257">
        <f t="shared" si="49"/>
        <v>0.80700010572068448</v>
      </c>
      <c r="AV51" s="257">
        <f t="shared" si="50"/>
        <v>300</v>
      </c>
      <c r="AW51" s="257">
        <f t="shared" si="51"/>
        <v>0</v>
      </c>
      <c r="AX51" s="257">
        <f t="shared" si="52"/>
        <v>0</v>
      </c>
      <c r="AY51" s="257">
        <f t="shared" si="53"/>
        <v>1200</v>
      </c>
      <c r="AZ51" s="257">
        <f t="shared" si="54"/>
        <v>468</v>
      </c>
      <c r="BA51" s="257">
        <f t="shared" si="55"/>
        <v>2.7723291474921132</v>
      </c>
      <c r="BB51" s="257">
        <f t="shared" si="56"/>
        <v>0.39</v>
      </c>
      <c r="BD51" s="23">
        <f t="shared" si="57"/>
        <v>600</v>
      </c>
      <c r="BE51" s="23">
        <f t="shared" si="58"/>
        <v>352</v>
      </c>
      <c r="BF51" s="466">
        <f t="shared" si="59"/>
        <v>0.58666666666666667</v>
      </c>
      <c r="BG51" s="509">
        <f t="shared" si="60"/>
        <v>1.9653290417714286</v>
      </c>
      <c r="BH51" s="466">
        <f t="shared" si="61"/>
        <v>0.29333333333333333</v>
      </c>
    </row>
    <row r="52" spans="1:60" ht="12.6" customHeight="1">
      <c r="A52" s="503" t="s">
        <v>64</v>
      </c>
      <c r="B52" s="510">
        <f t="shared" si="40"/>
        <v>0</v>
      </c>
      <c r="C52" s="23">
        <f>Domestic!D52+Europe!D52+'Asia-Pacific'!D52+'Rest of world'!D52+'North America'!D52+'Latin America'!D52</f>
        <v>0</v>
      </c>
      <c r="D52" s="23">
        <f>Domestic!E52+Europe!E52+'Asia-Pacific'!E52+'Rest of world'!E52+'North America'!E52+'Latin America'!E52</f>
        <v>0</v>
      </c>
      <c r="E52" s="257">
        <f>Domestic!G52+Europe!G52+'Asia-Pacific'!G52+'Rest of world'!G52+'North America'!G52+'Latin America'!G52</f>
        <v>0</v>
      </c>
      <c r="F52" s="23">
        <f>Domestic!H52+Europe!H52+'Asia-Pacific'!H52+'Rest of world'!H52+'North America'!H52+'Latin America'!H52</f>
        <v>0</v>
      </c>
      <c r="G52" s="23">
        <f>Domestic!I52+Europe!I52+'Asia-Pacific'!I52+'Rest of world'!I52+'North America'!I52+'Latin America'!I52</f>
        <v>0</v>
      </c>
      <c r="H52" s="257">
        <f>Domestic!K52+Europe!K52+'Asia-Pacific'!K52+'Rest of world'!K52+'North America'!K52+'Latin America'!K52</f>
        <v>0</v>
      </c>
      <c r="I52" s="23">
        <f>Domestic!L52+Europe!L52+'Asia-Pacific'!L52+'Rest of world'!L52+'North America'!L52+'Latin America'!L52</f>
        <v>0</v>
      </c>
      <c r="J52" s="23">
        <f>Domestic!M52+Europe!M52+'Asia-Pacific'!M52+'Rest of world'!M52+'North America'!M52+'Latin America'!M52</f>
        <v>0</v>
      </c>
      <c r="K52" s="257">
        <f>Domestic!O52+Europe!O52+'Asia-Pacific'!O52+'Rest of world'!O52+'North America'!O52+'Latin America'!O52</f>
        <v>0</v>
      </c>
      <c r="L52" s="23">
        <f>Domestic!P52+Europe!P52+'Asia-Pacific'!P52+'Rest of world'!P52+'North America'!P52+'Latin America'!P52</f>
        <v>0</v>
      </c>
      <c r="M52" s="23">
        <f>Domestic!Q52+Europe!Q52+'Asia-Pacific'!Q52+'Rest of world'!Q52+'North America'!Q52+'Latin America'!Q52</f>
        <v>0</v>
      </c>
      <c r="N52" s="509">
        <f>Domestic!S52+Europe!S52+'Asia-Pacific'!S52+'Rest of world'!S52+'North America'!S52+'Latin America'!S52</f>
        <v>0</v>
      </c>
      <c r="O52" s="23">
        <f>Domestic!T52+Europe!T52+'Asia-Pacific'!T52+'Rest of world'!T52+'North America'!T52+'Latin America'!T52</f>
        <v>0</v>
      </c>
      <c r="P52" s="23">
        <f>Domestic!U52+Europe!U52+'Asia-Pacific'!U52+'Rest of world'!U52+'North America'!U52+'Latin America'!U52</f>
        <v>0</v>
      </c>
      <c r="Q52" s="510">
        <f>Domestic!W52+'North America'!W52+Europe!W52+'Asia-Pacific'!W52+'Rest of world'!W52+'Latin America'!W52</f>
        <v>0</v>
      </c>
      <c r="R52" s="23">
        <f>Domestic!X52+Europe!X52+'Asia-Pacific'!X52+'Rest of world'!X52+'North America'!X52+'Latin America'!X52</f>
        <v>0</v>
      </c>
      <c r="S52" s="23">
        <f>Domestic!Y52+Europe!Y52+'Asia-Pacific'!Y52+'Rest of world'!Y52+'North America'!Y52+'Latin America'!Y52</f>
        <v>0</v>
      </c>
      <c r="T52" s="510">
        <f>Domestic!AA52+Europe!AA52+'Asia-Pacific'!AA52+'Rest of world'!AA52+'North America'!AA52+'Latin America'!AA52</f>
        <v>0</v>
      </c>
      <c r="U52" s="23">
        <f>Domestic!AB52+Europe!AB52+'Asia-Pacific'!AB52+'Rest of world'!AB52+'North America'!AB52+'Latin America'!AB52</f>
        <v>0</v>
      </c>
      <c r="V52" s="23">
        <f>Domestic!AC52+Europe!AC52+'Asia-Pacific'!AC52+'Rest of world'!AC52+'North America'!AC52+'Latin America'!AC52</f>
        <v>0</v>
      </c>
      <c r="W52" s="510">
        <f>Domestic!AE52+Europe!AE52+'Asia-Pacific'!AE52+'Rest of world'!AE52+'North America'!AE52+'Latin America'!AE52</f>
        <v>0</v>
      </c>
      <c r="X52" s="23">
        <f>Domestic!AF52+Europe!AF52+'Asia-Pacific'!AF52+'Rest of world'!AF52+'North America'!AF52+'Latin America'!AF52</f>
        <v>0</v>
      </c>
      <c r="Y52" s="23">
        <f>Domestic!AG52+Europe!AG52+'Asia-Pacific'!AG52+'Rest of world'!AG52+'North America'!AG52+'Latin America'!AG52</f>
        <v>173</v>
      </c>
      <c r="Z52" s="510">
        <f>Domestic!AI52+Europe!AI52+'Asia-Pacific'!AI52+'Rest of world'!AI52+'North America'!AI52+'Latin America'!AI52</f>
        <v>2.2283694039999999</v>
      </c>
      <c r="AA52" s="23">
        <f>Domestic!AJ52+Europe!AJ52+'Asia-Pacific'!AJ52+'Rest of world'!AJ52+'North America'!AJ52+'Latin America'!AJ52</f>
        <v>0</v>
      </c>
      <c r="AB52" s="23">
        <f>Domestic!AK52+Europe!AK52+'Asia-Pacific'!AK52+'Rest of world'!AK52+'North America'!AK52+'Latin America'!AK52</f>
        <v>0</v>
      </c>
      <c r="AC52" s="510">
        <f>Domestic!AM52+Europe!AM52+'Asia-Pacific'!AM52+'Rest of world'!AM52+'North America'!AM52+'Latin America'!AM52</f>
        <v>0</v>
      </c>
      <c r="AD52" s="23">
        <f>Domestic!AN52+Europe!AN52+'Asia-Pacific'!AN52+'Rest of world'!AN52+'North America'!AN52+'Latin America'!AN52</f>
        <v>0</v>
      </c>
      <c r="AE52" s="23">
        <f>Domestic!AO52+Europe!AO52+'Asia-Pacific'!AO52+'Rest of world'!AO52+'North America'!AO52+'Latin America'!AO52</f>
        <v>226</v>
      </c>
      <c r="AF52" s="510">
        <f>Domestic!AQ52+Europe!AQ52+'Asia-Pacific'!AQ52+'Rest of world'!AQ52+'North America'!AQ52+'Latin America'!AQ52</f>
        <v>2.8942199580000003</v>
      </c>
      <c r="AG52" s="23">
        <f>Domestic!AR52+Europe!AR52+'Asia-Pacific'!AR52+'Rest of world'!AR52+'North America'!AR52+'Latin America'!AR52</f>
        <v>0</v>
      </c>
      <c r="AH52" s="23">
        <f>Domestic!AS52+Europe!AS52+'Asia-Pacific'!AS52+'Rest of world'!AS52+'North America'!AS52+'Latin America'!AS52</f>
        <v>0</v>
      </c>
      <c r="AI52" s="510">
        <f>Domestic!AU52+Europe!AU52+'Asia-Pacific'!AU52+'Rest of world'!AU52+'North America'!AU52+'Latin America'!AU52</f>
        <v>0</v>
      </c>
      <c r="AJ52" s="23">
        <f>Domestic!AV52+Europe!AV52+'Asia-Pacific'!AV52+'Rest of world'!AV52+'North America'!AV52+'Latin America'!AV52</f>
        <v>0</v>
      </c>
      <c r="AK52" s="23">
        <f>Domestic!AQ52+Europe!AQ52+'Asia-Pacific'!AQ52+'Rest of world'!AQ52+'North America'!AQ52+'Latin America'!AQ52</f>
        <v>2.8942199580000003</v>
      </c>
      <c r="AL52" s="510">
        <f>Domestic!AY52+Europe!AY52+'Asia-Pacific'!AY52+'Rest of world'!AY52+'North America'!AY52+'Latin America'!AY52</f>
        <v>0</v>
      </c>
      <c r="AM52" s="257">
        <f t="shared" si="41"/>
        <v>0</v>
      </c>
      <c r="AN52" s="257">
        <f t="shared" si="42"/>
        <v>0</v>
      </c>
      <c r="AO52" s="257">
        <f t="shared" si="43"/>
        <v>0</v>
      </c>
      <c r="AP52" s="257">
        <f t="shared" si="44"/>
        <v>0</v>
      </c>
      <c r="AQ52" s="257">
        <f t="shared" si="45"/>
        <v>0</v>
      </c>
      <c r="AR52" s="257">
        <f t="shared" si="46"/>
        <v>0</v>
      </c>
      <c r="AS52" s="257">
        <f t="shared" si="47"/>
        <v>0</v>
      </c>
      <c r="AT52" s="257">
        <f t="shared" si="48"/>
        <v>173</v>
      </c>
      <c r="AU52" s="257">
        <f t="shared" si="49"/>
        <v>2.2283694039999999</v>
      </c>
      <c r="AV52" s="257">
        <f t="shared" si="50"/>
        <v>0</v>
      </c>
      <c r="AW52" s="257">
        <f t="shared" si="51"/>
        <v>228.89421995800001</v>
      </c>
      <c r="AX52" s="257">
        <f t="shared" si="52"/>
        <v>2.8942199580000003</v>
      </c>
      <c r="AY52" s="257">
        <f t="shared" si="53"/>
        <v>0</v>
      </c>
      <c r="AZ52" s="257">
        <f t="shared" si="54"/>
        <v>401.89421995800001</v>
      </c>
      <c r="BA52" s="257">
        <f t="shared" si="55"/>
        <v>5.1225893620000003</v>
      </c>
      <c r="BB52" s="257">
        <f t="shared" si="56"/>
        <v>0</v>
      </c>
      <c r="BD52" s="23">
        <f t="shared" si="57"/>
        <v>0</v>
      </c>
      <c r="BE52" s="23">
        <f t="shared" si="58"/>
        <v>0</v>
      </c>
      <c r="BF52" s="466">
        <f t="shared" si="59"/>
        <v>0</v>
      </c>
      <c r="BG52" s="509">
        <f t="shared" si="60"/>
        <v>0</v>
      </c>
      <c r="BH52" s="466">
        <f t="shared" si="61"/>
        <v>0</v>
      </c>
    </row>
    <row r="53" spans="1:60" ht="12.6" customHeight="1">
      <c r="A53" s="503" t="s">
        <v>119</v>
      </c>
      <c r="B53" s="510">
        <f t="shared" si="40"/>
        <v>10684</v>
      </c>
      <c r="C53" s="23">
        <f>Domestic!D53+Europe!D53+'Asia-Pacific'!D53+'Rest of world'!D53+'North America'!D53+'Latin America'!D53</f>
        <v>660</v>
      </c>
      <c r="D53" s="23">
        <f>Domestic!E53+Europe!E53+'Asia-Pacific'!E53+'Rest of world'!E53+'North America'!E53+'Latin America'!E53</f>
        <v>179</v>
      </c>
      <c r="E53" s="257">
        <f>Domestic!G53+Europe!G53+'Asia-Pacific'!G53+'Rest of world'!G53+'North America'!G53+'Latin America'!G53</f>
        <v>0.73128100490000003</v>
      </c>
      <c r="F53" s="23">
        <f>Domestic!H53+Europe!H53+'Asia-Pacific'!H53+'Rest of world'!H53+'North America'!H53+'Latin America'!H53</f>
        <v>500</v>
      </c>
      <c r="G53" s="23">
        <f>Domestic!I53+Europe!I53+'Asia-Pacific'!I53+'Rest of world'!I53+'North America'!I53+'Latin America'!I53</f>
        <v>641</v>
      </c>
      <c r="H53" s="257">
        <f>Domestic!K53+Europe!K53+'Asia-Pacific'!K53+'Rest of world'!K53+'North America'!K53+'Latin America'!K53</f>
        <v>2.5454276895999999</v>
      </c>
      <c r="I53" s="23">
        <f>Domestic!L53+Europe!L53+'Asia-Pacific'!L53+'Rest of world'!L53+'North America'!L53+'Latin America'!L53</f>
        <v>729</v>
      </c>
      <c r="J53" s="23">
        <f>Domestic!M53+Europe!M53+'Asia-Pacific'!M53+'Rest of world'!M53+'North America'!M53+'Latin America'!M53</f>
        <v>308</v>
      </c>
      <c r="K53" s="257">
        <f>Domestic!O53+Europe!O53+'Asia-Pacific'!O53+'Rest of world'!O53+'North America'!O53+'Latin America'!O53</f>
        <v>1.3622269064000001</v>
      </c>
      <c r="L53" s="23">
        <f>Domestic!P53+Europe!P53+'Asia-Pacific'!P53+'Rest of world'!P53+'North America'!P53+'Latin America'!P53</f>
        <v>814</v>
      </c>
      <c r="M53" s="23">
        <f>Domestic!Q53+Europe!Q53+'Asia-Pacific'!Q53+'Rest of world'!Q53+'North America'!Q53+'Latin America'!Q53</f>
        <v>574</v>
      </c>
      <c r="N53" s="509">
        <f>Domestic!S53+Europe!S53+'Asia-Pacific'!S53+'Rest of world'!S53+'North America'!S53+'Latin America'!S53</f>
        <v>2.4422666912000004</v>
      </c>
      <c r="O53" s="23">
        <f>Domestic!T53+Europe!T53+'Asia-Pacific'!T53+'Rest of world'!T53+'North America'!T53+'Latin America'!T53</f>
        <v>834</v>
      </c>
      <c r="P53" s="23">
        <f>Domestic!U53+Europe!U53+'Asia-Pacific'!U53+'Rest of world'!U53+'North America'!U53+'Latin America'!U53</f>
        <v>481</v>
      </c>
      <c r="Q53" s="510">
        <f>Domestic!W53+'North America'!W53+Europe!W53+'Asia-Pacific'!W53+'Rest of world'!W53+'Latin America'!W53</f>
        <v>2.0891436498000004</v>
      </c>
      <c r="R53" s="23">
        <f>Domestic!X53+Europe!X53+'Asia-Pacific'!X53+'Rest of world'!X53+'North America'!X53+'Latin America'!X53</f>
        <v>964</v>
      </c>
      <c r="S53" s="23">
        <f>Domestic!Y53+Europe!Y53+'Asia-Pacific'!Y53+'Rest of world'!Y53+'North America'!Y53+'Latin America'!Y53</f>
        <v>108</v>
      </c>
      <c r="T53" s="510">
        <f>Domestic!AA53+Europe!AA53+'Asia-Pacific'!AA53+'Rest of world'!AA53+'North America'!AA53+'Latin America'!AA53</f>
        <v>0.37880453519999996</v>
      </c>
      <c r="U53" s="23">
        <f>Domestic!AB53+Europe!AB53+'Asia-Pacific'!AB53+'Rest of world'!AB53+'North America'!AB53+'Latin America'!AB53</f>
        <v>844</v>
      </c>
      <c r="V53" s="23">
        <f>Domestic!AC53+Europe!AC53+'Asia-Pacific'!AC53+'Rest of world'!AC53+'North America'!AC53+'Latin America'!AC53</f>
        <v>0</v>
      </c>
      <c r="W53" s="510">
        <f>Domestic!AE53+Europe!AE53+'Asia-Pacific'!AE53+'Rest of world'!AE53+'North America'!AE53+'Latin America'!AE53</f>
        <v>0</v>
      </c>
      <c r="X53" s="23">
        <f>Domestic!AF53+Europe!AF53+'Asia-Pacific'!AF53+'Rest of world'!AF53+'North America'!AF53+'Latin America'!AF53</f>
        <v>974</v>
      </c>
      <c r="Y53" s="23">
        <f>Domestic!AG53+Europe!AG53+'Asia-Pacific'!AG53+'Rest of world'!AG53+'North America'!AG53+'Latin America'!AG53</f>
        <v>1</v>
      </c>
      <c r="Z53" s="510">
        <f>Domestic!AI53+Europe!AI53+'Asia-Pacific'!AI53+'Rest of world'!AI53+'North America'!AI53+'Latin America'!AI53</f>
        <v>7.3689599844211423E-3</v>
      </c>
      <c r="AA53" s="23">
        <f>Domestic!AJ53+Europe!AJ53+'Asia-Pacific'!AJ53+'Rest of world'!AJ53+'North America'!AJ53+'Latin America'!AJ53</f>
        <v>1139</v>
      </c>
      <c r="AB53" s="23">
        <f>Domestic!AK53+Europe!AK53+'Asia-Pacific'!AK53+'Rest of world'!AK53+'North America'!AK53+'Latin America'!AK53</f>
        <v>78</v>
      </c>
      <c r="AC53" s="510">
        <f>Domestic!AM53+Europe!AM53+'Asia-Pacific'!AM53+'Rest of world'!AM53+'North America'!AM53+'Latin America'!AM53</f>
        <v>0.51303288599999997</v>
      </c>
      <c r="AD53" s="23">
        <f>Domestic!AN53+Europe!AN53+'Asia-Pacific'!AN53+'Rest of world'!AN53+'North America'!AN53+'Latin America'!AN53</f>
        <v>1089</v>
      </c>
      <c r="AE53" s="23">
        <f>Domestic!AO53+Europe!AO53+'Asia-Pacific'!AO53+'Rest of world'!AO53+'North America'!AO53+'Latin America'!AO53</f>
        <v>0</v>
      </c>
      <c r="AF53" s="510">
        <f>Domestic!AQ53+Europe!AQ53+'Asia-Pacific'!AQ53+'Rest of world'!AQ53+'North America'!AQ53+'Latin America'!AQ53</f>
        <v>0</v>
      </c>
      <c r="AG53" s="23">
        <f>Domestic!AR53+Europe!AR53+'Asia-Pacific'!AR53+'Rest of world'!AR53+'North America'!AR53+'Latin America'!AR53</f>
        <v>1160</v>
      </c>
      <c r="AH53" s="23">
        <f>Domestic!AS53+Europe!AS53+'Asia-Pacific'!AS53+'Rest of world'!AS53+'North America'!AS53+'Latin America'!AS53</f>
        <v>105</v>
      </c>
      <c r="AI53" s="510">
        <f>Domestic!AU53+Europe!AU53+'Asia-Pacific'!AU53+'Rest of world'!AU53+'North America'!AU53+'Latin America'!AU53</f>
        <v>0.7954250925102182</v>
      </c>
      <c r="AJ53" s="23">
        <f>Domestic!AV53+Europe!AV53+'Asia-Pacific'!AV53+'Rest of world'!AV53+'North America'!AV53+'Latin America'!AV53</f>
        <v>977</v>
      </c>
      <c r="AK53" s="23">
        <f>Domestic!AQ53+Europe!AQ53+'Asia-Pacific'!AQ53+'Rest of world'!AQ53+'North America'!AQ53+'Latin America'!AQ53</f>
        <v>0</v>
      </c>
      <c r="AL53" s="510">
        <f>Domestic!AY53+Europe!AY53+'Asia-Pacific'!AY53+'Rest of world'!AY53+'North America'!AY53+'Latin America'!AY53</f>
        <v>0</v>
      </c>
      <c r="AM53" s="257">
        <f t="shared" si="41"/>
        <v>1889</v>
      </c>
      <c r="AN53" s="257">
        <f t="shared" si="42"/>
        <v>1128</v>
      </c>
      <c r="AO53" s="257">
        <f t="shared" si="43"/>
        <v>4.6389356009</v>
      </c>
      <c r="AP53" s="257">
        <f t="shared" si="44"/>
        <v>2612</v>
      </c>
      <c r="AQ53" s="257">
        <f t="shared" si="45"/>
        <v>1163</v>
      </c>
      <c r="AR53" s="257">
        <f t="shared" si="46"/>
        <v>4.9102148762000004</v>
      </c>
      <c r="AS53" s="257">
        <f t="shared" si="47"/>
        <v>2957</v>
      </c>
      <c r="AT53" s="257">
        <f t="shared" si="48"/>
        <v>79</v>
      </c>
      <c r="AU53" s="257">
        <f t="shared" si="49"/>
        <v>0.52040184598442107</v>
      </c>
      <c r="AV53" s="257">
        <f t="shared" si="50"/>
        <v>3226</v>
      </c>
      <c r="AW53" s="257">
        <f t="shared" si="51"/>
        <v>105</v>
      </c>
      <c r="AX53" s="257">
        <f t="shared" si="52"/>
        <v>0.7954250925102182</v>
      </c>
      <c r="AY53" s="257">
        <f t="shared" si="53"/>
        <v>10684</v>
      </c>
      <c r="AZ53" s="257">
        <f t="shared" si="54"/>
        <v>2475</v>
      </c>
      <c r="BA53" s="257">
        <f t="shared" si="55"/>
        <v>10.864977415594639</v>
      </c>
      <c r="BB53" s="257">
        <f t="shared" si="56"/>
        <v>0.23165481093223511</v>
      </c>
      <c r="BD53" s="23">
        <f t="shared" si="57"/>
        <v>4501</v>
      </c>
      <c r="BE53" s="23">
        <f t="shared" si="58"/>
        <v>2291</v>
      </c>
      <c r="BF53" s="466">
        <f t="shared" si="59"/>
        <v>0.50899800044434573</v>
      </c>
      <c r="BG53" s="509">
        <f t="shared" si="60"/>
        <v>9.5491504771000013</v>
      </c>
      <c r="BH53" s="466">
        <f t="shared" si="61"/>
        <v>0.21443279670535381</v>
      </c>
    </row>
    <row r="54" spans="1:60" ht="12.6" customHeight="1">
      <c r="A54" s="482" t="s">
        <v>72</v>
      </c>
      <c r="B54" s="484">
        <f>SUM(B26:B53)</f>
        <v>55692</v>
      </c>
      <c r="C54" s="457">
        <f t="shared" ref="C54:M54" si="62">SUM(C26:C53)</f>
        <v>4422</v>
      </c>
      <c r="D54" s="457">
        <f t="shared" si="62"/>
        <v>2637</v>
      </c>
      <c r="E54" s="458">
        <f t="shared" ref="E54" si="63">SUM(E26:E53)</f>
        <v>18.287116629542854</v>
      </c>
      <c r="F54" s="457">
        <f t="shared" si="62"/>
        <v>4438</v>
      </c>
      <c r="G54" s="457">
        <f t="shared" si="62"/>
        <v>4248</v>
      </c>
      <c r="H54" s="458">
        <f t="shared" ref="H54" si="64">SUM(H26:H53)</f>
        <v>24.157302536642856</v>
      </c>
      <c r="I54" s="457">
        <f t="shared" si="62"/>
        <v>4823</v>
      </c>
      <c r="J54" s="457">
        <f t="shared" si="62"/>
        <v>2912</v>
      </c>
      <c r="K54" s="458">
        <f t="shared" ref="K54" si="65">SUM(K26:K53)</f>
        <v>16.110052501371428</v>
      </c>
      <c r="L54" s="457">
        <f t="shared" si="62"/>
        <v>4471</v>
      </c>
      <c r="M54" s="457">
        <f t="shared" si="62"/>
        <v>2514</v>
      </c>
      <c r="N54" s="458">
        <f t="shared" ref="N54:S54" si="66">SUM(N26:N53)</f>
        <v>16.650932953028569</v>
      </c>
      <c r="O54" s="457">
        <f t="shared" si="66"/>
        <v>4333</v>
      </c>
      <c r="P54" s="457">
        <f t="shared" si="66"/>
        <v>2735</v>
      </c>
      <c r="Q54" s="458">
        <f t="shared" si="66"/>
        <v>17.164751915485716</v>
      </c>
      <c r="R54" s="457">
        <f t="shared" si="66"/>
        <v>4537</v>
      </c>
      <c r="S54" s="457">
        <f t="shared" si="66"/>
        <v>2547</v>
      </c>
      <c r="T54" s="458">
        <f t="shared" ref="T54:AJ54" si="67">SUM(T26:T53)</f>
        <v>26.771661546685717</v>
      </c>
      <c r="U54" s="457">
        <f t="shared" si="67"/>
        <v>4639</v>
      </c>
      <c r="V54" s="457">
        <f t="shared" si="67"/>
        <v>2425</v>
      </c>
      <c r="W54" s="458">
        <f t="shared" si="67"/>
        <v>25.060820193409924</v>
      </c>
      <c r="X54" s="457">
        <f t="shared" si="67"/>
        <v>4791</v>
      </c>
      <c r="Y54" s="457">
        <f t="shared" si="67"/>
        <v>1919</v>
      </c>
      <c r="Z54" s="458">
        <f t="shared" si="67"/>
        <v>17.533032374709791</v>
      </c>
      <c r="AA54" s="457">
        <f t="shared" si="67"/>
        <v>4986</v>
      </c>
      <c r="AB54" s="457">
        <f t="shared" si="67"/>
        <v>1656</v>
      </c>
      <c r="AC54" s="458">
        <f t="shared" si="67"/>
        <v>16.958814406600524</v>
      </c>
      <c r="AD54" s="457">
        <f t="shared" si="67"/>
        <v>4775</v>
      </c>
      <c r="AE54" s="457">
        <f t="shared" si="67"/>
        <v>2963</v>
      </c>
      <c r="AF54" s="458">
        <f t="shared" si="67"/>
        <v>29.749995553826842</v>
      </c>
      <c r="AG54" s="457">
        <f t="shared" si="67"/>
        <v>4939</v>
      </c>
      <c r="AH54" s="457">
        <f t="shared" si="67"/>
        <v>1980</v>
      </c>
      <c r="AI54" s="458">
        <f t="shared" si="67"/>
        <v>19.43366446247008</v>
      </c>
      <c r="AJ54" s="457">
        <f t="shared" si="67"/>
        <v>4538</v>
      </c>
      <c r="AK54" s="457">
        <f t="shared" ref="AK54" si="68">SUM(AK26:AK53)</f>
        <v>29.749995553826842</v>
      </c>
      <c r="AL54" s="458">
        <f>SUM(AL26:AL53)</f>
        <v>0</v>
      </c>
      <c r="AM54" s="457">
        <f t="shared" ref="AM54:BA54" si="69">SUM(AM26:AM53)</f>
        <v>13683</v>
      </c>
      <c r="AN54" s="457">
        <f t="shared" si="69"/>
        <v>9797</v>
      </c>
      <c r="AO54" s="457">
        <f t="shared" si="69"/>
        <v>58.554471667557138</v>
      </c>
      <c r="AP54" s="457">
        <f t="shared" si="69"/>
        <v>13341</v>
      </c>
      <c r="AQ54" s="457">
        <f t="shared" si="69"/>
        <v>7796</v>
      </c>
      <c r="AR54" s="457">
        <f t="shared" si="69"/>
        <v>60.58734641520001</v>
      </c>
      <c r="AS54" s="457">
        <f t="shared" si="69"/>
        <v>14416</v>
      </c>
      <c r="AT54" s="457">
        <f t="shared" si="69"/>
        <v>6000</v>
      </c>
      <c r="AU54" s="457">
        <f t="shared" si="69"/>
        <v>59.552666974720225</v>
      </c>
      <c r="AV54" s="457">
        <f t="shared" si="69"/>
        <v>14252</v>
      </c>
      <c r="AW54" s="457">
        <f t="shared" si="69"/>
        <v>4972.749995553826</v>
      </c>
      <c r="AX54" s="457">
        <f t="shared" si="69"/>
        <v>49.183660016296933</v>
      </c>
      <c r="AY54" s="457">
        <f t="shared" si="69"/>
        <v>55692</v>
      </c>
      <c r="AZ54" s="457">
        <f t="shared" si="69"/>
        <v>28565.74999555383</v>
      </c>
      <c r="BA54" s="457">
        <f t="shared" si="69"/>
        <v>227.87814507377433</v>
      </c>
      <c r="BB54" s="458">
        <f t="shared" si="56"/>
        <v>0.5129237591674537</v>
      </c>
      <c r="BD54" s="457">
        <f>SUM(BD26:BD53)</f>
        <v>27024</v>
      </c>
      <c r="BE54" s="457">
        <f>SUM(BE26:BE53)</f>
        <v>17593</v>
      </c>
      <c r="BF54" s="467">
        <f t="shared" si="10"/>
        <v>0.6510139135583185</v>
      </c>
      <c r="BG54" s="511">
        <f>SUM(BG26:BG53)</f>
        <v>119.14181808275713</v>
      </c>
      <c r="BH54" s="525">
        <f t="shared" si="61"/>
        <v>0.31589815413344824</v>
      </c>
    </row>
    <row r="55" spans="1:60" ht="8.25" customHeight="1">
      <c r="A55" s="254"/>
      <c r="B55" s="496"/>
      <c r="C55" s="254"/>
      <c r="D55" s="254"/>
      <c r="E55" s="461"/>
      <c r="F55" s="254"/>
      <c r="G55" s="254"/>
      <c r="H55" s="461"/>
      <c r="I55" s="254"/>
      <c r="J55" s="254"/>
      <c r="K55" s="461"/>
      <c r="L55" s="254"/>
      <c r="M55" s="254"/>
      <c r="N55" s="461"/>
      <c r="O55" s="254"/>
      <c r="P55" s="254"/>
      <c r="Q55" s="461"/>
      <c r="R55" s="254"/>
      <c r="S55" s="254"/>
      <c r="T55" s="461"/>
      <c r="U55" s="254"/>
      <c r="V55" s="254"/>
      <c r="W55" s="461"/>
      <c r="X55" s="254"/>
      <c r="Y55" s="254"/>
      <c r="Z55" s="461"/>
      <c r="AA55" s="254"/>
      <c r="AB55" s="254"/>
      <c r="AC55" s="461"/>
      <c r="AD55" s="254"/>
      <c r="AE55" s="254"/>
      <c r="AF55" s="461"/>
      <c r="AG55" s="254"/>
      <c r="AH55" s="254"/>
      <c r="AI55" s="461"/>
      <c r="AJ55" s="254"/>
      <c r="AK55" s="254"/>
      <c r="AL55" s="461"/>
      <c r="AM55" s="461"/>
      <c r="AN55" s="461"/>
      <c r="AO55" s="461"/>
      <c r="AP55" s="461"/>
      <c r="AQ55" s="461"/>
      <c r="AR55" s="461"/>
      <c r="AS55" s="461"/>
      <c r="AT55" s="461"/>
      <c r="AU55" s="461"/>
      <c r="AV55" s="461"/>
      <c r="AW55" s="461"/>
      <c r="AX55" s="461"/>
      <c r="AY55" s="461"/>
      <c r="AZ55" s="461"/>
      <c r="BA55" s="461"/>
      <c r="BB55" s="461"/>
      <c r="BD55" s="495"/>
      <c r="BE55" s="495"/>
      <c r="BF55" s="469">
        <f t="shared" si="10"/>
        <v>0</v>
      </c>
      <c r="BG55" s="509">
        <f>E55+H55+K55+N55+Q55</f>
        <v>0</v>
      </c>
      <c r="BH55" s="469">
        <f t="shared" si="61"/>
        <v>0</v>
      </c>
    </row>
    <row r="56" spans="1:60" ht="12.6" customHeight="1">
      <c r="A56" s="254" t="s">
        <v>56</v>
      </c>
      <c r="B56" s="510">
        <f t="shared" ref="B56:B61" si="70">C56+F56+I56+L56+O56+R56+U56+X56+AA56+AD56+AG56+AJ56</f>
        <v>11000</v>
      </c>
      <c r="C56" s="23">
        <f>Domestic!D56+Europe!D56+'Asia-Pacific'!D56+'Rest of world'!D56+'North America'!D56+'Latin America'!D56</f>
        <v>900</v>
      </c>
      <c r="D56" s="23">
        <f>Domestic!E56+Europe!E56+'Asia-Pacific'!E56+'Rest of world'!E56+'North America'!E56+'Latin America'!E56</f>
        <v>281</v>
      </c>
      <c r="E56" s="257">
        <f>Domestic!G56+Europe!G56+'Asia-Pacific'!G56+'Rest of world'!G56+'North America'!G56+'Latin America'!G56</f>
        <v>1.32614297</v>
      </c>
      <c r="F56" s="23">
        <f>Domestic!H56+Europe!H56+'Asia-Pacific'!H56+'Rest of world'!H56+'North America'!H56+'Latin America'!H56</f>
        <v>900</v>
      </c>
      <c r="G56" s="23">
        <f>Domestic!I56+Europe!I56+'Asia-Pacific'!I56+'Rest of world'!I56+'North America'!I56+'Latin America'!I56</f>
        <v>411</v>
      </c>
      <c r="H56" s="257">
        <f>Domestic!K56+Europe!K56+'Asia-Pacific'!K56+'Rest of world'!K56+'North America'!K56+'Latin America'!K56</f>
        <v>1.8727506809999999</v>
      </c>
      <c r="I56" s="23">
        <f>Domestic!L56+Europe!L56+'Asia-Pacific'!L56+'Rest of world'!L56+'North America'!L56+'Latin America'!L56</f>
        <v>900</v>
      </c>
      <c r="J56" s="23">
        <f>Domestic!M56+Europe!M56+'Asia-Pacific'!M56+'Rest of world'!M56+'North America'!M56+'Latin America'!M56</f>
        <v>349</v>
      </c>
      <c r="K56" s="257">
        <f>Domestic!O56+Europe!O56+'Asia-Pacific'!O56+'Rest of world'!O56+'North America'!O56+'Latin America'!O56</f>
        <v>1.5708601680000001</v>
      </c>
      <c r="L56" s="23">
        <f>Domestic!P56+Europe!P56+'Asia-Pacific'!P56+'Rest of world'!P56+'North America'!P56+'Latin America'!P56</f>
        <v>900</v>
      </c>
      <c r="M56" s="23">
        <f>Domestic!Q56+Europe!Q56+'Asia-Pacific'!Q56+'Rest of world'!Q56+'North America'!Q56+'Latin America'!Q56</f>
        <v>371</v>
      </c>
      <c r="N56" s="509">
        <f>Domestic!S56+Europe!S56+'Asia-Pacific'!S56+'Rest of world'!S56+'North America'!S56+'Latin America'!S56</f>
        <v>1.6249532880000002</v>
      </c>
      <c r="O56" s="23">
        <f>Domestic!T56+Europe!T56+'Asia-Pacific'!T56+'Rest of world'!T56+'North America'!T56+'Latin America'!T56</f>
        <v>900</v>
      </c>
      <c r="P56" s="23">
        <f>Domestic!U56+Europe!U56+'Asia-Pacific'!U56+'Rest of world'!U56+'North America'!U56+'Latin America'!U56</f>
        <v>570</v>
      </c>
      <c r="Q56" s="510">
        <f>Domestic!W56+'North America'!W56+Europe!W56+'Asia-Pacific'!W56+'Rest of world'!W56+'Latin America'!W56</f>
        <v>2.4034563000000002</v>
      </c>
      <c r="R56" s="23">
        <f>Domestic!X56+Europe!X56+'Asia-Pacific'!X56+'Rest of world'!X56+'North America'!X56+'Latin America'!X56</f>
        <v>900</v>
      </c>
      <c r="S56" s="23">
        <f>Domestic!Y56+Europe!Y56+'Asia-Pacific'!Y56+'Rest of world'!Y56+'North America'!Y56+'Latin America'!Y56</f>
        <v>629</v>
      </c>
      <c r="T56" s="510">
        <f>Domestic!AA56+Europe!AA56+'Asia-Pacific'!AA56+'Rest of world'!AA56+'North America'!AA56+'Latin America'!AA56</f>
        <v>2.546244207</v>
      </c>
      <c r="U56" s="23">
        <f>Domestic!AB56+Europe!AB56+'Asia-Pacific'!AB56+'Rest of world'!AB56+'North America'!AB56+'Latin America'!AB56</f>
        <v>900</v>
      </c>
      <c r="V56" s="23">
        <f>Domestic!AC56+Europe!AC56+'Asia-Pacific'!AC56+'Rest of world'!AC56+'North America'!AC56+'Latin America'!AC56</f>
        <v>310</v>
      </c>
      <c r="W56" s="510">
        <f>Domestic!AE56+Europe!AE56+'Asia-Pacific'!AE56+'Rest of world'!AE56+'North America'!AE56+'Latin America'!AE56</f>
        <v>1.302562230867969</v>
      </c>
      <c r="X56" s="23">
        <f>Domestic!AF56+Europe!AF56+'Asia-Pacific'!AF56+'Rest of world'!AF56+'North America'!AF56+'Latin America'!AF56</f>
        <v>900</v>
      </c>
      <c r="Y56" s="23">
        <f>Domestic!AG56+Europe!AG56+'Asia-Pacific'!AG56+'Rest of world'!AG56+'North America'!AG56+'Latin America'!AG56</f>
        <v>330</v>
      </c>
      <c r="Z56" s="510">
        <f>Domestic!AI56+Europe!AI56+'Asia-Pacific'!AI56+'Rest of world'!AI56+'North America'!AI56+'Latin America'!AI56</f>
        <v>1.4387240837962749</v>
      </c>
      <c r="AA56" s="23">
        <f>Domestic!AJ56+Europe!AJ56+'Asia-Pacific'!AJ56+'Rest of world'!AJ56+'North America'!AJ56+'Latin America'!AJ56</f>
        <v>950</v>
      </c>
      <c r="AB56" s="23">
        <f>Domestic!AK56+Europe!AK56+'Asia-Pacific'!AK56+'Rest of world'!AK56+'North America'!AK56+'Latin America'!AK56</f>
        <v>227</v>
      </c>
      <c r="AC56" s="510">
        <f>Domestic!AM56+Europe!AM56+'Asia-Pacific'!AM56+'Rest of world'!AM56+'North America'!AM56+'Latin America'!AM56</f>
        <v>1.0705021015119984</v>
      </c>
      <c r="AD56" s="23">
        <f>Domestic!AN56+Europe!AN56+'Asia-Pacific'!AN56+'Rest of world'!AN56+'North America'!AN56+'Latin America'!AN56</f>
        <v>950</v>
      </c>
      <c r="AE56" s="23">
        <f>Domestic!AO56+Europe!AO56+'Asia-Pacific'!AO56+'Rest of world'!AO56+'North America'!AO56+'Latin America'!AO56</f>
        <v>322</v>
      </c>
      <c r="AF56" s="510">
        <f>Domestic!AQ56+Europe!AQ56+'Asia-Pacific'!AQ56+'Rest of world'!AQ56+'North America'!AQ56+'Latin America'!AQ56</f>
        <v>1.5381465670456365</v>
      </c>
      <c r="AG56" s="23">
        <f>Domestic!AR56+Europe!AR56+'Asia-Pacific'!AR56+'Rest of world'!AR56+'North America'!AR56+'Latin America'!AR56</f>
        <v>950</v>
      </c>
      <c r="AH56" s="23">
        <f>Domestic!AS56+Europe!AS56+'Asia-Pacific'!AS56+'Rest of world'!AS56+'North America'!AS56+'Latin America'!AS56</f>
        <v>576</v>
      </c>
      <c r="AI56" s="510">
        <f>Domestic!AU56+Europe!AU56+'Asia-Pacific'!AU56+'Rest of world'!AU56+'North America'!AU56+'Latin America'!AU56</f>
        <v>2.700285949056211</v>
      </c>
      <c r="AJ56" s="23">
        <f>Domestic!AV56+Europe!AV56+'Asia-Pacific'!AV56+'Rest of world'!AV56+'North America'!AV56+'Latin America'!AV56</f>
        <v>950</v>
      </c>
      <c r="AK56" s="23">
        <f>Domestic!AQ56+Europe!AQ56+'Asia-Pacific'!AQ56+'Rest of world'!AQ56+'North America'!AQ56+'Latin America'!AQ56</f>
        <v>1.5381465670456365</v>
      </c>
      <c r="AL56" s="510">
        <f>Domestic!AY56+Europe!AY56+'Asia-Pacific'!AY56+'Rest of world'!AY56+'North America'!AY56+'Latin America'!AY56</f>
        <v>0</v>
      </c>
      <c r="AM56" s="257">
        <f t="shared" ref="AM56:AM60" si="71">(C56+F56+I56)</f>
        <v>2700</v>
      </c>
      <c r="AN56" s="257">
        <f t="shared" ref="AN56:AN60" si="72">(D56+G56+J56)</f>
        <v>1041</v>
      </c>
      <c r="AO56" s="257">
        <f t="shared" ref="AO56:AO60" si="73">(E56+H56+K56)</f>
        <v>4.769753819</v>
      </c>
      <c r="AP56" s="257">
        <f t="shared" ref="AP56:AP60" si="74">(L56+O56+R56)</f>
        <v>2700</v>
      </c>
      <c r="AQ56" s="257">
        <f t="shared" ref="AQ56:AQ60" si="75">(M56+P56+S56)</f>
        <v>1570</v>
      </c>
      <c r="AR56" s="257">
        <f t="shared" ref="AR56:AR60" si="76">(N56+Q56+T56)</f>
        <v>6.5746537950000006</v>
      </c>
      <c r="AS56" s="257">
        <f t="shared" ref="AS56:AS60" si="77">(U56+X56+AA56)</f>
        <v>2750</v>
      </c>
      <c r="AT56" s="257">
        <f t="shared" ref="AT56:AT60" si="78">(V56+Y56+AB56)</f>
        <v>867</v>
      </c>
      <c r="AU56" s="257">
        <f t="shared" ref="AU56:AU60" si="79">(W56+Z56+AC56)</f>
        <v>3.8117884161762419</v>
      </c>
      <c r="AV56" s="257">
        <f t="shared" ref="AV56:AV60" si="80">(AD56+AG56+AJ56)</f>
        <v>2850</v>
      </c>
      <c r="AW56" s="257">
        <f t="shared" ref="AW56:AW60" si="81">(AE56+AH56+AK56)</f>
        <v>899.5381465670456</v>
      </c>
      <c r="AX56" s="257">
        <f t="shared" ref="AX56:AX60" si="82">(AF56+AI56+AL56)</f>
        <v>4.238432516101847</v>
      </c>
      <c r="AY56" s="257">
        <f t="shared" ref="AY56:AY60" si="83">AM56+AP56+AS56+AV56</f>
        <v>11000</v>
      </c>
      <c r="AZ56" s="257">
        <f t="shared" ref="AZ56:AZ60" si="84">AN56+AQ56+AT56+AW56</f>
        <v>4377.5381465670453</v>
      </c>
      <c r="BA56" s="257">
        <f t="shared" ref="BA56:BA60" si="85">AO56+AR56+AU56+AX56</f>
        <v>19.394628546278092</v>
      </c>
      <c r="BB56" s="257">
        <f t="shared" ref="BB56:BB61" si="86">IFERROR(AZ56/AY56,0)</f>
        <v>0.39795801332427683</v>
      </c>
      <c r="BD56" s="23">
        <f t="shared" ref="BD56:BE60" si="87">C56+F56+I56+L56+O56+R56</f>
        <v>5400</v>
      </c>
      <c r="BE56" s="23">
        <f t="shared" si="87"/>
        <v>2611</v>
      </c>
      <c r="BF56" s="466">
        <f t="shared" ref="BF56:BF60" si="88">IFERROR(BE56/BD56,0)</f>
        <v>0.48351851851851851</v>
      </c>
      <c r="BG56" s="509">
        <f>E56+H56+K56+N56+Q56+T56</f>
        <v>11.344407614000001</v>
      </c>
      <c r="BH56" s="466">
        <f t="shared" si="61"/>
        <v>0.23736363636363636</v>
      </c>
    </row>
    <row r="57" spans="1:60" ht="12.6" customHeight="1">
      <c r="A57" s="254" t="s">
        <v>57</v>
      </c>
      <c r="B57" s="510">
        <f t="shared" si="70"/>
        <v>4000</v>
      </c>
      <c r="C57" s="23">
        <f>Domestic!D57+Europe!D57+'Asia-Pacific'!D57+'Rest of world'!D57+'North America'!D57+'Latin America'!D57</f>
        <v>350</v>
      </c>
      <c r="D57" s="23">
        <f>Domestic!E57+Europe!E57+'Asia-Pacific'!E57+'Rest of world'!E57+'North America'!E57+'Latin America'!E57</f>
        <v>102</v>
      </c>
      <c r="E57" s="257">
        <f>Domestic!G57+Europe!G57+'Asia-Pacific'!G57+'Rest of world'!G57+'North America'!G57+'Latin America'!G57</f>
        <v>0.55188711600000007</v>
      </c>
      <c r="F57" s="23">
        <f>Domestic!H57+Europe!H57+'Asia-Pacific'!H57+'Rest of world'!H57+'North America'!H57+'Latin America'!H57</f>
        <v>350</v>
      </c>
      <c r="G57" s="23">
        <f>Domestic!I57+Europe!I57+'Asia-Pacific'!I57+'Rest of world'!I57+'North America'!I57+'Latin America'!I57</f>
        <v>225</v>
      </c>
      <c r="H57" s="257">
        <f>Domestic!K57+Europe!K57+'Asia-Pacific'!K57+'Rest of world'!K57+'North America'!K57+'Latin America'!K57</f>
        <v>1.1953471499999999</v>
      </c>
      <c r="I57" s="23">
        <f>Domestic!L57+Europe!L57+'Asia-Pacific'!L57+'Rest of world'!L57+'North America'!L57+'Latin America'!L57</f>
        <v>350</v>
      </c>
      <c r="J57" s="23">
        <f>Domestic!M57+Europe!M57+'Asia-Pacific'!M57+'Rest of world'!M57+'North America'!M57+'Latin America'!M57</f>
        <v>233</v>
      </c>
      <c r="K57" s="257">
        <f>Domestic!O57+Europe!O57+'Asia-Pacific'!O57+'Rest of world'!O57+'North America'!O57+'Latin America'!O57</f>
        <v>1.219611472</v>
      </c>
      <c r="L57" s="23">
        <f>Domestic!P57+Europe!P57+'Asia-Pacific'!P57+'Rest of world'!P57+'North America'!P57+'Latin America'!P57</f>
        <v>350</v>
      </c>
      <c r="M57" s="23">
        <f>Domestic!Q57+Europe!Q57+'Asia-Pacific'!Q57+'Rest of world'!Q57+'North America'!Q57+'Latin America'!Q57</f>
        <v>255</v>
      </c>
      <c r="N57" s="509">
        <f>Domestic!S57+Europe!S57+'Asia-Pacific'!S57+'Rest of world'!S57+'North America'!S57+'Latin America'!S57</f>
        <v>1.2695736</v>
      </c>
      <c r="O57" s="23">
        <f>Domestic!T57+Europe!T57+'Asia-Pacific'!T57+'Rest of world'!T57+'North America'!T57+'Latin America'!T57</f>
        <v>350</v>
      </c>
      <c r="P57" s="23">
        <f>Domestic!U57+Europe!U57+'Asia-Pacific'!U57+'Rest of world'!U57+'North America'!U57+'Latin America'!U57</f>
        <v>385</v>
      </c>
      <c r="Q57" s="510">
        <f>Domestic!W57+'North America'!W57+Europe!W57+'Asia-Pacific'!W57+'Rest of world'!W57+'Latin America'!W57</f>
        <v>1.8218011350000001</v>
      </c>
      <c r="R57" s="23">
        <f>Domestic!X57+Europe!X57+'Asia-Pacific'!X57+'Rest of world'!X57+'North America'!X57+'Latin America'!X57</f>
        <v>350</v>
      </c>
      <c r="S57" s="23">
        <f>Domestic!Y57+Europe!Y57+'Asia-Pacific'!Y57+'Rest of world'!Y57+'North America'!Y57+'Latin America'!Y57</f>
        <v>426</v>
      </c>
      <c r="T57" s="510">
        <f>Domestic!AA57+Europe!AA57+'Asia-Pacific'!AA57+'Rest of world'!AA57+'North America'!AA57+'Latin America'!AA57</f>
        <v>1.9148299559999999</v>
      </c>
      <c r="U57" s="23">
        <f>Domestic!AB57+Europe!AB57+'Asia-Pacific'!AB57+'Rest of world'!AB57+'North America'!AB57+'Latin America'!AB57</f>
        <v>350</v>
      </c>
      <c r="V57" s="23">
        <f>Domestic!AC57+Europe!AC57+'Asia-Pacific'!AC57+'Rest of world'!AC57+'North America'!AC57+'Latin America'!AC57</f>
        <v>123</v>
      </c>
      <c r="W57" s="510">
        <f>Domestic!AE57+Europe!AE57+'Asia-Pacific'!AE57+'Rest of world'!AE57+'North America'!AE57+'Latin America'!AE57</f>
        <v>0.59625335564481663</v>
      </c>
      <c r="X57" s="23">
        <f>Domestic!AF57+Europe!AF57+'Asia-Pacific'!AF57+'Rest of world'!AF57+'North America'!AF57+'Latin America'!AF57</f>
        <v>350</v>
      </c>
      <c r="Y57" s="23">
        <f>Domestic!AG57+Europe!AG57+'Asia-Pacific'!AG57+'Rest of world'!AG57+'North America'!AG57+'Latin America'!AG57</f>
        <v>142</v>
      </c>
      <c r="Z57" s="510">
        <f>Domestic!AI57+Europe!AI57+'Asia-Pacific'!AI57+'Rest of world'!AI57+'North America'!AI57+'Latin America'!AI57</f>
        <v>0.73777262184236259</v>
      </c>
      <c r="AA57" s="23">
        <f>Domestic!AJ57+Europe!AJ57+'Asia-Pacific'!AJ57+'Rest of world'!AJ57+'North America'!AJ57+'Latin America'!AJ57</f>
        <v>300</v>
      </c>
      <c r="AB57" s="23">
        <f>Domestic!AK57+Europe!AK57+'Asia-Pacific'!AK57+'Rest of world'!AK57+'North America'!AK57+'Latin America'!AK57</f>
        <v>194</v>
      </c>
      <c r="AC57" s="510">
        <f>Domestic!AM57+Europe!AM57+'Asia-Pacific'!AM57+'Rest of world'!AM57+'North America'!AM57+'Latin America'!AM57</f>
        <v>1.0404993319877676</v>
      </c>
      <c r="AD57" s="23">
        <f>Domestic!AN57+Europe!AN57+'Asia-Pacific'!AN57+'Rest of world'!AN57+'North America'!AN57+'Latin America'!AN57</f>
        <v>300</v>
      </c>
      <c r="AE57" s="23">
        <f>Domestic!AO57+Europe!AO57+'Asia-Pacific'!AO57+'Rest of world'!AO57+'North America'!AO57+'Latin America'!AO57</f>
        <v>222</v>
      </c>
      <c r="AF57" s="510">
        <f>Domestic!AQ57+Europe!AQ57+'Asia-Pacific'!AQ57+'Rest of world'!AQ57+'North America'!AQ57+'Latin America'!AQ57</f>
        <v>1.190842549848101</v>
      </c>
      <c r="AG57" s="23">
        <f>Domestic!AR57+Europe!AR57+'Asia-Pacific'!AR57+'Rest of world'!AR57+'North America'!AR57+'Latin America'!AR57</f>
        <v>300</v>
      </c>
      <c r="AH57" s="23">
        <f>Domestic!AS57+Europe!AS57+'Asia-Pacific'!AS57+'Rest of world'!AS57+'North America'!AS57+'Latin America'!AS57</f>
        <v>164</v>
      </c>
      <c r="AI57" s="510">
        <f>Domestic!AU57+Europe!AU57+'Asia-Pacific'!AU57+'Rest of world'!AU57+'North America'!AU57+'Latin America'!AU57</f>
        <v>0.88815874613747592</v>
      </c>
      <c r="AJ57" s="23">
        <f>Domestic!AV57+Europe!AV57+'Asia-Pacific'!AV57+'Rest of world'!AV57+'North America'!AV57+'Latin America'!AV57</f>
        <v>300</v>
      </c>
      <c r="AK57" s="23">
        <f>Domestic!AQ57+Europe!AQ57+'Asia-Pacific'!AQ57+'Rest of world'!AQ57+'North America'!AQ57+'Latin America'!AQ57</f>
        <v>1.190842549848101</v>
      </c>
      <c r="AL57" s="510">
        <f>Domestic!AY57+Europe!AY57+'Asia-Pacific'!AY57+'Rest of world'!AY57+'North America'!AY57+'Latin America'!AY57</f>
        <v>0</v>
      </c>
      <c r="AM57" s="257">
        <f t="shared" si="71"/>
        <v>1050</v>
      </c>
      <c r="AN57" s="257">
        <f t="shared" si="72"/>
        <v>560</v>
      </c>
      <c r="AO57" s="257">
        <f t="shared" si="73"/>
        <v>2.966845738</v>
      </c>
      <c r="AP57" s="257">
        <f t="shared" si="74"/>
        <v>1050</v>
      </c>
      <c r="AQ57" s="257">
        <f t="shared" si="75"/>
        <v>1066</v>
      </c>
      <c r="AR57" s="257">
        <f t="shared" si="76"/>
        <v>5.0062046909999998</v>
      </c>
      <c r="AS57" s="257">
        <f t="shared" si="77"/>
        <v>1000</v>
      </c>
      <c r="AT57" s="257">
        <f t="shared" si="78"/>
        <v>459</v>
      </c>
      <c r="AU57" s="257">
        <f t="shared" si="79"/>
        <v>2.3745253094749468</v>
      </c>
      <c r="AV57" s="257">
        <f t="shared" si="80"/>
        <v>900</v>
      </c>
      <c r="AW57" s="257">
        <f t="shared" si="81"/>
        <v>387.19084254984813</v>
      </c>
      <c r="AX57" s="257">
        <f t="shared" si="82"/>
        <v>2.0790012959855768</v>
      </c>
      <c r="AY57" s="257">
        <f t="shared" si="83"/>
        <v>4000</v>
      </c>
      <c r="AZ57" s="257">
        <f t="shared" si="84"/>
        <v>2472.1908425498482</v>
      </c>
      <c r="BA57" s="257">
        <f t="shared" si="85"/>
        <v>12.426577034460523</v>
      </c>
      <c r="BB57" s="257">
        <f t="shared" si="86"/>
        <v>0.618047710637462</v>
      </c>
      <c r="BD57" s="23">
        <f t="shared" si="87"/>
        <v>2100</v>
      </c>
      <c r="BE57" s="23">
        <f t="shared" si="87"/>
        <v>1626</v>
      </c>
      <c r="BF57" s="466">
        <f t="shared" si="88"/>
        <v>0.77428571428571424</v>
      </c>
      <c r="BG57" s="509">
        <f>E57+H57+K57+N57+Q57+T57</f>
        <v>7.9730504290000006</v>
      </c>
      <c r="BH57" s="466">
        <f t="shared" si="61"/>
        <v>0.40649999999999997</v>
      </c>
    </row>
    <row r="58" spans="1:60" ht="12.6" customHeight="1">
      <c r="A58" s="254" t="s">
        <v>58</v>
      </c>
      <c r="B58" s="510">
        <f t="shared" si="70"/>
        <v>0</v>
      </c>
      <c r="C58" s="23">
        <f>Domestic!D58+'North America'!D58+Europe!D58+'Asia-Pacific'!D58+'Rest of world'!D58+'Latin America'!D58</f>
        <v>0</v>
      </c>
      <c r="D58" s="23">
        <f>Domestic!E58+Europe!E58+'Asia-Pacific'!E58+'Rest of world'!E58+'North America'!E58+'Latin America'!E58</f>
        <v>20</v>
      </c>
      <c r="E58" s="257">
        <f>Domestic!G58+Europe!G58+'Asia-Pacific'!G58+'Rest of world'!G58+'North America'!G58+'Latin America'!G58</f>
        <v>0.10653811599999999</v>
      </c>
      <c r="F58" s="23">
        <f>Domestic!H58+'North America'!H58+Europe!H58+'Asia-Pacific'!H58+'Rest of world'!H58+'Latin America'!H58</f>
        <v>0</v>
      </c>
      <c r="G58" s="23">
        <f>Domestic!I58+Europe!I58+'Asia-Pacific'!I58+'Rest of world'!I58+'North America'!I58+'Latin America'!I58</f>
        <v>0</v>
      </c>
      <c r="H58" s="257">
        <f>Domestic!K58+Europe!K58+'Asia-Pacific'!K58+'Rest of world'!K58+'North America'!K58+'Latin America'!K58</f>
        <v>0</v>
      </c>
      <c r="I58" s="23">
        <f>Domestic!L58+'North America'!L58+Europe!L58+'Asia-Pacific'!L58+'Rest of world'!L58+'Latin America'!L58</f>
        <v>0</v>
      </c>
      <c r="J58" s="23">
        <f>Domestic!M58+Europe!M58+'Asia-Pacific'!M58+'Rest of world'!M58+'North America'!M58+'Latin America'!M58</f>
        <v>60</v>
      </c>
      <c r="K58" s="257">
        <f>Domestic!O58+Europe!O58+'Asia-Pacific'!O58+'Rest of world'!O58+'North America'!O58+'Latin America'!O58</f>
        <v>0.28762199999999999</v>
      </c>
      <c r="L58" s="23">
        <f>Domestic!P58+'North America'!P58+Europe!P58+'Asia-Pacific'!P58+'Rest of world'!P58+'Latin America'!P58</f>
        <v>0</v>
      </c>
      <c r="M58" s="23">
        <f>Domestic!Q58+Europe!Q58+'Asia-Pacific'!Q58+'Rest of world'!Q58+'North America'!Q58+'Latin America'!Q58</f>
        <v>0</v>
      </c>
      <c r="N58" s="509">
        <f>Domestic!S58+Europe!S58+'Asia-Pacific'!S58+'Rest of world'!S58+'North America'!S58+'Latin America'!S58</f>
        <v>0</v>
      </c>
      <c r="O58" s="23">
        <f>Domestic!T58+'North America'!T58+Europe!T58+'Asia-Pacific'!T58+'Rest of world'!T58+'Latin America'!T58</f>
        <v>0</v>
      </c>
      <c r="P58" s="23">
        <f>Domestic!U58+Europe!U58+'Asia-Pacific'!U58+'Rest of world'!U58+'North America'!U58+'Latin America'!U58</f>
        <v>3</v>
      </c>
      <c r="Q58" s="510">
        <f>Domestic!W58+'North America'!W58+Europe!W58+'Asia-Pacific'!W58+'Rest of world'!W58+'Latin America'!W58</f>
        <v>1.8111258000000002E-2</v>
      </c>
      <c r="R58" s="23">
        <f>Domestic!X58+'North America'!X58+Europe!X58+'Asia-Pacific'!X58+'Rest of world'!X58</f>
        <v>0</v>
      </c>
      <c r="S58" s="23">
        <f>Domestic!Y58+Europe!Y58+'Asia-Pacific'!Y58+'Rest of world'!Y58+'North America'!Y58+'Latin America'!Y58</f>
        <v>2</v>
      </c>
      <c r="T58" s="510">
        <f>Domestic!AA58+Europe!AA58+'Asia-Pacific'!AA58+'Rest of world'!AA58+'North America'!AA58+'Latin America'!AA58</f>
        <v>8.6030099999999995E-3</v>
      </c>
      <c r="U58" s="23">
        <f>Domestic!AB58+'North America'!AB58+Europe!AB58+'Asia-Pacific'!AB58+'Rest of world'!AB58</f>
        <v>0</v>
      </c>
      <c r="V58" s="23">
        <f>Domestic!AC58+'North America'!AC58+Europe!AC58+'Asia-Pacific'!AC58+'Rest of world'!AC58</f>
        <v>0</v>
      </c>
      <c r="W58" s="510">
        <f>Domestic!AE58+Europe!AE58+'Asia-Pacific'!AE58+'Rest of world'!AE58+'North America'!AE58+'Latin America'!AE58</f>
        <v>0</v>
      </c>
      <c r="X58" s="23">
        <f>Domestic!AF58+'North America'!AF58+Europe!AF58+'Asia-Pacific'!AF58+'Rest of world'!AF58</f>
        <v>0</v>
      </c>
      <c r="Y58" s="23">
        <f>Domestic!AG58+'North America'!AG58+Europe!AG58+'Asia-Pacific'!AG58+'Rest of world'!AG58</f>
        <v>21</v>
      </c>
      <c r="Z58" s="510">
        <f>Domestic!AI58+Europe!AI58+'Asia-Pacific'!AI58+'Rest of world'!AI58+'North America'!AI58+'Latin America'!AI58</f>
        <v>9.8349173999999998E-2</v>
      </c>
      <c r="AA58" s="23">
        <f>Domestic!AJ58+'North America'!AJ58+Europe!AJ58+'Asia-Pacific'!AJ58+'Rest of world'!AJ58</f>
        <v>0</v>
      </c>
      <c r="AB58" s="23">
        <f>Domestic!AK58+'North America'!AK58+Europe!AK58+'Asia-Pacific'!AK58+'Rest of world'!AK58</f>
        <v>0</v>
      </c>
      <c r="AC58" s="510">
        <f>Domestic!AM58+Europe!AM58+'Asia-Pacific'!AM58+'Rest of world'!AM58+'North America'!AM58+'Latin America'!AM58</f>
        <v>9.4965343999999993E-2</v>
      </c>
      <c r="AD58" s="23">
        <f>Domestic!AN58+'North America'!AN58+Europe!AN58+'Asia-Pacific'!AN58+'Rest of world'!AN58</f>
        <v>0</v>
      </c>
      <c r="AE58" s="23">
        <f>Domestic!AO58+'North America'!AO58+Europe!AO58+'Asia-Pacific'!AO58+'Rest of world'!AO58</f>
        <v>99</v>
      </c>
      <c r="AF58" s="510">
        <f>Domestic!AQ58+Europe!AQ58+'Asia-Pacific'!AQ58+'Rest of world'!AQ58+'North America'!AQ58+'Latin America'!AQ58</f>
        <v>0.50655888300000007</v>
      </c>
      <c r="AG58" s="23">
        <f>Domestic!AR58+'North America'!AR58+Europe!AR58+'Asia-Pacific'!AR58+'Rest of world'!AR58</f>
        <v>0</v>
      </c>
      <c r="AH58" s="23">
        <f>Domestic!AS58+'North America'!AS58+Europe!AS58+'Asia-Pacific'!AS58+'Rest of world'!AS58</f>
        <v>40</v>
      </c>
      <c r="AI58" s="510">
        <f>Domestic!AU58+Europe!AU58+'Asia-Pacific'!AU58+'Rest of world'!AU58+'North America'!AU58+'Latin America'!AU58</f>
        <v>0.19566434545840569</v>
      </c>
      <c r="AJ58" s="23">
        <f>Domestic!AV58+'North America'!AV58+Europe!AV58+'Asia-Pacific'!AV58+'Rest of world'!AV58</f>
        <v>0</v>
      </c>
      <c r="AK58" s="23">
        <f>Domestic!AQ58+Europe!AQ58+'Asia-Pacific'!AQ58+'Rest of world'!AQ58+'North America'!AQ58+'Latin America'!AQ58</f>
        <v>0.50655888300000007</v>
      </c>
      <c r="AL58" s="510">
        <f>Domestic!AY58+Europe!AY58+'Asia-Pacific'!AY58+'Rest of world'!AY58+'North America'!AY58+'Latin America'!AY58</f>
        <v>0</v>
      </c>
      <c r="AM58" s="257">
        <f t="shared" si="71"/>
        <v>0</v>
      </c>
      <c r="AN58" s="257">
        <f t="shared" si="72"/>
        <v>80</v>
      </c>
      <c r="AO58" s="257">
        <f t="shared" si="73"/>
        <v>0.394160116</v>
      </c>
      <c r="AP58" s="257">
        <f t="shared" si="74"/>
        <v>0</v>
      </c>
      <c r="AQ58" s="257">
        <f t="shared" si="75"/>
        <v>5</v>
      </c>
      <c r="AR58" s="257">
        <f t="shared" si="76"/>
        <v>2.6714267999999999E-2</v>
      </c>
      <c r="AS58" s="257">
        <f t="shared" si="77"/>
        <v>0</v>
      </c>
      <c r="AT58" s="257">
        <f t="shared" si="78"/>
        <v>21</v>
      </c>
      <c r="AU58" s="257">
        <f t="shared" si="79"/>
        <v>0.19331451799999999</v>
      </c>
      <c r="AV58" s="257">
        <f t="shared" si="80"/>
        <v>0</v>
      </c>
      <c r="AW58" s="257">
        <f t="shared" si="81"/>
        <v>139.506558883</v>
      </c>
      <c r="AX58" s="257">
        <f t="shared" si="82"/>
        <v>0.70222322845840579</v>
      </c>
      <c r="AY58" s="257">
        <f t="shared" si="83"/>
        <v>0</v>
      </c>
      <c r="AZ58" s="257">
        <f t="shared" si="84"/>
        <v>245.506558883</v>
      </c>
      <c r="BA58" s="257">
        <f t="shared" si="85"/>
        <v>1.3164121304584058</v>
      </c>
      <c r="BB58" s="257">
        <f t="shared" si="86"/>
        <v>0</v>
      </c>
      <c r="BD58" s="23">
        <f t="shared" si="87"/>
        <v>0</v>
      </c>
      <c r="BE58" s="23">
        <f t="shared" si="87"/>
        <v>85</v>
      </c>
      <c r="BF58" s="466">
        <f t="shared" si="88"/>
        <v>0</v>
      </c>
      <c r="BG58" s="509">
        <f>E58+H58+K58+N58+Q58+T58</f>
        <v>0.42087438400000005</v>
      </c>
      <c r="BH58" s="466">
        <f t="shared" si="61"/>
        <v>0</v>
      </c>
    </row>
    <row r="59" spans="1:60" ht="12.6" customHeight="1">
      <c r="A59" s="254" t="s">
        <v>103</v>
      </c>
      <c r="B59" s="510">
        <f t="shared" si="70"/>
        <v>0</v>
      </c>
      <c r="C59" s="23">
        <f>Domestic!D59+'North America'!D59+Europe!D59+'Asia-Pacific'!D59+'Rest of world'!D59+'Latin America'!D59</f>
        <v>0</v>
      </c>
      <c r="D59" s="23">
        <f>Domestic!E59+Europe!E59+'Asia-Pacific'!E59+'Rest of world'!E59+'North America'!E59+'Latin America'!E59</f>
        <v>0</v>
      </c>
      <c r="E59" s="257">
        <f>Domestic!G59+Europe!G59+'Asia-Pacific'!G59+'Rest of world'!G59+'North America'!G59+'Latin America'!G59</f>
        <v>0</v>
      </c>
      <c r="F59" s="23">
        <f>Domestic!H59+'North America'!H59+Europe!H59+'Asia-Pacific'!H59+'Rest of world'!H59+'Latin America'!H59</f>
        <v>0</v>
      </c>
      <c r="G59" s="23">
        <f>Domestic!I59+Europe!I59+'Asia-Pacific'!I59+'Rest of world'!I59+'North America'!I59+'Latin America'!I59</f>
        <v>0</v>
      </c>
      <c r="H59" s="257">
        <f>Domestic!K59+Europe!K59+'Asia-Pacific'!K59+'Rest of world'!K59+'North America'!K59+'Latin America'!K59</f>
        <v>0</v>
      </c>
      <c r="I59" s="23">
        <f>Domestic!L59+'North America'!L59+Europe!L59+'Asia-Pacific'!L59+'Rest of world'!L59+'Latin America'!L59</f>
        <v>0</v>
      </c>
      <c r="J59" s="23">
        <f>Domestic!M59+Europe!M59+'Asia-Pacific'!M59+'Rest of world'!M59+'North America'!M59+'Latin America'!M59</f>
        <v>0</v>
      </c>
      <c r="K59" s="257">
        <f>Domestic!O59+Europe!O59+'Asia-Pacific'!O59+'Rest of world'!O59+'North America'!O59+'Latin America'!O59</f>
        <v>0</v>
      </c>
      <c r="L59" s="23">
        <f>Domestic!P59+'North America'!P59+Europe!P59+'Asia-Pacific'!P59+'Rest of world'!P59+'Latin America'!P59</f>
        <v>0</v>
      </c>
      <c r="M59" s="23">
        <f>Domestic!Q59+Europe!Q59+'Asia-Pacific'!Q59+'Rest of world'!Q59+'North America'!Q59+'Latin America'!Q59</f>
        <v>0</v>
      </c>
      <c r="N59" s="509">
        <f>Domestic!S59+Europe!S59+'Asia-Pacific'!S59+'Rest of world'!S59+'North America'!S59+'Latin America'!S59</f>
        <v>0</v>
      </c>
      <c r="O59" s="23">
        <f>Domestic!T59+'North America'!T59+Europe!T59+'Asia-Pacific'!T59+'Rest of world'!T59+'Latin America'!T59</f>
        <v>0</v>
      </c>
      <c r="P59" s="23">
        <f>Domestic!U59+Europe!U59+'Asia-Pacific'!U59+'Rest of world'!U59+'North America'!U59+'Latin America'!U59</f>
        <v>0</v>
      </c>
      <c r="Q59" s="510">
        <f>Domestic!W59+'North America'!W59+Europe!W59+'Asia-Pacific'!W59+'Rest of world'!W59+'Latin America'!W59</f>
        <v>0</v>
      </c>
      <c r="R59" s="23">
        <f>Domestic!X59+'North America'!X59+Europe!X59+'Asia-Pacific'!X59+'Rest of world'!X59</f>
        <v>0</v>
      </c>
      <c r="S59" s="23">
        <f>Domestic!Y59+Europe!Y59+'Asia-Pacific'!Y59+'Rest of world'!Y59+'North America'!Y59+'Latin America'!Y59</f>
        <v>0</v>
      </c>
      <c r="T59" s="510">
        <f>Domestic!AA59+Europe!AA59+'Asia-Pacific'!AA59+'Rest of world'!AA59+'North America'!AA59+'Latin America'!AA59</f>
        <v>0</v>
      </c>
      <c r="U59" s="23">
        <f>Domestic!AB59+'North America'!AB59+Europe!AB59+'Asia-Pacific'!AB59+'Rest of world'!AB59</f>
        <v>0</v>
      </c>
      <c r="V59" s="23">
        <f>Domestic!AC59+'North America'!AC59+Europe!AC59+'Asia-Pacific'!AC59+'Rest of world'!AC59</f>
        <v>0</v>
      </c>
      <c r="W59" s="510">
        <f>Domestic!AE59+Europe!AE59+'Asia-Pacific'!AE59+'Rest of world'!AE59+'North America'!AE59+'Latin America'!AE59</f>
        <v>0</v>
      </c>
      <c r="X59" s="23">
        <f>Domestic!AF59+'North America'!AF59+Europe!AF59+'Asia-Pacific'!AF59+'Rest of world'!AF59</f>
        <v>0</v>
      </c>
      <c r="Y59" s="23">
        <f>Domestic!AG59+'North America'!AG59+Europe!AG59+'Asia-Pacific'!AG59+'Rest of world'!AG59</f>
        <v>0</v>
      </c>
      <c r="Z59" s="510">
        <f>Domestic!AI59+Europe!AI59+'Asia-Pacific'!AI59+'Rest of world'!AI59+'North America'!AI59+'Latin America'!AI59</f>
        <v>0</v>
      </c>
      <c r="AA59" s="23">
        <f>Domestic!AJ59+'North America'!AJ59+Europe!AJ59+'Asia-Pacific'!AJ59+'Rest of world'!AJ59</f>
        <v>0</v>
      </c>
      <c r="AB59" s="23">
        <f>Domestic!AK59+'North America'!AK59+Europe!AK59+'Asia-Pacific'!AK59+'Rest of world'!AK59</f>
        <v>0</v>
      </c>
      <c r="AC59" s="510">
        <f>Domestic!AM59+Europe!AM59+'Asia-Pacific'!AM59+'Rest of world'!AM59+'North America'!AM59+'Latin America'!AM59</f>
        <v>0</v>
      </c>
      <c r="AD59" s="23">
        <f>Domestic!AN59+'North America'!AN59+Europe!AN59+'Asia-Pacific'!AN59+'Rest of world'!AN59</f>
        <v>0</v>
      </c>
      <c r="AE59" s="23">
        <f>Domestic!AO59+'North America'!AO59+Europe!AO59+'Asia-Pacific'!AO59+'Rest of world'!AO59</f>
        <v>0</v>
      </c>
      <c r="AF59" s="510">
        <f>Domestic!AQ59+Europe!AQ59+'Asia-Pacific'!AQ59+'Rest of world'!AQ59+'North America'!AQ59+'Latin America'!AQ59</f>
        <v>0</v>
      </c>
      <c r="AG59" s="23">
        <f>Domestic!AR59+'North America'!AR59+Europe!AR59+'Asia-Pacific'!AR59+'Rest of world'!AR59</f>
        <v>0</v>
      </c>
      <c r="AH59" s="23">
        <f>Domestic!AS59+'North America'!AS59+Europe!AS59+'Asia-Pacific'!AS59+'Rest of world'!AS59</f>
        <v>0</v>
      </c>
      <c r="AI59" s="510">
        <f>Domestic!AU59+Europe!AU59+'Asia-Pacific'!AU59+'Rest of world'!AU59+'North America'!AU59+'Latin America'!AU59</f>
        <v>0</v>
      </c>
      <c r="AJ59" s="23">
        <f>Domestic!AV59+'North America'!AV59+Europe!AV59+'Asia-Pacific'!AV59+'Rest of world'!AV59</f>
        <v>0</v>
      </c>
      <c r="AK59" s="23">
        <f>Domestic!AQ59+Europe!AQ59+'Asia-Pacific'!AQ59+'Rest of world'!AQ59+'North America'!AQ59+'Latin America'!AQ59</f>
        <v>0</v>
      </c>
      <c r="AL59" s="510">
        <f>Domestic!AY59+Europe!AY59+'Asia-Pacific'!AY59+'Rest of world'!AY59+'North America'!AY59+'Latin America'!AY59</f>
        <v>0</v>
      </c>
      <c r="AM59" s="257">
        <f t="shared" si="71"/>
        <v>0</v>
      </c>
      <c r="AN59" s="257">
        <f t="shared" si="72"/>
        <v>0</v>
      </c>
      <c r="AO59" s="257">
        <f t="shared" si="73"/>
        <v>0</v>
      </c>
      <c r="AP59" s="257">
        <f t="shared" si="74"/>
        <v>0</v>
      </c>
      <c r="AQ59" s="257">
        <f t="shared" si="75"/>
        <v>0</v>
      </c>
      <c r="AR59" s="257">
        <f t="shared" si="76"/>
        <v>0</v>
      </c>
      <c r="AS59" s="257">
        <f t="shared" si="77"/>
        <v>0</v>
      </c>
      <c r="AT59" s="257">
        <f t="shared" si="78"/>
        <v>0</v>
      </c>
      <c r="AU59" s="257">
        <f t="shared" si="79"/>
        <v>0</v>
      </c>
      <c r="AV59" s="257">
        <f t="shared" si="80"/>
        <v>0</v>
      </c>
      <c r="AW59" s="257">
        <f t="shared" si="81"/>
        <v>0</v>
      </c>
      <c r="AX59" s="257">
        <f t="shared" si="82"/>
        <v>0</v>
      </c>
      <c r="AY59" s="257">
        <f t="shared" si="83"/>
        <v>0</v>
      </c>
      <c r="AZ59" s="257">
        <f t="shared" si="84"/>
        <v>0</v>
      </c>
      <c r="BA59" s="257">
        <f t="shared" si="85"/>
        <v>0</v>
      </c>
      <c r="BB59" s="257">
        <f t="shared" si="86"/>
        <v>0</v>
      </c>
      <c r="BD59" s="23">
        <f t="shared" si="87"/>
        <v>0</v>
      </c>
      <c r="BE59" s="23">
        <f t="shared" si="87"/>
        <v>0</v>
      </c>
      <c r="BF59" s="466">
        <f t="shared" si="88"/>
        <v>0</v>
      </c>
      <c r="BG59" s="509">
        <f>E59+H59+K59+N59+Q59+T59</f>
        <v>0</v>
      </c>
      <c r="BH59" s="466">
        <f t="shared" si="61"/>
        <v>0</v>
      </c>
    </row>
    <row r="60" spans="1:60" ht="12.6" customHeight="1">
      <c r="A60" s="254" t="s">
        <v>59</v>
      </c>
      <c r="B60" s="510">
        <f t="shared" si="70"/>
        <v>0</v>
      </c>
      <c r="C60" s="23">
        <f>Domestic!D60+'North America'!D60+Europe!D60+'Asia-Pacific'!D60+'Rest of world'!D60+'Latin America'!D60</f>
        <v>0</v>
      </c>
      <c r="D60" s="23">
        <f>Domestic!E60+Europe!E60+'Asia-Pacific'!E60+'Rest of world'!E60+'North America'!E60+'Latin America'!E60</f>
        <v>0</v>
      </c>
      <c r="E60" s="257">
        <f>Domestic!G60+Europe!G60+'Asia-Pacific'!G60+'Rest of world'!G60+'North America'!G60+'Latin America'!G60</f>
        <v>0</v>
      </c>
      <c r="F60" s="23">
        <f>Domestic!H60+'North America'!H60+Europe!H60+'Asia-Pacific'!H60+'Rest of world'!H60+'Latin America'!H60</f>
        <v>0</v>
      </c>
      <c r="G60" s="23">
        <f>Domestic!I60+Europe!I60+'Asia-Pacific'!I60+'Rest of world'!I60+'North America'!I60+'Latin America'!I60</f>
        <v>0</v>
      </c>
      <c r="H60" s="257">
        <f>Domestic!K60+Europe!K60+'Asia-Pacific'!K60+'Rest of world'!K60+'North America'!K60+'Latin America'!K60</f>
        <v>0</v>
      </c>
      <c r="I60" s="23">
        <f>Domestic!L60+'North America'!L60+Europe!L60+'Asia-Pacific'!L60+'Rest of world'!L60+'Latin America'!L60</f>
        <v>0</v>
      </c>
      <c r="J60" s="23">
        <f>Domestic!M60+Europe!M60+'Asia-Pacific'!M60+'Rest of world'!M60+'North America'!M60+'Latin America'!M60</f>
        <v>0</v>
      </c>
      <c r="K60" s="257">
        <f>Domestic!O60+Europe!O60+'Asia-Pacific'!O60+'Rest of world'!O60+'North America'!O60+'Latin America'!O60</f>
        <v>0</v>
      </c>
      <c r="L60" s="23">
        <f>Domestic!P60+'North America'!P60+Europe!P60+'Asia-Pacific'!P60+'Rest of world'!P60+'Latin America'!P60</f>
        <v>0</v>
      </c>
      <c r="M60" s="23">
        <f>Domestic!Q60+Europe!Q60+'Asia-Pacific'!Q60+'Rest of world'!Q60+'North America'!Q60+'Latin America'!Q60</f>
        <v>0</v>
      </c>
      <c r="N60" s="509">
        <f>Domestic!S60+Europe!S60+'Asia-Pacific'!S60+'Rest of world'!S60+'North America'!S60+'Latin America'!S60</f>
        <v>0</v>
      </c>
      <c r="O60" s="23">
        <f>Domestic!T60+'North America'!T60+Europe!T60+'Asia-Pacific'!T60+'Rest of world'!T60+'Latin America'!T60</f>
        <v>0</v>
      </c>
      <c r="P60" s="23">
        <f>Domestic!U60+Europe!U60+'Asia-Pacific'!U60+'Rest of world'!U60+'North America'!U60+'Latin America'!U60</f>
        <v>0</v>
      </c>
      <c r="Q60" s="510">
        <f>Domestic!W60+'North America'!W60+Europe!W60+'Asia-Pacific'!W60+'Rest of world'!W60+'Latin America'!W60</f>
        <v>0</v>
      </c>
      <c r="R60" s="23">
        <f>Domestic!X60+'North America'!X60+Europe!X60+'Asia-Pacific'!X60+'Rest of world'!X60</f>
        <v>0</v>
      </c>
      <c r="S60" s="23">
        <f>Domestic!Y60+Europe!Y60+'Asia-Pacific'!Y60+'Rest of world'!Y60+'North America'!Y60+'Latin America'!Y60</f>
        <v>0</v>
      </c>
      <c r="T60" s="510">
        <f>Domestic!AA60+Europe!AA60+'Asia-Pacific'!AA60+'Rest of world'!AA60+'North America'!AA60+'Latin America'!AA60</f>
        <v>0</v>
      </c>
      <c r="U60" s="23">
        <f>Domestic!AB60+'North America'!AB60+Europe!AB60+'Asia-Pacific'!AB60+'Rest of world'!AB60</f>
        <v>0</v>
      </c>
      <c r="V60" s="23">
        <f>Domestic!AC60+'North America'!AC60+Europe!AC60+'Asia-Pacific'!AC60+'Rest of world'!AC60</f>
        <v>0</v>
      </c>
      <c r="W60" s="510">
        <f>Domestic!AE60+Europe!AE60+'Asia-Pacific'!AE60+'Rest of world'!AE60+'North America'!AE60+'Latin America'!AE60</f>
        <v>0</v>
      </c>
      <c r="X60" s="23">
        <f>Domestic!AF60+'North America'!AF60+Europe!AF60+'Asia-Pacific'!AF60+'Rest of world'!AF60</f>
        <v>0</v>
      </c>
      <c r="Y60" s="23">
        <f>Domestic!AG60+'North America'!AG60+Europe!AG60+'Asia-Pacific'!AG60+'Rest of world'!AG60</f>
        <v>0</v>
      </c>
      <c r="Z60" s="510">
        <f>Domestic!AI60+Europe!AI60+'Asia-Pacific'!AI60+'Rest of world'!AI60+'North America'!AI60+'Latin America'!AI60</f>
        <v>0</v>
      </c>
      <c r="AA60" s="23">
        <f>Domestic!AJ60+'North America'!AJ60+Europe!AJ60+'Asia-Pacific'!AJ60+'Rest of world'!AJ60</f>
        <v>0</v>
      </c>
      <c r="AB60" s="23">
        <f>Domestic!AK60+'North America'!AK60+Europe!AK60+'Asia-Pacific'!AK60+'Rest of world'!AK60</f>
        <v>0</v>
      </c>
      <c r="AC60" s="510">
        <f>Domestic!AM60+Europe!AM60+'Asia-Pacific'!AM60+'Rest of world'!AM60+'North America'!AM60+'Latin America'!AM60</f>
        <v>0</v>
      </c>
      <c r="AD60" s="23">
        <f>Domestic!AN60+'North America'!AN60+Europe!AN60+'Asia-Pacific'!AN60+'Rest of world'!AN60</f>
        <v>0</v>
      </c>
      <c r="AE60" s="23">
        <f>Domestic!AO60+'North America'!AO60+Europe!AO60+'Asia-Pacific'!AO60+'Rest of world'!AO60</f>
        <v>0</v>
      </c>
      <c r="AF60" s="510">
        <f>Domestic!AQ60+Europe!AQ60+'Asia-Pacific'!AQ60+'Rest of world'!AQ60+'North America'!AQ60+'Latin America'!AQ60</f>
        <v>0</v>
      </c>
      <c r="AG60" s="23">
        <f>Domestic!AR60+'North America'!AR60+Europe!AR60+'Asia-Pacific'!AR60+'Rest of world'!AR60</f>
        <v>0</v>
      </c>
      <c r="AH60" s="23">
        <f>Domestic!AS60+'North America'!AS60+Europe!AS60+'Asia-Pacific'!AS60+'Rest of world'!AS60</f>
        <v>0</v>
      </c>
      <c r="AI60" s="510">
        <f>Domestic!AU60+Europe!AU60+'Asia-Pacific'!AU60+'Rest of world'!AU60+'North America'!AU60+'Latin America'!AU60</f>
        <v>0</v>
      </c>
      <c r="AJ60" s="23">
        <f>Domestic!AV60+'North America'!AV60+Europe!AV60+'Asia-Pacific'!AV60+'Rest of world'!AV60</f>
        <v>0</v>
      </c>
      <c r="AK60" s="23">
        <f>Domestic!AQ60+Europe!AQ60+'Asia-Pacific'!AQ60+'Rest of world'!AQ60+'North America'!AQ60+'Latin America'!AQ60</f>
        <v>0</v>
      </c>
      <c r="AL60" s="510">
        <f>Domestic!AY60+Europe!AY60+'Asia-Pacific'!AY60+'Rest of world'!AY60+'North America'!AY60+'Latin America'!AY60</f>
        <v>0</v>
      </c>
      <c r="AM60" s="257">
        <f t="shared" si="71"/>
        <v>0</v>
      </c>
      <c r="AN60" s="257">
        <f t="shared" si="72"/>
        <v>0</v>
      </c>
      <c r="AO60" s="257">
        <f t="shared" si="73"/>
        <v>0</v>
      </c>
      <c r="AP60" s="257">
        <f t="shared" si="74"/>
        <v>0</v>
      </c>
      <c r="AQ60" s="257">
        <f t="shared" si="75"/>
        <v>0</v>
      </c>
      <c r="AR60" s="257">
        <f t="shared" si="76"/>
        <v>0</v>
      </c>
      <c r="AS60" s="257">
        <f t="shared" si="77"/>
        <v>0</v>
      </c>
      <c r="AT60" s="257">
        <f t="shared" si="78"/>
        <v>0</v>
      </c>
      <c r="AU60" s="257">
        <f t="shared" si="79"/>
        <v>0</v>
      </c>
      <c r="AV60" s="257">
        <f t="shared" si="80"/>
        <v>0</v>
      </c>
      <c r="AW60" s="257">
        <f t="shared" si="81"/>
        <v>0</v>
      </c>
      <c r="AX60" s="257">
        <f t="shared" si="82"/>
        <v>0</v>
      </c>
      <c r="AY60" s="257">
        <f t="shared" si="83"/>
        <v>0</v>
      </c>
      <c r="AZ60" s="257">
        <f t="shared" si="84"/>
        <v>0</v>
      </c>
      <c r="BA60" s="257">
        <f t="shared" si="85"/>
        <v>0</v>
      </c>
      <c r="BB60" s="257">
        <f t="shared" si="86"/>
        <v>0</v>
      </c>
      <c r="BD60" s="23">
        <f t="shared" si="87"/>
        <v>0</v>
      </c>
      <c r="BE60" s="23">
        <f t="shared" si="87"/>
        <v>0</v>
      </c>
      <c r="BF60" s="466">
        <f t="shared" si="88"/>
        <v>0</v>
      </c>
      <c r="BG60" s="509">
        <f>E60+H60+K60+N60+Q60+T60</f>
        <v>0</v>
      </c>
      <c r="BH60" s="466">
        <f t="shared" si="61"/>
        <v>0</v>
      </c>
    </row>
    <row r="61" spans="1:60" ht="12.6" customHeight="1">
      <c r="A61" s="482" t="s">
        <v>0</v>
      </c>
      <c r="B61" s="484">
        <f t="shared" si="70"/>
        <v>15000</v>
      </c>
      <c r="C61" s="457">
        <f t="shared" ref="C61:M61" si="89">SUM(C56:C60)</f>
        <v>1250</v>
      </c>
      <c r="D61" s="457">
        <f t="shared" si="89"/>
        <v>403</v>
      </c>
      <c r="E61" s="458">
        <f t="shared" ref="E61" si="90">SUM(E56:E60)</f>
        <v>1.9845682020000002</v>
      </c>
      <c r="F61" s="457">
        <f t="shared" si="89"/>
        <v>1250</v>
      </c>
      <c r="G61" s="457">
        <f t="shared" si="89"/>
        <v>636</v>
      </c>
      <c r="H61" s="458">
        <f t="shared" ref="H61" si="91">SUM(H56:H60)</f>
        <v>3.0680978309999998</v>
      </c>
      <c r="I61" s="457">
        <f t="shared" si="89"/>
        <v>1250</v>
      </c>
      <c r="J61" s="457">
        <f t="shared" si="89"/>
        <v>642</v>
      </c>
      <c r="K61" s="458">
        <f t="shared" ref="K61" si="92">SUM(K56:K60)</f>
        <v>3.0780936399999996</v>
      </c>
      <c r="L61" s="457">
        <f t="shared" si="89"/>
        <v>1250</v>
      </c>
      <c r="M61" s="457">
        <f t="shared" si="89"/>
        <v>626</v>
      </c>
      <c r="N61" s="458">
        <f t="shared" ref="N61:S61" si="93">SUM(N56:N60)</f>
        <v>2.8945268880000001</v>
      </c>
      <c r="O61" s="457">
        <f t="shared" si="93"/>
        <v>1250</v>
      </c>
      <c r="P61" s="457">
        <f t="shared" si="93"/>
        <v>958</v>
      </c>
      <c r="Q61" s="458">
        <f t="shared" si="93"/>
        <v>4.2433686930000007</v>
      </c>
      <c r="R61" s="457">
        <f t="shared" si="93"/>
        <v>1250</v>
      </c>
      <c r="S61" s="457">
        <f t="shared" si="93"/>
        <v>1057</v>
      </c>
      <c r="T61" s="458">
        <f t="shared" ref="T61:AJ61" si="94">SUM(T56:T60)</f>
        <v>4.469677173</v>
      </c>
      <c r="U61" s="457">
        <f t="shared" si="94"/>
        <v>1250</v>
      </c>
      <c r="V61" s="457">
        <f t="shared" si="94"/>
        <v>433</v>
      </c>
      <c r="W61" s="458">
        <f t="shared" si="94"/>
        <v>1.8988155865127856</v>
      </c>
      <c r="X61" s="457">
        <f t="shared" si="94"/>
        <v>1250</v>
      </c>
      <c r="Y61" s="457">
        <f t="shared" si="94"/>
        <v>493</v>
      </c>
      <c r="Z61" s="458">
        <f t="shared" si="94"/>
        <v>2.2748458796386375</v>
      </c>
      <c r="AA61" s="457">
        <f t="shared" si="94"/>
        <v>1250</v>
      </c>
      <c r="AB61" s="457">
        <f t="shared" si="94"/>
        <v>421</v>
      </c>
      <c r="AC61" s="458">
        <f t="shared" si="94"/>
        <v>2.2059667774997656</v>
      </c>
      <c r="AD61" s="457">
        <f t="shared" si="94"/>
        <v>1250</v>
      </c>
      <c r="AE61" s="457">
        <f t="shared" si="94"/>
        <v>643</v>
      </c>
      <c r="AF61" s="458">
        <f t="shared" si="94"/>
        <v>3.235547999893738</v>
      </c>
      <c r="AG61" s="457">
        <f t="shared" si="94"/>
        <v>1250</v>
      </c>
      <c r="AH61" s="457">
        <f t="shared" si="94"/>
        <v>780</v>
      </c>
      <c r="AI61" s="458">
        <f t="shared" si="94"/>
        <v>3.7841090406520927</v>
      </c>
      <c r="AJ61" s="457">
        <f t="shared" si="94"/>
        <v>1250</v>
      </c>
      <c r="AK61" s="457">
        <f t="shared" ref="AK61" si="95">SUM(AK56:AK60)</f>
        <v>3.235547999893738</v>
      </c>
      <c r="AL61" s="458">
        <f>SUM(AL56:AL60)</f>
        <v>0</v>
      </c>
      <c r="AM61" s="457">
        <f t="shared" ref="AM61:BA61" si="96">SUM(AM56:AM60)</f>
        <v>3750</v>
      </c>
      <c r="AN61" s="457">
        <f t="shared" si="96"/>
        <v>1681</v>
      </c>
      <c r="AO61" s="457">
        <f t="shared" si="96"/>
        <v>8.130759673</v>
      </c>
      <c r="AP61" s="457">
        <f t="shared" si="96"/>
        <v>3750</v>
      </c>
      <c r="AQ61" s="457">
        <f t="shared" si="96"/>
        <v>2641</v>
      </c>
      <c r="AR61" s="457">
        <f t="shared" si="96"/>
        <v>11.607572754</v>
      </c>
      <c r="AS61" s="457">
        <f t="shared" si="96"/>
        <v>3750</v>
      </c>
      <c r="AT61" s="457">
        <f t="shared" si="96"/>
        <v>1347</v>
      </c>
      <c r="AU61" s="457">
        <f t="shared" si="96"/>
        <v>6.3796282436511893</v>
      </c>
      <c r="AV61" s="457">
        <f t="shared" si="96"/>
        <v>3750</v>
      </c>
      <c r="AW61" s="457">
        <f t="shared" si="96"/>
        <v>1426.2355479998937</v>
      </c>
      <c r="AX61" s="457">
        <f t="shared" si="96"/>
        <v>7.0196570405458303</v>
      </c>
      <c r="AY61" s="457">
        <f t="shared" si="96"/>
        <v>15000</v>
      </c>
      <c r="AZ61" s="457">
        <f t="shared" si="96"/>
        <v>7095.2355479998932</v>
      </c>
      <c r="BA61" s="457">
        <f t="shared" si="96"/>
        <v>33.137617711197016</v>
      </c>
      <c r="BB61" s="458">
        <f t="shared" si="86"/>
        <v>0.47301570319999287</v>
      </c>
      <c r="BD61" s="457">
        <f>SUM(BD56:BD60)</f>
        <v>7500</v>
      </c>
      <c r="BE61" s="457">
        <f>SUM(BE56:BE60)</f>
        <v>4322</v>
      </c>
      <c r="BF61" s="467">
        <f t="shared" si="10"/>
        <v>0.5762666666666667</v>
      </c>
      <c r="BG61" s="511">
        <f t="shared" ref="BG61" si="97">SUM(BG56:BG60)</f>
        <v>19.738332427000003</v>
      </c>
      <c r="BH61" s="525">
        <f t="shared" si="61"/>
        <v>0.28813333333333335</v>
      </c>
    </row>
    <row r="62" spans="1:60" ht="12.6" customHeight="1">
      <c r="A62" s="254"/>
      <c r="B62" s="501"/>
      <c r="C62" s="462"/>
      <c r="D62" s="462"/>
      <c r="E62" s="463"/>
      <c r="F62" s="462"/>
      <c r="G62" s="462"/>
      <c r="H62" s="463"/>
      <c r="I62" s="462"/>
      <c r="J62" s="462"/>
      <c r="K62" s="463"/>
      <c r="L62" s="462"/>
      <c r="M62" s="462"/>
      <c r="N62" s="463"/>
      <c r="O62" s="462"/>
      <c r="P62" s="462"/>
      <c r="Q62" s="463"/>
      <c r="R62" s="462"/>
      <c r="S62" s="462"/>
      <c r="T62" s="463"/>
      <c r="U62" s="462"/>
      <c r="V62" s="462"/>
      <c r="W62" s="463"/>
      <c r="X62" s="462"/>
      <c r="Y62" s="462"/>
      <c r="Z62" s="463"/>
      <c r="AA62" s="462"/>
      <c r="AB62" s="462"/>
      <c r="AC62" s="463"/>
      <c r="AD62" s="462"/>
      <c r="AE62" s="462"/>
      <c r="AF62" s="463"/>
      <c r="AG62" s="462"/>
      <c r="AH62" s="462"/>
      <c r="AI62" s="463"/>
      <c r="AJ62" s="462"/>
      <c r="AK62" s="462"/>
      <c r="AL62" s="463"/>
      <c r="AM62" s="463"/>
      <c r="AN62" s="463"/>
      <c r="AO62" s="463"/>
      <c r="AP62" s="463"/>
      <c r="AQ62" s="463"/>
      <c r="AR62" s="463"/>
      <c r="AS62" s="463"/>
      <c r="AT62" s="463"/>
      <c r="AU62" s="463"/>
      <c r="AV62" s="463"/>
      <c r="AW62" s="463"/>
      <c r="AX62" s="463"/>
      <c r="AY62" s="463"/>
      <c r="AZ62" s="463"/>
      <c r="BA62" s="463"/>
      <c r="BB62" s="463"/>
      <c r="BD62" s="462"/>
      <c r="BE62" s="462"/>
      <c r="BF62" s="469">
        <f t="shared" si="10"/>
        <v>0</v>
      </c>
      <c r="BG62" s="529"/>
      <c r="BH62" s="469">
        <f t="shared" si="61"/>
        <v>0</v>
      </c>
    </row>
    <row r="63" spans="1:60" ht="12.6" customHeight="1">
      <c r="A63" s="254" t="s">
        <v>60</v>
      </c>
      <c r="B63" s="510">
        <f>C63+F63+I63+L63+O63+R63+U63+X63+AA63+AD63+AG63+AJ63</f>
        <v>1862</v>
      </c>
      <c r="C63" s="23">
        <f>Domestic!D63+'North America'!D63+Europe!D63+'Asia-Pacific'!D63+'Rest of world'!D63+'Latin America'!D63</f>
        <v>150</v>
      </c>
      <c r="D63" s="23">
        <f>Domestic!E63+Europe!E63+'Asia-Pacific'!E63+'Rest of world'!E63+'North America'!E63+'Latin America'!E63</f>
        <v>176</v>
      </c>
      <c r="E63" s="257">
        <f>Domestic!G63+Europe!G63+'Asia-Pacific'!G63+'Rest of world'!G63+'North America'!G63+'Latin America'!G63</f>
        <v>0.23514427199999999</v>
      </c>
      <c r="F63" s="23">
        <f>Domestic!H63+'North America'!H63+Europe!H63+'Asia-Pacific'!H63+'Rest of world'!H63+'Latin America'!H63</f>
        <v>150</v>
      </c>
      <c r="G63" s="23">
        <f>Domestic!I63+Europe!I63+'Asia-Pacific'!I63+'Rest of world'!I63+'North America'!I63+'Latin America'!I63</f>
        <v>194</v>
      </c>
      <c r="H63" s="257">
        <f>Domestic!K63+Europe!K63+'Asia-Pacific'!K63+'Rest of world'!K63+'North America'!K63+'Latin America'!K63</f>
        <v>0.22651042299999999</v>
      </c>
      <c r="I63" s="23">
        <f>Domestic!L63+'North America'!L63+Europe!L63+'Asia-Pacific'!L63+'Rest of world'!L63+'Latin America'!L63</f>
        <v>150</v>
      </c>
      <c r="J63" s="23">
        <f>Domestic!M63+Europe!M63+'Asia-Pacific'!M63+'Rest of world'!M63+'North America'!M63+'Latin America'!M63</f>
        <v>266</v>
      </c>
      <c r="K63" s="257">
        <f>Domestic!O63+Europe!O63+'Asia-Pacific'!O63+'Rest of world'!O63+'North America'!O63+'Latin America'!O63</f>
        <v>0.45278094400000002</v>
      </c>
      <c r="L63" s="23">
        <f>Domestic!P63+'North America'!P63+Europe!P63+'Asia-Pacific'!P63+'Rest of world'!P63+'Latin America'!P63</f>
        <v>150</v>
      </c>
      <c r="M63" s="23">
        <f>Domestic!Q63+Europe!Q63+'Asia-Pacific'!Q63+'Rest of world'!Q63+'North America'!Q63+'Latin America'!Q63</f>
        <v>286</v>
      </c>
      <c r="N63" s="509">
        <f>Domestic!S63+Europe!S63+'Asia-Pacific'!S63+'Rest of world'!S63+'North America'!S63+'Latin America'!S63</f>
        <v>0.35597848000000004</v>
      </c>
      <c r="O63" s="23">
        <f>Domestic!T63+'North America'!T63+Europe!T63+'Asia-Pacific'!T63+'Rest of world'!T63+'Latin America'!T63</f>
        <v>150</v>
      </c>
      <c r="P63" s="23">
        <f>Domestic!U63+Europe!U63+'Asia-Pacific'!U63+'Rest of world'!U63+'North America'!U63+'Latin America'!U63</f>
        <v>104</v>
      </c>
      <c r="Q63" s="510">
        <f>Domestic!W63+'North America'!W63+Europe!W63+'Asia-Pacific'!W63+'Rest of world'!W63+'Latin America'!W63</f>
        <v>0.16984156800000003</v>
      </c>
      <c r="R63" s="23">
        <f>Domestic!X63+'North America'!X63+Europe!X63+'Asia-Pacific'!X63+'Rest of world'!X63</f>
        <v>150</v>
      </c>
      <c r="S63" s="23">
        <f>Domestic!Y63+Europe!Y63+'Asia-Pacific'!Y63+'Rest of world'!Y63+'North America'!Y63+'Latin America'!Y63</f>
        <v>192</v>
      </c>
      <c r="T63" s="510">
        <f>Domestic!AA63+Europe!AA63+'Asia-Pacific'!AA63+'Rest of world'!AA63+'North America'!AA63+'Latin America'!AA63</f>
        <v>0.27401587199999999</v>
      </c>
      <c r="U63" s="23">
        <f>Domestic!AB63+'North America'!AB63+Europe!AB63+'Asia-Pacific'!AB63+'Rest of world'!AB63</f>
        <v>150</v>
      </c>
      <c r="V63" s="23">
        <f>Domestic!AC63+'North America'!AC63+Europe!AC63+'Asia-Pacific'!AC63+'Rest of world'!AC63</f>
        <v>126</v>
      </c>
      <c r="W63" s="510">
        <f>Domestic!AE63+Europe!AE63+'Asia-Pacific'!AE63+'Rest of world'!AE63+'North America'!AE63+'Latin America'!AE63</f>
        <v>0.18645944716639093</v>
      </c>
      <c r="X63" s="23">
        <f>Domestic!AF63+'North America'!AF63+Europe!AF63+'Asia-Pacific'!AF63+'Rest of world'!AF63</f>
        <v>150</v>
      </c>
      <c r="Y63" s="23">
        <f>Domestic!AG63+'North America'!AG63+Europe!AG63+'Asia-Pacific'!AG63+'Rest of world'!AG63</f>
        <v>104</v>
      </c>
      <c r="Z63" s="510">
        <f>Domestic!AI63+Europe!AI63+'Asia-Pacific'!AI63+'Rest of world'!AI63+'North America'!AI63+'Latin America'!AI63</f>
        <v>0.14392136122638205</v>
      </c>
      <c r="AA63" s="23">
        <f>Domestic!AJ63+'North America'!AJ63+Europe!AJ63+'Asia-Pacific'!AJ63+'Rest of world'!AJ63</f>
        <v>150</v>
      </c>
      <c r="AB63" s="23">
        <f>Domestic!AK63+'North America'!AK63+Europe!AK63+'Asia-Pacific'!AK63+'Rest of world'!AK63</f>
        <v>162</v>
      </c>
      <c r="AC63" s="510">
        <f>Domestic!AM63+Europe!AM63+'Asia-Pacific'!AM63+'Rest of world'!AM63+'North America'!AM63+'Latin America'!AM63</f>
        <v>0.25693510466670594</v>
      </c>
      <c r="AD63" s="23">
        <f>Domestic!AN63+'North America'!AN63+Europe!AN63+'Asia-Pacific'!AN63+'Rest of world'!AN63</f>
        <v>150</v>
      </c>
      <c r="AE63" s="23">
        <f>Domestic!AO63+'North America'!AO63+Europe!AO63+'Asia-Pacific'!AO63+'Rest of world'!AO63</f>
        <v>74</v>
      </c>
      <c r="AF63" s="510">
        <f>Domestic!AQ63+Europe!AQ63+'Asia-Pacific'!AQ63+'Rest of world'!AQ63+'North America'!AQ63+'Latin America'!AQ63</f>
        <v>0.11557386528645647</v>
      </c>
      <c r="AG63" s="23">
        <f>Domestic!AR63+'North America'!AR63+Europe!AR63+'Asia-Pacific'!AR63+'Rest of world'!AR63</f>
        <v>150</v>
      </c>
      <c r="AH63" s="23">
        <f>Domestic!AS63+'North America'!AS63+Europe!AS63+'Asia-Pacific'!AS63+'Rest of world'!AS63</f>
        <v>221</v>
      </c>
      <c r="AI63" s="510">
        <f>Domestic!AU63+Europe!AU63+'Asia-Pacific'!AU63+'Rest of world'!AU63+'North America'!AU63+'Latin America'!AU63</f>
        <v>0.35961228105527593</v>
      </c>
      <c r="AJ63" s="23">
        <f>Domestic!AV63+'North America'!AV63+Europe!AV63+'Asia-Pacific'!AV63+'Rest of world'!AV63</f>
        <v>212</v>
      </c>
      <c r="AK63" s="23">
        <f>Domestic!AQ63+Europe!AQ63+'Asia-Pacific'!AQ63+'Rest of world'!AQ63+'North America'!AQ63+'Latin America'!AQ63</f>
        <v>0.11557386528645647</v>
      </c>
      <c r="AL63" s="510">
        <f>Domestic!AY63+Europe!AY63+'Asia-Pacific'!AY63+'Rest of world'!AY63+'North America'!AY63+'Latin America'!AY63</f>
        <v>0</v>
      </c>
      <c r="AM63" s="257">
        <f t="shared" ref="AM63:AM64" si="98">(C63+F63+I63)</f>
        <v>450</v>
      </c>
      <c r="AN63" s="257">
        <f t="shared" ref="AN63:AN64" si="99">(D63+G63+J63)</f>
        <v>636</v>
      </c>
      <c r="AO63" s="257">
        <f t="shared" ref="AO63:AO64" si="100">(E63+H63+K63)</f>
        <v>0.91443563900000002</v>
      </c>
      <c r="AP63" s="257">
        <f t="shared" ref="AP63:AP64" si="101">(L63+O63+R63)</f>
        <v>450</v>
      </c>
      <c r="AQ63" s="257">
        <f t="shared" ref="AQ63:AQ64" si="102">(M63+P63+S63)</f>
        <v>582</v>
      </c>
      <c r="AR63" s="257">
        <f t="shared" ref="AR63:AR64" si="103">(N63+Q63+T63)</f>
        <v>0.79983592000000003</v>
      </c>
      <c r="AS63" s="257">
        <f t="shared" ref="AS63:AS64" si="104">(U63+X63+AA63)</f>
        <v>450</v>
      </c>
      <c r="AT63" s="257">
        <f t="shared" ref="AT63:AT64" si="105">(V63+Y63+AB63)</f>
        <v>392</v>
      </c>
      <c r="AU63" s="257">
        <f t="shared" ref="AU63:AU64" si="106">(W63+Z63+AC63)</f>
        <v>0.58731591305947894</v>
      </c>
      <c r="AV63" s="257">
        <f t="shared" ref="AV63:AV64" si="107">(AD63+AG63+AJ63)</f>
        <v>512</v>
      </c>
      <c r="AW63" s="257">
        <f t="shared" ref="AW63:AW64" si="108">(AE63+AH63+AK63)</f>
        <v>295.11557386528648</v>
      </c>
      <c r="AX63" s="257">
        <f t="shared" ref="AX63:AX64" si="109">(AF63+AI63+AL63)</f>
        <v>0.4751861463417324</v>
      </c>
      <c r="AY63" s="257">
        <f t="shared" ref="AY63:AY64" si="110">AM63+AP63+AS63+AV63</f>
        <v>1862</v>
      </c>
      <c r="AZ63" s="257">
        <f t="shared" ref="AZ63:AZ64" si="111">AN63+AQ63+AT63+AW63</f>
        <v>1905.1155738652865</v>
      </c>
      <c r="BA63" s="257">
        <f t="shared" ref="BA63:BA64" si="112">AO63+AR63+AU63+AX63</f>
        <v>2.7767736184012115</v>
      </c>
      <c r="BB63" s="257">
        <f t="shared" ref="BB63:BB67" si="113">IFERROR(AZ63/AY63,0)</f>
        <v>1.0231555176505298</v>
      </c>
      <c r="BD63" s="23">
        <f>C63+F63+I63+L63+O63+R63</f>
        <v>900</v>
      </c>
      <c r="BE63" s="23">
        <f>D63+G63+J63+M63+P63+S63</f>
        <v>1218</v>
      </c>
      <c r="BF63" s="466">
        <f t="shared" ref="BF63:BF64" si="114">IFERROR(BE63/BD63,0)</f>
        <v>1.3533333333333333</v>
      </c>
      <c r="BG63" s="509">
        <f>E63+H63+K63+N63+Q63+T63</f>
        <v>1.7142715590000002</v>
      </c>
      <c r="BH63" s="466">
        <f t="shared" si="61"/>
        <v>0.65413533834586468</v>
      </c>
    </row>
    <row r="64" spans="1:60" ht="12.6" customHeight="1">
      <c r="A64" s="254" t="s">
        <v>61</v>
      </c>
      <c r="B64" s="510">
        <f>C64+F64+I64+L64+O64+R64+U64+X64+AA64+AD64+AG64+AJ64</f>
        <v>5266</v>
      </c>
      <c r="C64" s="23">
        <f>Domestic!D64+'North America'!D64+Europe!D64+'Asia-Pacific'!D64+'Rest of world'!D64+'Latin America'!D64</f>
        <v>425</v>
      </c>
      <c r="D64" s="23">
        <f>Domestic!E64+Europe!E64+'Asia-Pacific'!E64+'Rest of world'!E64+'North America'!E64+'Latin America'!E64</f>
        <v>162</v>
      </c>
      <c r="E64" s="257">
        <f>Domestic!G64+Europe!G64+'Asia-Pacific'!G64+'Rest of world'!G64+'North America'!G64+'Latin America'!G64</f>
        <v>0.11489605380000002</v>
      </c>
      <c r="F64" s="23">
        <f>Domestic!H64+'North America'!H64+Europe!H64+'Asia-Pacific'!H64+'Rest of world'!H64+'Latin America'!H64</f>
        <v>425</v>
      </c>
      <c r="G64" s="23">
        <f>Domestic!I64+Europe!I64+'Asia-Pacific'!I64+'Rest of world'!I64+'North America'!I64+'Latin America'!I64</f>
        <v>307</v>
      </c>
      <c r="H64" s="257">
        <f>Domestic!K64+Europe!K64+'Asia-Pacific'!K64+'Rest of world'!K64+'North America'!K64+'Latin America'!K64</f>
        <v>0.30729889519999998</v>
      </c>
      <c r="I64" s="23">
        <f>Domestic!L64+'North America'!L64+Europe!L64+'Asia-Pacific'!L64+'Rest of world'!L64+'Latin America'!L64</f>
        <v>475</v>
      </c>
      <c r="J64" s="23">
        <f>Domestic!M64+Europe!M64+'Asia-Pacific'!M64+'Rest of world'!M64+'North America'!M64+'Latin America'!M64</f>
        <v>167</v>
      </c>
      <c r="K64" s="257">
        <f>Domestic!O64+Europe!O64+'Asia-Pacific'!O64+'Rest of world'!O64+'North America'!O64+'Latin America'!O64</f>
        <v>0.22392869679999999</v>
      </c>
      <c r="L64" s="23">
        <f>Domestic!P64+'North America'!P64+Europe!P64+'Asia-Pacific'!P64+'Rest of world'!P64+'Latin America'!P64</f>
        <v>425</v>
      </c>
      <c r="M64" s="23">
        <f>Domestic!Q64+Europe!Q64+'Asia-Pacific'!Q64+'Rest of world'!Q64+'North America'!Q64+'Latin America'!Q64</f>
        <v>226</v>
      </c>
      <c r="N64" s="509">
        <f>Domestic!S64+Europe!S64+'Asia-Pacific'!S64+'Rest of world'!S64+'North America'!S64+'Latin America'!S64</f>
        <v>0.31322876799999999</v>
      </c>
      <c r="O64" s="23">
        <f>Domestic!T64+'North America'!T64+Europe!T64+'Asia-Pacific'!T64+'Rest of world'!T64+'Latin America'!T64</f>
        <v>425</v>
      </c>
      <c r="P64" s="23">
        <f>Domestic!U64+Europe!U64+'Asia-Pacific'!U64+'Rest of world'!U64+'North America'!U64+'Latin America'!U64</f>
        <v>401</v>
      </c>
      <c r="Q64" s="510">
        <f>Domestic!W64+'North America'!W64+Europe!W64+'Asia-Pacific'!W64+'Rest of world'!W64+'Latin America'!W64</f>
        <v>0.53946249300000004</v>
      </c>
      <c r="R64" s="23">
        <f>Domestic!X64+'North America'!X64+Europe!X64+'Asia-Pacific'!X64+'Rest of world'!X64</f>
        <v>475</v>
      </c>
      <c r="S64" s="23">
        <f>Domestic!Y64+Europe!Y64+'Asia-Pacific'!Y64+'Rest of world'!Y64+'North America'!Y64+'Latin America'!Y64</f>
        <v>569</v>
      </c>
      <c r="T64" s="510">
        <f>Domestic!AA64+Europe!AA64+'Asia-Pacific'!AA64+'Rest of world'!AA64+'North America'!AA64+'Latin America'!AA64</f>
        <v>0.94487058900000009</v>
      </c>
      <c r="U64" s="23">
        <f>Domestic!AB64+'North America'!AB64+Europe!AB64+'Asia-Pacific'!AB64+'Rest of world'!AB64</f>
        <v>425</v>
      </c>
      <c r="V64" s="23">
        <f>Domestic!AC64+'North America'!AC64+Europe!AC64+'Asia-Pacific'!AC64+'Rest of world'!AC64</f>
        <v>284</v>
      </c>
      <c r="W64" s="510">
        <f>Domestic!AE64+Europe!AE64+'Asia-Pacific'!AE64+'Rest of world'!AE64+'North America'!AE64+'Latin America'!AE64</f>
        <v>0.43945288081176986</v>
      </c>
      <c r="X64" s="23">
        <f>Domestic!AF64+'North America'!AF64+Europe!AF64+'Asia-Pacific'!AF64+'Rest of world'!AF64</f>
        <v>425</v>
      </c>
      <c r="Y64" s="23">
        <f>Domestic!AG64+'North America'!AG64+Europe!AG64+'Asia-Pacific'!AG64+'Rest of world'!AG64</f>
        <v>467</v>
      </c>
      <c r="Z64" s="510">
        <f>Domestic!AI64+Europe!AI64+'Asia-Pacific'!AI64+'Rest of world'!AI64+'North America'!AI64+'Latin America'!AI64</f>
        <v>0.75331082298893326</v>
      </c>
      <c r="AA64" s="23">
        <f>Domestic!AJ64+'North America'!AJ64+Europe!AJ64+'Asia-Pacific'!AJ64+'Rest of world'!AJ64</f>
        <v>475</v>
      </c>
      <c r="AB64" s="23">
        <f>Domestic!AK64+'North America'!AK64+Europe!AK64+'Asia-Pacific'!AK64+'Rest of world'!AK64</f>
        <v>358</v>
      </c>
      <c r="AC64" s="510">
        <f>Domestic!AM64+Europe!AM64+'Asia-Pacific'!AM64+'Rest of world'!AM64+'North America'!AM64+'Latin America'!AM64</f>
        <v>0.56592006347877122</v>
      </c>
      <c r="AD64" s="23">
        <f>Domestic!AN64+'North America'!AN64+Europe!AN64+'Asia-Pacific'!AN64+'Rest of world'!AN64</f>
        <v>425</v>
      </c>
      <c r="AE64" s="23">
        <f>Domestic!AO64+'North America'!AO64+Europe!AO64+'Asia-Pacific'!AO64+'Rest of world'!AO64</f>
        <v>132</v>
      </c>
      <c r="AF64" s="510">
        <f>Domestic!AQ64+Europe!AQ64+'Asia-Pacific'!AQ64+'Rest of world'!AQ64+'North America'!AQ64+'Latin America'!AQ64</f>
        <v>0.21696994851164586</v>
      </c>
      <c r="AG64" s="23">
        <f>Domestic!AR64+'North America'!AR64+Europe!AR64+'Asia-Pacific'!AR64+'Rest of world'!AR64</f>
        <v>425</v>
      </c>
      <c r="AH64" s="23">
        <f>Domestic!AS64+'North America'!AS64+Europe!AS64+'Asia-Pacific'!AS64+'Rest of world'!AS64</f>
        <v>338</v>
      </c>
      <c r="AI64" s="510">
        <f>Domestic!AU64+Europe!AU64+'Asia-Pacific'!AU64+'Rest of world'!AU64+'North America'!AU64+'Latin America'!AU64</f>
        <v>0.59445684490002959</v>
      </c>
      <c r="AJ64" s="23">
        <f>Domestic!AV64+'North America'!AV64+Europe!AV64+'Asia-Pacific'!AV64+'Rest of world'!AV64</f>
        <v>441</v>
      </c>
      <c r="AK64" s="23">
        <f>Domestic!AQ64+Europe!AQ64+'Asia-Pacific'!AQ64+'Rest of world'!AQ64+'North America'!AQ64+'Latin America'!AQ64</f>
        <v>0.21696994851164586</v>
      </c>
      <c r="AL64" s="510">
        <f>Domestic!AY64+Europe!AY64+'Asia-Pacific'!AY64+'Rest of world'!AY64+'North America'!AY64+'Latin America'!AY64</f>
        <v>0</v>
      </c>
      <c r="AM64" s="257">
        <f t="shared" si="98"/>
        <v>1325</v>
      </c>
      <c r="AN64" s="257">
        <f t="shared" si="99"/>
        <v>636</v>
      </c>
      <c r="AO64" s="257">
        <f t="shared" si="100"/>
        <v>0.64612364579999992</v>
      </c>
      <c r="AP64" s="257">
        <f t="shared" si="101"/>
        <v>1325</v>
      </c>
      <c r="AQ64" s="257">
        <f t="shared" si="102"/>
        <v>1196</v>
      </c>
      <c r="AR64" s="257">
        <f t="shared" si="103"/>
        <v>1.7975618500000001</v>
      </c>
      <c r="AS64" s="257">
        <f t="shared" si="104"/>
        <v>1325</v>
      </c>
      <c r="AT64" s="257">
        <f t="shared" si="105"/>
        <v>1109</v>
      </c>
      <c r="AU64" s="257">
        <f t="shared" si="106"/>
        <v>1.7586837672794742</v>
      </c>
      <c r="AV64" s="257">
        <f t="shared" si="107"/>
        <v>1291</v>
      </c>
      <c r="AW64" s="257">
        <f t="shared" si="108"/>
        <v>470.21696994851163</v>
      </c>
      <c r="AX64" s="257">
        <f t="shared" si="109"/>
        <v>0.81142679341167545</v>
      </c>
      <c r="AY64" s="257">
        <f t="shared" si="110"/>
        <v>5266</v>
      </c>
      <c r="AZ64" s="257">
        <f t="shared" si="111"/>
        <v>3411.2169699485116</v>
      </c>
      <c r="BA64" s="257">
        <f t="shared" si="112"/>
        <v>5.0137960564911488</v>
      </c>
      <c r="BB64" s="257">
        <f t="shared" si="113"/>
        <v>0.64778142232216329</v>
      </c>
      <c r="BD64" s="23">
        <f>C64+F64+I64+L64+O64+R64</f>
        <v>2650</v>
      </c>
      <c r="BE64" s="23">
        <f>D64+G64+J64+M64+P64+S64</f>
        <v>1832</v>
      </c>
      <c r="BF64" s="466">
        <f t="shared" si="114"/>
        <v>0.69132075471698118</v>
      </c>
      <c r="BG64" s="509">
        <f>E64+H64+K64+N64+Q64+T64</f>
        <v>2.4436854958000001</v>
      </c>
      <c r="BH64" s="466">
        <f t="shared" si="61"/>
        <v>0.34789213824534754</v>
      </c>
    </row>
    <row r="65" spans="1:60" ht="12.6" customHeight="1">
      <c r="A65" s="482" t="s">
        <v>104</v>
      </c>
      <c r="B65" s="484">
        <f>C65+F65+I65+L65+O65+R65+U65+X65+AA65+AD65+AG65+AJ65</f>
        <v>7128</v>
      </c>
      <c r="C65" s="457">
        <f t="shared" ref="C65:L65" si="115">SUM(C63:C64)</f>
        <v>575</v>
      </c>
      <c r="D65" s="457">
        <f t="shared" si="115"/>
        <v>338</v>
      </c>
      <c r="E65" s="458">
        <f t="shared" ref="E65" si="116">SUM(E63:E64)</f>
        <v>0.3500403258</v>
      </c>
      <c r="F65" s="457">
        <f t="shared" si="115"/>
        <v>575</v>
      </c>
      <c r="G65" s="457">
        <f t="shared" si="115"/>
        <v>501</v>
      </c>
      <c r="H65" s="458">
        <f t="shared" ref="H65" si="117">SUM(H63:H64)</f>
        <v>0.53380931819999999</v>
      </c>
      <c r="I65" s="457">
        <f t="shared" si="115"/>
        <v>625</v>
      </c>
      <c r="J65" s="457">
        <f t="shared" si="115"/>
        <v>433</v>
      </c>
      <c r="K65" s="458">
        <f t="shared" ref="K65" si="118">SUM(K63:K64)</f>
        <v>0.67670964079999996</v>
      </c>
      <c r="L65" s="457">
        <f t="shared" si="115"/>
        <v>575</v>
      </c>
      <c r="M65" s="457">
        <f t="shared" ref="M65" si="119">SUM(M63:M64)</f>
        <v>512</v>
      </c>
      <c r="N65" s="458">
        <f t="shared" ref="N65:R65" si="120">SUM(N63:N64)</f>
        <v>0.66920724799999998</v>
      </c>
      <c r="O65" s="457">
        <f t="shared" si="120"/>
        <v>575</v>
      </c>
      <c r="P65" s="457">
        <f t="shared" si="120"/>
        <v>505</v>
      </c>
      <c r="Q65" s="458">
        <f t="shared" si="120"/>
        <v>0.7093040610000001</v>
      </c>
      <c r="R65" s="457">
        <f t="shared" si="120"/>
        <v>625</v>
      </c>
      <c r="S65" s="457">
        <f t="shared" ref="S65" si="121">SUM(S63:S64)</f>
        <v>761</v>
      </c>
      <c r="T65" s="458">
        <f t="shared" ref="T65:AJ65" si="122">SUM(T63:T64)</f>
        <v>1.2188864610000001</v>
      </c>
      <c r="U65" s="457">
        <f t="shared" si="122"/>
        <v>575</v>
      </c>
      <c r="V65" s="457">
        <f t="shared" si="122"/>
        <v>410</v>
      </c>
      <c r="W65" s="458">
        <f t="shared" si="122"/>
        <v>0.62591232797816077</v>
      </c>
      <c r="X65" s="457">
        <f t="shared" si="122"/>
        <v>575</v>
      </c>
      <c r="Y65" s="457">
        <f t="shared" si="122"/>
        <v>571</v>
      </c>
      <c r="Z65" s="458">
        <f t="shared" si="122"/>
        <v>0.89723218421531525</v>
      </c>
      <c r="AA65" s="457">
        <f t="shared" si="122"/>
        <v>625</v>
      </c>
      <c r="AB65" s="457">
        <f t="shared" si="122"/>
        <v>520</v>
      </c>
      <c r="AC65" s="458">
        <f t="shared" si="122"/>
        <v>0.82285516814547721</v>
      </c>
      <c r="AD65" s="457">
        <f t="shared" si="122"/>
        <v>575</v>
      </c>
      <c r="AE65" s="457">
        <f t="shared" si="122"/>
        <v>206</v>
      </c>
      <c r="AF65" s="458">
        <f t="shared" si="122"/>
        <v>0.33254381379810233</v>
      </c>
      <c r="AG65" s="457">
        <f t="shared" si="122"/>
        <v>575</v>
      </c>
      <c r="AH65" s="457">
        <f t="shared" si="122"/>
        <v>559</v>
      </c>
      <c r="AI65" s="458">
        <f t="shared" si="122"/>
        <v>0.95406912595530557</v>
      </c>
      <c r="AJ65" s="457">
        <f t="shared" si="122"/>
        <v>653</v>
      </c>
      <c r="AK65" s="457">
        <f t="shared" ref="AK65:BA65" si="123">SUM(AK63:AK64)</f>
        <v>0.33254381379810233</v>
      </c>
      <c r="AL65" s="458">
        <f>SUM(AL63:AL64)</f>
        <v>0</v>
      </c>
      <c r="AM65" s="457">
        <f t="shared" si="123"/>
        <v>1775</v>
      </c>
      <c r="AN65" s="457">
        <f t="shared" si="123"/>
        <v>1272</v>
      </c>
      <c r="AO65" s="457">
        <f t="shared" si="123"/>
        <v>1.5605592848000001</v>
      </c>
      <c r="AP65" s="457">
        <f t="shared" si="123"/>
        <v>1775</v>
      </c>
      <c r="AQ65" s="457">
        <f t="shared" si="123"/>
        <v>1778</v>
      </c>
      <c r="AR65" s="457">
        <f t="shared" si="123"/>
        <v>2.5973977700000002</v>
      </c>
      <c r="AS65" s="457">
        <f t="shared" si="123"/>
        <v>1775</v>
      </c>
      <c r="AT65" s="457">
        <f t="shared" si="123"/>
        <v>1501</v>
      </c>
      <c r="AU65" s="457">
        <f t="shared" si="123"/>
        <v>2.3459996803389531</v>
      </c>
      <c r="AV65" s="457">
        <f t="shared" si="123"/>
        <v>1803</v>
      </c>
      <c r="AW65" s="457">
        <f t="shared" si="123"/>
        <v>765.33254381379811</v>
      </c>
      <c r="AX65" s="457">
        <f t="shared" si="123"/>
        <v>1.2866129397534078</v>
      </c>
      <c r="AY65" s="457">
        <f t="shared" si="123"/>
        <v>7128</v>
      </c>
      <c r="AZ65" s="457">
        <f t="shared" si="123"/>
        <v>5316.3325438137981</v>
      </c>
      <c r="BA65" s="457">
        <f t="shared" si="123"/>
        <v>7.7905696748923603</v>
      </c>
      <c r="BB65" s="458">
        <f t="shared" si="113"/>
        <v>0.74583789896377639</v>
      </c>
      <c r="BD65" s="457">
        <f>SUM(BD63:BD64)</f>
        <v>3550</v>
      </c>
      <c r="BE65" s="457">
        <f>SUM(BE63:BE64)</f>
        <v>3050</v>
      </c>
      <c r="BF65" s="467">
        <f t="shared" si="10"/>
        <v>0.85915492957746475</v>
      </c>
      <c r="BG65" s="530">
        <f t="shared" ref="BG65" si="124">SUM(BG63:BG64)</f>
        <v>4.1579570548000007</v>
      </c>
      <c r="BH65" s="525">
        <f t="shared" si="61"/>
        <v>0.42789001122334458</v>
      </c>
    </row>
    <row r="66" spans="1:60" ht="12.6" customHeight="1">
      <c r="A66" s="254"/>
      <c r="B66" s="462"/>
      <c r="C66" s="462"/>
      <c r="D66" s="462"/>
      <c r="E66" s="463"/>
      <c r="F66" s="462"/>
      <c r="G66" s="462"/>
      <c r="H66" s="463"/>
      <c r="I66" s="462"/>
      <c r="J66" s="462"/>
      <c r="K66" s="463"/>
      <c r="L66" s="462"/>
      <c r="M66" s="462"/>
      <c r="N66" s="463"/>
      <c r="O66" s="462"/>
      <c r="P66" s="462"/>
      <c r="Q66" s="463"/>
      <c r="R66" s="462"/>
      <c r="S66" s="462"/>
      <c r="T66" s="463"/>
      <c r="U66" s="462"/>
      <c r="V66" s="462"/>
      <c r="W66" s="463"/>
      <c r="X66" s="462"/>
      <c r="Y66" s="462"/>
      <c r="Z66" s="463"/>
      <c r="AA66" s="462"/>
      <c r="AB66" s="462"/>
      <c r="AC66" s="463"/>
      <c r="AD66" s="462"/>
      <c r="AE66" s="462"/>
      <c r="AF66" s="463"/>
      <c r="AG66" s="462"/>
      <c r="AH66" s="462"/>
      <c r="AI66" s="463"/>
      <c r="AJ66" s="462"/>
      <c r="AK66" s="462"/>
      <c r="AL66" s="463"/>
      <c r="AM66" s="463"/>
      <c r="AN66" s="463"/>
      <c r="AO66" s="463"/>
      <c r="AP66" s="463"/>
      <c r="AQ66" s="463"/>
      <c r="AR66" s="463"/>
      <c r="AS66" s="463"/>
      <c r="AT66" s="463"/>
      <c r="AU66" s="463"/>
      <c r="AV66" s="463"/>
      <c r="AW66" s="463"/>
      <c r="AX66" s="463"/>
      <c r="AY66" s="463"/>
      <c r="AZ66" s="463"/>
      <c r="BA66" s="463"/>
      <c r="BB66" s="463"/>
      <c r="BD66" s="462"/>
      <c r="BE66" s="462"/>
      <c r="BF66" s="469">
        <f t="shared" si="10"/>
        <v>0</v>
      </c>
      <c r="BG66" s="531"/>
      <c r="BH66" s="469">
        <f t="shared" si="61"/>
        <v>0</v>
      </c>
    </row>
    <row r="67" spans="1:60" ht="12.6" customHeight="1">
      <c r="A67" s="482" t="s">
        <v>82</v>
      </c>
      <c r="B67" s="457">
        <f>B24+B54+B61</f>
        <v>159496</v>
      </c>
      <c r="C67" s="457">
        <f t="shared" ref="C67:M67" si="125">C24+C54+C61</f>
        <v>10265</v>
      </c>
      <c r="D67" s="457">
        <f t="shared" si="125"/>
        <v>6283</v>
      </c>
      <c r="E67" s="458">
        <f t="shared" ref="E67" si="126">E24+E54+E61</f>
        <v>33.213979432242851</v>
      </c>
      <c r="F67" s="457">
        <f t="shared" si="125"/>
        <v>12436</v>
      </c>
      <c r="G67" s="457">
        <f t="shared" si="125"/>
        <v>10144</v>
      </c>
      <c r="H67" s="458">
        <f t="shared" ref="H67" si="127">H24+H54+H61</f>
        <v>47.279703037242868</v>
      </c>
      <c r="I67" s="457">
        <f t="shared" si="125"/>
        <v>12529</v>
      </c>
      <c r="J67" s="457">
        <f t="shared" si="125"/>
        <v>8766</v>
      </c>
      <c r="K67" s="458">
        <f t="shared" ref="K67" si="128">K24+K54+K61</f>
        <v>41.202020180571424</v>
      </c>
      <c r="L67" s="457">
        <f t="shared" si="125"/>
        <v>14127</v>
      </c>
      <c r="M67" s="457">
        <f t="shared" si="125"/>
        <v>9482</v>
      </c>
      <c r="N67" s="458">
        <f t="shared" ref="N67:R67" si="129">N24+N54+N61</f>
        <v>49.75194366859661</v>
      </c>
      <c r="O67" s="457">
        <f t="shared" si="129"/>
        <v>13016</v>
      </c>
      <c r="P67" s="457">
        <f t="shared" si="129"/>
        <v>9047</v>
      </c>
      <c r="Q67" s="458">
        <f t="shared" si="129"/>
        <v>46.697951073385717</v>
      </c>
      <c r="R67" s="457">
        <f t="shared" si="129"/>
        <v>14573</v>
      </c>
      <c r="S67" s="457">
        <f t="shared" ref="S67" ca="1" si="130">S24+S54+S61</f>
        <v>8992</v>
      </c>
      <c r="T67" s="458">
        <f t="shared" ref="T67:AJ67" ca="1" si="131">T24+T54+T61</f>
        <v>55.135995155385714</v>
      </c>
      <c r="U67" s="457">
        <f t="shared" si="131"/>
        <v>13595</v>
      </c>
      <c r="V67" s="457">
        <f t="shared" si="131"/>
        <v>8051</v>
      </c>
      <c r="W67" s="458">
        <f t="shared" si="131"/>
        <v>47.294007162661089</v>
      </c>
      <c r="X67" s="457">
        <f t="shared" si="131"/>
        <v>14482</v>
      </c>
      <c r="Y67" s="457">
        <f t="shared" si="131"/>
        <v>6389</v>
      </c>
      <c r="Z67" s="458">
        <f t="shared" si="131"/>
        <v>30.588414598464443</v>
      </c>
      <c r="AA67" s="457">
        <f t="shared" si="131"/>
        <v>14071</v>
      </c>
      <c r="AB67" s="457">
        <f t="shared" si="131"/>
        <v>6432</v>
      </c>
      <c r="AC67" s="458">
        <f t="shared" si="131"/>
        <v>38.843283106109382</v>
      </c>
      <c r="AD67" s="457">
        <f t="shared" si="131"/>
        <v>13548</v>
      </c>
      <c r="AE67" s="457">
        <f t="shared" si="131"/>
        <v>8419</v>
      </c>
      <c r="AF67" s="458">
        <f t="shared" si="131"/>
        <v>52.871127453772161</v>
      </c>
      <c r="AG67" s="457">
        <f t="shared" si="131"/>
        <v>14712</v>
      </c>
      <c r="AH67" s="457">
        <f t="shared" si="131"/>
        <v>7616</v>
      </c>
      <c r="AI67" s="458">
        <f t="shared" si="131"/>
        <v>38.308022583533244</v>
      </c>
      <c r="AJ67" s="457">
        <f t="shared" si="131"/>
        <v>12142</v>
      </c>
      <c r="AK67" s="457">
        <f t="shared" ref="AK67" si="132">AK24+AK54+AK61</f>
        <v>52.871127453772161</v>
      </c>
      <c r="AL67" s="458">
        <f ca="1">AL24+AL54+AL61</f>
        <v>0</v>
      </c>
      <c r="AM67" s="457">
        <f t="shared" ref="AM67:AX67" si="133">SUM(AM49:AM66)</f>
        <v>26922</v>
      </c>
      <c r="AN67" s="457">
        <f t="shared" si="133"/>
        <v>17212</v>
      </c>
      <c r="AO67" s="457">
        <f t="shared" si="133"/>
        <v>84.735872092828572</v>
      </c>
      <c r="AP67" s="457">
        <f t="shared" si="133"/>
        <v>27303</v>
      </c>
      <c r="AQ67" s="457">
        <f t="shared" si="133"/>
        <v>17797</v>
      </c>
      <c r="AR67" s="457">
        <f t="shared" si="133"/>
        <v>93.907502339400011</v>
      </c>
      <c r="AS67" s="457">
        <f t="shared" si="133"/>
        <v>28723</v>
      </c>
      <c r="AT67" s="457">
        <f t="shared" si="133"/>
        <v>12064</v>
      </c>
      <c r="AU67" s="457">
        <f t="shared" si="133"/>
        <v>80.559694178405607</v>
      </c>
      <c r="AV67" s="457">
        <f t="shared" si="133"/>
        <v>28884</v>
      </c>
      <c r="AW67" s="457">
        <f t="shared" si="133"/>
        <v>9689.7803991392084</v>
      </c>
      <c r="AX67" s="457">
        <f t="shared" si="133"/>
        <v>69.485845027405617</v>
      </c>
      <c r="AY67" s="458">
        <f>AY24+AY54+AY61</f>
        <v>159496</v>
      </c>
      <c r="AZ67" s="458">
        <f t="shared" ref="AZ67:BA67" ca="1" si="134">AZ24+AZ54+AZ61</f>
        <v>89673.871127453764</v>
      </c>
      <c r="BA67" s="458">
        <f t="shared" ca="1" si="134"/>
        <v>481.18644745196553</v>
      </c>
      <c r="BB67" s="458">
        <f t="shared" ca="1" si="113"/>
        <v>0.56223272763864773</v>
      </c>
      <c r="BD67" s="457">
        <f>BD24+BD54+BD61</f>
        <v>76946</v>
      </c>
      <c r="BE67" s="457">
        <f ca="1">BE24+BE54+BE61</f>
        <v>52714</v>
      </c>
      <c r="BF67" s="467">
        <f t="shared" ca="1" si="10"/>
        <v>0.68507784680165307</v>
      </c>
      <c r="BG67" s="530">
        <f t="shared" ref="BG67" ca="1" si="135">BG24+BG54+BG61+BG65</f>
        <v>277.43954960222516</v>
      </c>
      <c r="BH67" s="525">
        <f t="shared" ca="1" si="61"/>
        <v>0.33050358629683502</v>
      </c>
    </row>
    <row r="68" spans="1:60" ht="12.6" customHeight="1">
      <c r="A68" s="503"/>
      <c r="B68" s="462"/>
      <c r="C68" s="462"/>
      <c r="D68" s="462"/>
      <c r="E68" s="463"/>
      <c r="F68" s="462"/>
      <c r="G68" s="462"/>
      <c r="H68" s="463"/>
      <c r="I68" s="462"/>
      <c r="J68" s="462"/>
      <c r="K68" s="463"/>
      <c r="L68" s="462"/>
      <c r="M68" s="462"/>
      <c r="N68" s="463"/>
      <c r="O68" s="462"/>
      <c r="P68" s="462"/>
      <c r="Q68" s="463"/>
      <c r="R68" s="462"/>
      <c r="S68" s="462"/>
      <c r="T68" s="463"/>
      <c r="U68" s="462"/>
      <c r="V68" s="462"/>
      <c r="W68" s="463"/>
      <c r="X68" s="462"/>
      <c r="Y68" s="462"/>
      <c r="Z68" s="463"/>
      <c r="AA68" s="462"/>
      <c r="AB68" s="462"/>
      <c r="AC68" s="463"/>
      <c r="AD68" s="462"/>
      <c r="AE68" s="462"/>
      <c r="AF68" s="463"/>
      <c r="AG68" s="462"/>
      <c r="AH68" s="462"/>
      <c r="AI68" s="463"/>
      <c r="AJ68" s="462"/>
      <c r="AK68" s="462"/>
      <c r="AL68" s="463"/>
      <c r="AM68" s="463"/>
      <c r="AN68" s="463"/>
      <c r="AO68" s="463"/>
      <c r="AP68" s="463"/>
      <c r="AQ68" s="463"/>
      <c r="AR68" s="463"/>
      <c r="AS68" s="463"/>
      <c r="AT68" s="463"/>
      <c r="AU68" s="463"/>
      <c r="AV68" s="463"/>
      <c r="AW68" s="463"/>
      <c r="AX68" s="463"/>
      <c r="AY68" s="463"/>
      <c r="AZ68" s="463"/>
      <c r="BA68" s="463"/>
      <c r="BB68" s="463"/>
      <c r="BD68" s="462"/>
      <c r="BE68" s="462"/>
      <c r="BF68" s="469">
        <f t="shared" si="10"/>
        <v>0</v>
      </c>
      <c r="BG68" s="531"/>
      <c r="BH68" s="469">
        <f t="shared" si="61"/>
        <v>0</v>
      </c>
    </row>
    <row r="69" spans="1:60" ht="12.6" customHeight="1">
      <c r="A69" s="482" t="s">
        <v>85</v>
      </c>
      <c r="B69" s="457"/>
      <c r="C69" s="457"/>
      <c r="D69" s="457"/>
      <c r="E69" s="458"/>
      <c r="F69" s="457"/>
      <c r="G69" s="457"/>
      <c r="H69" s="458"/>
      <c r="I69" s="457"/>
      <c r="J69" s="457"/>
      <c r="K69" s="458"/>
      <c r="L69" s="457"/>
      <c r="M69" s="457"/>
      <c r="N69" s="509"/>
      <c r="O69" s="457"/>
      <c r="P69" s="457"/>
      <c r="Q69" s="510"/>
      <c r="R69" s="457"/>
      <c r="S69" s="457"/>
      <c r="T69" s="510"/>
      <c r="U69" s="457"/>
      <c r="V69" s="457"/>
      <c r="W69" s="510"/>
      <c r="X69" s="457"/>
      <c r="Y69" s="457"/>
      <c r="Z69" s="510"/>
      <c r="AA69" s="457"/>
      <c r="AB69" s="457"/>
      <c r="AC69" s="510"/>
      <c r="AD69" s="457"/>
      <c r="AE69" s="457"/>
      <c r="AF69" s="510"/>
      <c r="AG69" s="457"/>
      <c r="AH69" s="457"/>
      <c r="AI69" s="510"/>
      <c r="AJ69" s="457"/>
      <c r="AK69" s="457"/>
      <c r="AL69" s="510"/>
      <c r="AM69" s="458"/>
      <c r="AN69" s="458"/>
      <c r="AO69" s="458"/>
      <c r="AP69" s="458"/>
      <c r="AQ69" s="458"/>
      <c r="AR69" s="458"/>
      <c r="AS69" s="458"/>
      <c r="AT69" s="458"/>
      <c r="AU69" s="458"/>
      <c r="AV69" s="458"/>
      <c r="AW69" s="458"/>
      <c r="AX69" s="458"/>
      <c r="AY69" s="458"/>
      <c r="AZ69" s="458"/>
      <c r="BA69" s="458"/>
      <c r="BB69" s="458"/>
      <c r="BD69" s="457"/>
      <c r="BE69" s="457"/>
      <c r="BF69" s="466">
        <f t="shared" si="10"/>
        <v>0</v>
      </c>
      <c r="BG69" s="509">
        <f>E69+H69+K69+N69+Q69+T69</f>
        <v>0</v>
      </c>
      <c r="BH69" s="466">
        <f t="shared" si="61"/>
        <v>0</v>
      </c>
    </row>
    <row r="70" spans="1:60" ht="12.6" customHeight="1">
      <c r="A70" s="254"/>
      <c r="B70" s="462"/>
      <c r="C70" s="462"/>
      <c r="D70" s="462"/>
      <c r="E70" s="463"/>
      <c r="F70" s="462"/>
      <c r="G70" s="462"/>
      <c r="H70" s="463"/>
      <c r="I70" s="462"/>
      <c r="J70" s="462"/>
      <c r="K70" s="463"/>
      <c r="L70" s="462"/>
      <c r="M70" s="462"/>
      <c r="N70" s="463"/>
      <c r="O70" s="462"/>
      <c r="P70" s="462"/>
      <c r="Q70" s="463"/>
      <c r="R70" s="462"/>
      <c r="S70" s="462"/>
      <c r="T70" s="463"/>
      <c r="U70" s="462"/>
      <c r="V70" s="462"/>
      <c r="W70" s="463"/>
      <c r="X70" s="462"/>
      <c r="Y70" s="462"/>
      <c r="Z70" s="463"/>
      <c r="AA70" s="462"/>
      <c r="AB70" s="462"/>
      <c r="AC70" s="463"/>
      <c r="AD70" s="462"/>
      <c r="AE70" s="462"/>
      <c r="AF70" s="463"/>
      <c r="AG70" s="462"/>
      <c r="AH70" s="462"/>
      <c r="AI70" s="463"/>
      <c r="AJ70" s="462"/>
      <c r="AK70" s="462"/>
      <c r="AL70" s="463"/>
      <c r="AM70" s="463"/>
      <c r="AN70" s="463"/>
      <c r="AO70" s="463"/>
      <c r="AP70" s="463"/>
      <c r="AQ70" s="463"/>
      <c r="AR70" s="463"/>
      <c r="AS70" s="463"/>
      <c r="AT70" s="463"/>
      <c r="AU70" s="463"/>
      <c r="AV70" s="463"/>
      <c r="AW70" s="463"/>
      <c r="AX70" s="463"/>
      <c r="AY70" s="463"/>
      <c r="AZ70" s="463"/>
      <c r="BA70" s="463"/>
      <c r="BB70" s="463"/>
      <c r="BD70" s="462"/>
      <c r="BE70" s="462"/>
      <c r="BF70" s="469"/>
      <c r="BG70" s="531"/>
      <c r="BH70" s="469"/>
    </row>
    <row r="71" spans="1:60" ht="12.6" customHeight="1">
      <c r="A71" s="482"/>
      <c r="B71" s="457"/>
      <c r="C71" s="457"/>
      <c r="D71" s="457"/>
      <c r="E71" s="458"/>
      <c r="F71" s="457"/>
      <c r="G71" s="457"/>
      <c r="H71" s="458"/>
      <c r="I71" s="457"/>
      <c r="J71" s="457"/>
      <c r="K71" s="458"/>
      <c r="L71" s="457"/>
      <c r="M71" s="457"/>
      <c r="N71" s="458"/>
      <c r="O71" s="457"/>
      <c r="P71" s="457"/>
      <c r="Q71" s="458"/>
      <c r="R71" s="457"/>
      <c r="S71" s="457"/>
      <c r="T71" s="458"/>
      <c r="U71" s="457"/>
      <c r="V71" s="457"/>
      <c r="W71" s="458"/>
      <c r="X71" s="457"/>
      <c r="Y71" s="457"/>
      <c r="Z71" s="458"/>
      <c r="AA71" s="457"/>
      <c r="AB71" s="457"/>
      <c r="AC71" s="458"/>
      <c r="AD71" s="457"/>
      <c r="AE71" s="457"/>
      <c r="AF71" s="458"/>
      <c r="AG71" s="457"/>
      <c r="AH71" s="457"/>
      <c r="AI71" s="458"/>
      <c r="AJ71" s="457"/>
      <c r="AK71" s="457"/>
      <c r="AL71" s="458"/>
      <c r="AM71" s="458"/>
      <c r="AN71" s="458"/>
      <c r="AO71" s="458"/>
      <c r="AP71" s="458"/>
      <c r="AQ71" s="458"/>
      <c r="AR71" s="458"/>
      <c r="AS71" s="458"/>
      <c r="AT71" s="458"/>
      <c r="AU71" s="458"/>
      <c r="AV71" s="458"/>
      <c r="AW71" s="458"/>
      <c r="AX71" s="458"/>
      <c r="AY71" s="458"/>
      <c r="AZ71" s="458"/>
      <c r="BA71" s="458"/>
      <c r="BB71" s="458"/>
      <c r="BD71" s="457"/>
      <c r="BE71" s="457"/>
      <c r="BF71" s="467"/>
      <c r="BG71" s="530"/>
      <c r="BH71" s="525"/>
    </row>
    <row r="72" spans="1:60" s="2" customFormat="1" ht="12.6" customHeight="1">
      <c r="A72" s="517"/>
      <c r="B72" s="518"/>
      <c r="C72" s="518"/>
      <c r="D72" s="518"/>
      <c r="E72" s="479"/>
      <c r="F72" s="518"/>
      <c r="G72" s="518"/>
      <c r="H72" s="479"/>
      <c r="I72" s="518"/>
      <c r="J72" s="518"/>
      <c r="K72" s="479"/>
      <c r="L72" s="518"/>
      <c r="M72" s="518"/>
      <c r="N72" s="509"/>
      <c r="O72" s="518"/>
      <c r="P72" s="518"/>
      <c r="Q72" s="510"/>
      <c r="R72" s="518"/>
      <c r="S72" s="518"/>
      <c r="T72" s="510"/>
      <c r="U72" s="518"/>
      <c r="V72" s="518"/>
      <c r="W72" s="510"/>
      <c r="X72" s="518"/>
      <c r="Y72" s="518"/>
      <c r="Z72" s="510"/>
      <c r="AA72" s="518"/>
      <c r="AB72" s="518"/>
      <c r="AC72" s="510"/>
      <c r="AD72" s="518"/>
      <c r="AE72" s="518"/>
      <c r="AF72" s="510"/>
      <c r="AG72" s="518"/>
      <c r="AH72" s="518"/>
      <c r="AI72" s="510"/>
      <c r="AJ72" s="518"/>
      <c r="AK72" s="518"/>
      <c r="AL72" s="510"/>
      <c r="AM72" s="479"/>
      <c r="AN72" s="479"/>
      <c r="AO72" s="479"/>
      <c r="AP72" s="479"/>
      <c r="AQ72" s="479"/>
      <c r="AR72" s="479"/>
      <c r="AS72" s="479"/>
      <c r="AT72" s="479"/>
      <c r="AU72" s="479"/>
      <c r="AV72" s="479"/>
      <c r="AW72" s="479"/>
      <c r="AX72" s="479"/>
      <c r="AY72" s="479"/>
      <c r="AZ72" s="479"/>
      <c r="BA72" s="479"/>
      <c r="BB72" s="479"/>
      <c r="BC72" s="477"/>
      <c r="BD72" s="518"/>
      <c r="BE72" s="518"/>
      <c r="BF72" s="518"/>
      <c r="BG72" s="518"/>
      <c r="BH72" s="518"/>
    </row>
    <row r="73" spans="1:60" ht="12.6" customHeight="1">
      <c r="A73" s="254" t="s">
        <v>109</v>
      </c>
      <c r="B73" s="23">
        <f t="shared" ref="B73:B79" si="136">C73+F73+I73+L73+O73+R73+U73+X73+AA73+AD73+AG73+AJ73</f>
        <v>120</v>
      </c>
      <c r="C73" s="23">
        <f>Domestic!D73+Europe!D73+'Asia-Pacific'!D73+'Rest of world'!D73+'North America'!D73+'Latin America'!D73</f>
        <v>10</v>
      </c>
      <c r="D73" s="23">
        <f>Domestic!E73+Europe!E73+'Asia-Pacific'!E73+'Rest of world'!E73+'North America'!E73+'Latin America'!E73</f>
        <v>14</v>
      </c>
      <c r="E73" s="257">
        <f>Domestic!G73+Europe!G73+'Asia-Pacific'!G73+'Rest of world'!G73+'North America'!G73+'Latin America'!G73</f>
        <v>0.17228226359999999</v>
      </c>
      <c r="F73" s="23">
        <f>Domestic!H73+Europe!H73+'Asia-Pacific'!H73+'Rest of world'!H73+'North America'!H73+'Latin America'!H73</f>
        <v>10</v>
      </c>
      <c r="G73" s="23">
        <f>Domestic!I73+Europe!I73+'Asia-Pacific'!I73+'Rest of world'!I73+'North America'!I73+'Latin America'!I73</f>
        <v>17</v>
      </c>
      <c r="H73" s="257">
        <f>Domestic!K73+Europe!K73+'Asia-Pacific'!K73+'Rest of world'!K73+'North America'!K73+'Latin America'!K73</f>
        <v>0.23348913599999996</v>
      </c>
      <c r="I73" s="23">
        <f>Domestic!L73+Europe!L73+'Asia-Pacific'!L73+'Rest of world'!L73+'North America'!L73+'Latin America'!L73</f>
        <v>10</v>
      </c>
      <c r="J73" s="23">
        <f>Domestic!M73+Europe!M73+'Asia-Pacific'!M73+'Rest of world'!M73+'North America'!M73+'Latin America'!M73</f>
        <v>19</v>
      </c>
      <c r="K73" s="257">
        <f>Domestic!O73+Europe!O73+'Asia-Pacific'!O73+'Rest of world'!O73+'North America'!O73+'Latin America'!O73</f>
        <v>0.239153488</v>
      </c>
      <c r="L73" s="23">
        <f>Domestic!P73+Europe!P73+'Asia-Pacific'!P73+'Rest of world'!P73+'North America'!P73+'Latin America'!P73</f>
        <v>10</v>
      </c>
      <c r="M73" s="23">
        <f>Domestic!Q73+Europe!Q73+'Asia-Pacific'!Q73+'Rest of world'!Q73+'North America'!Q73+'Latin America'!Q73</f>
        <v>8</v>
      </c>
      <c r="N73" s="509">
        <f>Domestic!S73+Europe!S73+'Asia-Pacific'!S73+'Rest of world'!S73+'North America'!S73+'Latin America'!S73</f>
        <v>9.392288E-2</v>
      </c>
      <c r="O73" s="23">
        <f>Domestic!T73+Europe!T73+'Asia-Pacific'!T73+'Rest of world'!T73+'North America'!T73+'Latin America'!T73</f>
        <v>10</v>
      </c>
      <c r="P73" s="23">
        <f>Domestic!U73+Europe!U73+'Asia-Pacific'!U73+'Rest of world'!U73+'North America'!U73+'Latin America'!U73</f>
        <v>2</v>
      </c>
      <c r="Q73" s="510">
        <f>Domestic!W73+'North America'!W73+Europe!W73+'Asia-Pacific'!W73+'Rest of world'!W73+'Latin America'!W73</f>
        <v>2.4001098000000002E-2</v>
      </c>
      <c r="R73" s="23">
        <f>Domestic!X73+Europe!X73+'Asia-Pacific'!X73+'Rest of world'!X73+'North America'!X73+'Latin America'!X73</f>
        <v>10</v>
      </c>
      <c r="S73" s="23">
        <f>Domestic!Y73+Europe!Y73+'Asia-Pacific'!Y73+'Rest of world'!Y73+'North America'!Y73+'Latin America'!Y73</f>
        <v>13</v>
      </c>
      <c r="T73" s="510">
        <f>Domestic!AA73+Europe!AA73+'Asia-Pacific'!AA73+'Rest of world'!AA73+'North America'!AA73+'Latin America'!AA73</f>
        <v>0.17319393</v>
      </c>
      <c r="U73" s="23">
        <f>Domestic!AB73+Europe!AB73+'Asia-Pacific'!AB73+'Rest of world'!AB73+'North America'!AB73+'Latin America'!AB73</f>
        <v>10</v>
      </c>
      <c r="V73" s="23">
        <f>Domestic!AC73+Europe!AC73+'Asia-Pacific'!AC73+'Rest of world'!AC73+'North America'!AC73+'Latin America'!AC73</f>
        <v>13</v>
      </c>
      <c r="W73" s="510">
        <f>Domestic!AE73+Europe!AE73+'Asia-Pacific'!AE73+'Rest of world'!AE73+'North America'!AE73+'Latin America'!AE73</f>
        <v>0.17045094453266363</v>
      </c>
      <c r="X73" s="23">
        <f>Domestic!AF73+Europe!AF73+'Asia-Pacific'!AF73+'Rest of world'!AF73+'North America'!AF73+'Latin America'!AF73</f>
        <v>10</v>
      </c>
      <c r="Y73" s="23">
        <f>Domestic!AG73+Europe!AG73+'Asia-Pacific'!AG73+'Rest of world'!AG73+'North America'!AG73+'Latin America'!AG73</f>
        <v>39</v>
      </c>
      <c r="Z73" s="510">
        <f>Domestic!AI73+Europe!AI73+'Asia-Pacific'!AI73+'Rest of world'!AI73+'North America'!AI73+'Latin America'!AI73</f>
        <v>0.50983882128670266</v>
      </c>
      <c r="AA73" s="23">
        <f>Domestic!AJ73+Europe!AJ73+'Asia-Pacific'!AJ73+'Rest of world'!AJ73+'North America'!AJ73+'Latin America'!AJ73</f>
        <v>10</v>
      </c>
      <c r="AB73" s="23">
        <f>Domestic!AK73+Europe!AK73+'Asia-Pacific'!AK73+'Rest of world'!AK73+'North America'!AK73+'Latin America'!AK73</f>
        <v>1</v>
      </c>
      <c r="AC73" s="510">
        <f>Domestic!AM73+Europe!AM73+'Asia-Pacific'!AM73+'Rest of world'!AM73+'North America'!AM73+'Latin America'!AM73</f>
        <v>1.1612073966703265E-2</v>
      </c>
      <c r="AD73" s="23">
        <f>Domestic!AN73+Europe!AN73+'Asia-Pacific'!AN73+'Rest of world'!AN73+'North America'!AN73+'Latin America'!AN73</f>
        <v>10</v>
      </c>
      <c r="AE73" s="23">
        <f>Domestic!AO73+Europe!AO73+'Asia-Pacific'!AO73+'Rest of world'!AO73+'North America'!AO73+'Latin America'!AO73</f>
        <v>0</v>
      </c>
      <c r="AF73" s="510">
        <f>Domestic!AQ73+Europe!AQ73+'Asia-Pacific'!AQ73+'Rest of world'!AQ73+'North America'!AQ73+'Latin America'!AQ73</f>
        <v>0</v>
      </c>
      <c r="AG73" s="23">
        <f>Domestic!AR73+Europe!AR73+'Asia-Pacific'!AR73+'Rest of world'!AR73+'North America'!AR73+'Latin America'!AR73</f>
        <v>10</v>
      </c>
      <c r="AH73" s="23">
        <f>Domestic!AS73+Europe!AS73+'Asia-Pacific'!AS73+'Rest of world'!AS73+'North America'!AS73+'Latin America'!AS73</f>
        <v>2</v>
      </c>
      <c r="AI73" s="510">
        <f>Domestic!AU73+Europe!AU73+'Asia-Pacific'!AU73+'Rest of world'!AU73+'North America'!AU73+'Latin America'!AU73</f>
        <v>2.7045236000000004E-2</v>
      </c>
      <c r="AJ73" s="23">
        <f>Domestic!AV73+Europe!AV73+'Asia-Pacific'!AV73+'Rest of world'!AV73+'North America'!AV73+'Latin America'!AV73</f>
        <v>10</v>
      </c>
      <c r="AK73" s="23">
        <f>Domestic!AQ73+Europe!AQ73+'Asia-Pacific'!AQ73+'Rest of world'!AQ73+'North America'!AQ73+'Latin America'!AQ73</f>
        <v>0</v>
      </c>
      <c r="AL73" s="510">
        <f>Domestic!AY73+Europe!AY73+'Asia-Pacific'!AY73+'Rest of world'!AY73+'North America'!AY73+'Latin America'!AY73</f>
        <v>0</v>
      </c>
      <c r="AM73" s="257">
        <f t="shared" ref="AM73:AM78" si="137">(C73+F73+I73)</f>
        <v>30</v>
      </c>
      <c r="AN73" s="257">
        <f t="shared" ref="AN73:AN78" si="138">(D73+G73+J73)</f>
        <v>50</v>
      </c>
      <c r="AO73" s="257">
        <f t="shared" ref="AO73:AO78" si="139">(E73+H73+K73)</f>
        <v>0.6449248876</v>
      </c>
      <c r="AP73" s="257">
        <f t="shared" ref="AP73:AP78" si="140">(L73+O73+R73)</f>
        <v>30</v>
      </c>
      <c r="AQ73" s="257">
        <f t="shared" ref="AQ73:AQ78" si="141">(M73+P73+S73)</f>
        <v>23</v>
      </c>
      <c r="AR73" s="257">
        <f t="shared" ref="AR73:AR78" si="142">(N73+Q73+T73)</f>
        <v>0.29111790799999998</v>
      </c>
      <c r="AS73" s="257">
        <f t="shared" ref="AS73:AS78" si="143">(U73+X73+AA73)</f>
        <v>30</v>
      </c>
      <c r="AT73" s="257">
        <f t="shared" ref="AT73:AT78" si="144">(V73+Y73+AB73)</f>
        <v>53</v>
      </c>
      <c r="AU73" s="257">
        <f t="shared" ref="AU73:AU78" si="145">(W73+Z73+AC73)</f>
        <v>0.69190183978606956</v>
      </c>
      <c r="AV73" s="257">
        <f t="shared" ref="AV73:AV78" si="146">(AD73+AG73+AJ73)</f>
        <v>30</v>
      </c>
      <c r="AW73" s="257">
        <f t="shared" ref="AW73:AW78" si="147">(AE73+AH73+AK73)</f>
        <v>2</v>
      </c>
      <c r="AX73" s="257">
        <f t="shared" ref="AX73:AX78" si="148">(AF73+AI73+AL73)</f>
        <v>2.7045236000000004E-2</v>
      </c>
      <c r="AY73" s="257">
        <f t="shared" ref="AY73:AY78" si="149">AM73+AP73+AS73+AV73</f>
        <v>120</v>
      </c>
      <c r="AZ73" s="257">
        <f t="shared" ref="AZ73:AZ78" si="150">AN73+AQ73+AT73+AW73</f>
        <v>128</v>
      </c>
      <c r="BA73" s="257">
        <f t="shared" ref="BA73:BA78" si="151">AO73+AR73+AU73+AX73</f>
        <v>1.6549898713860693</v>
      </c>
      <c r="BB73" s="257">
        <f t="shared" ref="BB73:BB85" si="152">IFERROR(AZ73/AY73,0)</f>
        <v>1.0666666666666667</v>
      </c>
      <c r="BD73" s="23">
        <f t="shared" ref="BD73:BE78" si="153">C73+F73+I73+L73+O73+R73</f>
        <v>60</v>
      </c>
      <c r="BE73" s="23">
        <f t="shared" si="153"/>
        <v>73</v>
      </c>
      <c r="BF73" s="466">
        <f t="shared" ref="BF73:BF81" si="154">IFERROR(BE73/BD73,0)</f>
        <v>1.2166666666666666</v>
      </c>
      <c r="BG73" s="509">
        <f t="shared" ref="BG73:BG78" si="155">E73+H73+K73+N73+Q73+T73</f>
        <v>0.93604279560000014</v>
      </c>
      <c r="BH73" s="466">
        <f t="shared" ref="BH73:BH81" si="156">IFERROR(BE73/B73,0)</f>
        <v>0.60833333333333328</v>
      </c>
    </row>
    <row r="74" spans="1:60" ht="12.6" customHeight="1">
      <c r="A74" s="254" t="s">
        <v>110</v>
      </c>
      <c r="B74" s="23">
        <f t="shared" si="136"/>
        <v>60</v>
      </c>
      <c r="C74" s="23">
        <f>Domestic!D74+Europe!D74+'Asia-Pacific'!D74+'Rest of world'!D74+'North America'!D74+'Latin America'!D74</f>
        <v>5</v>
      </c>
      <c r="D74" s="23">
        <f>Domestic!E74+Europe!E74+'Asia-Pacific'!E74+'Rest of world'!E74+'North America'!E74+'Latin America'!E74</f>
        <v>0</v>
      </c>
      <c r="E74" s="257">
        <f>Domestic!G74+Europe!G74+'Asia-Pacific'!G74+'Rest of world'!G74+'North America'!G74+'Latin America'!G74</f>
        <v>0</v>
      </c>
      <c r="F74" s="23">
        <f>Domestic!H74+Europe!H74+'Asia-Pacific'!H74+'Rest of world'!H74+'North America'!H74+'Latin America'!H74</f>
        <v>5</v>
      </c>
      <c r="G74" s="23">
        <f>Domestic!I74+Europe!I74+'Asia-Pacific'!I74+'Rest of world'!I74+'North America'!I74+'Latin America'!I74</f>
        <v>0</v>
      </c>
      <c r="H74" s="257">
        <f>Domestic!K74+Europe!K74+'Asia-Pacific'!K74+'Rest of world'!K74+'North America'!K74+'Latin America'!K74</f>
        <v>0</v>
      </c>
      <c r="I74" s="23">
        <f>Domestic!L74+Europe!L74+'Asia-Pacific'!L74+'Rest of world'!L74+'North America'!L74+'Latin America'!L74</f>
        <v>5</v>
      </c>
      <c r="J74" s="23">
        <f>Domestic!M74+Europe!M74+'Asia-Pacific'!M74+'Rest of world'!M74+'North America'!M74+'Latin America'!M74</f>
        <v>0</v>
      </c>
      <c r="K74" s="257">
        <f>Domestic!O74+Europe!O74+'Asia-Pacific'!O74+'Rest of world'!O74+'North America'!O74+'Latin America'!O74</f>
        <v>0</v>
      </c>
      <c r="L74" s="23">
        <f>Domestic!P74+Europe!P74+'Asia-Pacific'!P74+'Rest of world'!P74+'North America'!P74+'Latin America'!P74</f>
        <v>5</v>
      </c>
      <c r="M74" s="23">
        <f>Domestic!Q74+Europe!Q74+'Asia-Pacific'!Q74+'Rest of world'!Q74+'North America'!Q74+'Latin America'!Q74</f>
        <v>0</v>
      </c>
      <c r="N74" s="509">
        <f>Domestic!S74+Europe!S74+'Asia-Pacific'!S74+'Rest of world'!S74+'North America'!S74+'Latin America'!S74</f>
        <v>0</v>
      </c>
      <c r="O74" s="23">
        <f>Domestic!T74+Europe!T74+'Asia-Pacific'!T74+'Rest of world'!T74+'North America'!T74+'Latin America'!T74</f>
        <v>5</v>
      </c>
      <c r="P74" s="23">
        <f>Domestic!U74+Europe!U74+'Asia-Pacific'!U74+'Rest of world'!U74+'North America'!U74+'Latin America'!U74</f>
        <v>0</v>
      </c>
      <c r="Q74" s="510">
        <f>Domestic!W74+'North America'!W74+Europe!W74+'Asia-Pacific'!W74+'Rest of world'!W74+'Latin America'!W74</f>
        <v>0</v>
      </c>
      <c r="R74" s="23">
        <f>Domestic!X74+Europe!X74+'Asia-Pacific'!X74+'Rest of world'!X74+'North America'!X74+'Latin America'!X74</f>
        <v>5</v>
      </c>
      <c r="S74" s="23">
        <f>Domestic!Y74+Europe!Y74+'Asia-Pacific'!Y74+'Rest of world'!Y74+'North America'!Y74+'Latin America'!Y74</f>
        <v>0</v>
      </c>
      <c r="T74" s="510">
        <f>Domestic!AA74+Europe!AA74+'Asia-Pacific'!AA74+'Rest of world'!AA74+'North America'!AA74+'Latin America'!AA74</f>
        <v>0</v>
      </c>
      <c r="U74" s="23">
        <f>Domestic!AB74+Europe!AB74+'Asia-Pacific'!AB74+'Rest of world'!AB74+'North America'!AB74+'Latin America'!AB74</f>
        <v>5</v>
      </c>
      <c r="V74" s="23">
        <f>Domestic!AC74+Europe!AC74+'Asia-Pacific'!AC74+'Rest of world'!AC74+'North America'!AC74+'Latin America'!AC74</f>
        <v>0</v>
      </c>
      <c r="W74" s="510">
        <f>Domestic!AE74+Europe!AE74+'Asia-Pacific'!AE74+'Rest of world'!AE74+'North America'!AE74+'Latin America'!AE74</f>
        <v>0</v>
      </c>
      <c r="X74" s="23">
        <f>Domestic!AF74+Europe!AF74+'Asia-Pacific'!AF74+'Rest of world'!AF74+'North America'!AF74+'Latin America'!AF74</f>
        <v>5</v>
      </c>
      <c r="Y74" s="23">
        <f>Domestic!AG74+Europe!AG74+'Asia-Pacific'!AG74+'Rest of world'!AG74+'North America'!AG74+'Latin America'!AG74</f>
        <v>2</v>
      </c>
      <c r="Z74" s="510">
        <f>Domestic!AI74+Europe!AI74+'Asia-Pacific'!AI74+'Rest of world'!AI74+'North America'!AI74+'Latin America'!AI74</f>
        <v>2.3788159999999999E-2</v>
      </c>
      <c r="AA74" s="23">
        <f>Domestic!AJ74+Europe!AJ74+'Asia-Pacific'!AJ74+'Rest of world'!AJ74+'North America'!AJ74+'Latin America'!AJ74</f>
        <v>5</v>
      </c>
      <c r="AB74" s="23">
        <f>Domestic!AK74+Europe!AK74+'Asia-Pacific'!AK74+'Rest of world'!AK74+'North America'!AK74+'Latin America'!AK74</f>
        <v>0</v>
      </c>
      <c r="AC74" s="510">
        <f>Domestic!AM74+Europe!AM74+'Asia-Pacific'!AM74+'Rest of world'!AM74+'North America'!AM74+'Latin America'!AM74</f>
        <v>0</v>
      </c>
      <c r="AD74" s="23">
        <f>Domestic!AN74+Europe!AN74+'Asia-Pacific'!AN74+'Rest of world'!AN74+'North America'!AN74+'Latin America'!AN74</f>
        <v>5</v>
      </c>
      <c r="AE74" s="23">
        <f>Domestic!AO74+Europe!AO74+'Asia-Pacific'!AO74+'Rest of world'!AO74+'North America'!AO74+'Latin America'!AO74</f>
        <v>0</v>
      </c>
      <c r="AF74" s="510">
        <f>Domestic!AQ74+Europe!AQ74+'Asia-Pacific'!AQ74+'Rest of world'!AQ74+'North America'!AQ74+'Latin America'!AQ74</f>
        <v>0</v>
      </c>
      <c r="AG74" s="23">
        <f>Domestic!AR74+Europe!AR74+'Asia-Pacific'!AR74+'Rest of world'!AR74+'North America'!AR74+'Latin America'!AR74</f>
        <v>5</v>
      </c>
      <c r="AH74" s="23">
        <f>Domestic!AS74+Europe!AS74+'Asia-Pacific'!AS74+'Rest of world'!AS74+'North America'!AS74+'Latin America'!AS74</f>
        <v>26</v>
      </c>
      <c r="AI74" s="510">
        <f>Domestic!AU74+Europe!AU74+'Asia-Pacific'!AU74+'Rest of world'!AU74+'North America'!AU74+'Latin America'!AU74</f>
        <v>0.39148582200000004</v>
      </c>
      <c r="AJ74" s="23">
        <f>Domestic!AV74+Europe!AV74+'Asia-Pacific'!AV74+'Rest of world'!AV74+'North America'!AV74+'Latin America'!AV74</f>
        <v>5</v>
      </c>
      <c r="AK74" s="23">
        <f>Domestic!AQ74+Europe!AQ74+'Asia-Pacific'!AQ74+'Rest of world'!AQ74+'North America'!AQ74+'Latin America'!AQ74</f>
        <v>0</v>
      </c>
      <c r="AL74" s="510">
        <f>Domestic!AY74+Europe!AY74+'Asia-Pacific'!AY74+'Rest of world'!AY74+'North America'!AY74+'Latin America'!AY74</f>
        <v>0</v>
      </c>
      <c r="AM74" s="257">
        <f t="shared" si="137"/>
        <v>15</v>
      </c>
      <c r="AN74" s="257">
        <f t="shared" si="138"/>
        <v>0</v>
      </c>
      <c r="AO74" s="257">
        <f t="shared" si="139"/>
        <v>0</v>
      </c>
      <c r="AP74" s="257">
        <f t="shared" si="140"/>
        <v>15</v>
      </c>
      <c r="AQ74" s="257">
        <f t="shared" si="141"/>
        <v>0</v>
      </c>
      <c r="AR74" s="257">
        <f t="shared" si="142"/>
        <v>0</v>
      </c>
      <c r="AS74" s="257">
        <f t="shared" si="143"/>
        <v>15</v>
      </c>
      <c r="AT74" s="257">
        <f t="shared" si="144"/>
        <v>2</v>
      </c>
      <c r="AU74" s="257">
        <f t="shared" si="145"/>
        <v>2.3788159999999999E-2</v>
      </c>
      <c r="AV74" s="257">
        <f t="shared" si="146"/>
        <v>15</v>
      </c>
      <c r="AW74" s="257">
        <f t="shared" si="147"/>
        <v>26</v>
      </c>
      <c r="AX74" s="257">
        <f t="shared" si="148"/>
        <v>0.39148582200000004</v>
      </c>
      <c r="AY74" s="257">
        <f t="shared" si="149"/>
        <v>60</v>
      </c>
      <c r="AZ74" s="257">
        <f t="shared" si="150"/>
        <v>28</v>
      </c>
      <c r="BA74" s="257">
        <f t="shared" si="151"/>
        <v>0.41527398200000004</v>
      </c>
      <c r="BB74" s="257">
        <f t="shared" si="152"/>
        <v>0.46666666666666667</v>
      </c>
      <c r="BD74" s="23">
        <f t="shared" si="153"/>
        <v>30</v>
      </c>
      <c r="BE74" s="23">
        <f t="shared" si="153"/>
        <v>0</v>
      </c>
      <c r="BF74" s="466">
        <f t="shared" si="154"/>
        <v>0</v>
      </c>
      <c r="BG74" s="509">
        <f t="shared" si="155"/>
        <v>0</v>
      </c>
      <c r="BH74" s="466">
        <f t="shared" si="156"/>
        <v>0</v>
      </c>
    </row>
    <row r="75" spans="1:60" ht="12.6" customHeight="1">
      <c r="A75" s="254" t="s">
        <v>132</v>
      </c>
      <c r="B75" s="23">
        <f t="shared" si="136"/>
        <v>300</v>
      </c>
      <c r="C75" s="23">
        <f>Domestic!D75+Europe!D75+'Asia-Pacific'!D75+'Rest of world'!D75+'North America'!D75+'Latin America'!D75</f>
        <v>255</v>
      </c>
      <c r="D75" s="23">
        <f>Domestic!E75+Europe!E75+'Asia-Pacific'!E75+'Rest of world'!E75+'North America'!E75+'Latin America'!E75</f>
        <v>0</v>
      </c>
      <c r="E75" s="257">
        <f>Domestic!G75+Europe!G75+'Asia-Pacific'!G75+'Rest of world'!G75+'North America'!G75+'Latin America'!G75</f>
        <v>0</v>
      </c>
      <c r="F75" s="23">
        <f>Domestic!H75+Europe!H75+'Asia-Pacific'!H75+'Rest of world'!H75+'North America'!H75+'Latin America'!H75</f>
        <v>5</v>
      </c>
      <c r="G75" s="23">
        <f>Domestic!I75+Europe!I75+'Asia-Pacific'!I75+'Rest of world'!I75+'North America'!I75+'Latin America'!I75</f>
        <v>0</v>
      </c>
      <c r="H75" s="257">
        <f>Domestic!K75+Europe!K75+'Asia-Pacific'!K75+'Rest of world'!K75+'North America'!K75+'Latin America'!K75</f>
        <v>0</v>
      </c>
      <c r="I75" s="23">
        <f>Domestic!L75+Europe!L75+'Asia-Pacific'!L75+'Rest of world'!L75+'North America'!L75+'Latin America'!L75</f>
        <v>5</v>
      </c>
      <c r="J75" s="23">
        <f>Domestic!M75+Europe!M75+'Asia-Pacific'!M75+'Rest of world'!M75+'North America'!M75+'Latin America'!M75</f>
        <v>0</v>
      </c>
      <c r="K75" s="257">
        <f>Domestic!O75+Europe!O75+'Asia-Pacific'!O75+'Rest of world'!O75+'North America'!O75+'Latin America'!O75</f>
        <v>0</v>
      </c>
      <c r="L75" s="23">
        <f>Domestic!P75+Europe!P75+'Asia-Pacific'!P75+'Rest of world'!P75+'North America'!P75+'Latin America'!P75</f>
        <v>5</v>
      </c>
      <c r="M75" s="23">
        <f>Domestic!Q75+Europe!Q75+'Asia-Pacific'!Q75+'Rest of world'!Q75+'North America'!Q75+'Latin America'!Q75</f>
        <v>0</v>
      </c>
      <c r="N75" s="509">
        <f>Domestic!S75+Europe!S75+'Asia-Pacific'!S75+'Rest of world'!S75+'North America'!S75+'Latin America'!S75</f>
        <v>0</v>
      </c>
      <c r="O75" s="23">
        <f>Domestic!T75+Europe!T75+'Asia-Pacific'!T75+'Rest of world'!T75+'North America'!T75+'Latin America'!T75</f>
        <v>5</v>
      </c>
      <c r="P75" s="23">
        <f>Domestic!U75+Europe!U75+'Asia-Pacific'!U75+'Rest of world'!U75+'North America'!U75+'Latin America'!U75</f>
        <v>0</v>
      </c>
      <c r="Q75" s="510">
        <f>Domestic!W75+'North America'!W75+Europe!W75+'Asia-Pacific'!W75+'Rest of world'!W75+'Latin America'!W75</f>
        <v>0</v>
      </c>
      <c r="R75" s="23">
        <f>Domestic!X75+Europe!X75+'Asia-Pacific'!X75+'Rest of world'!X75+'North America'!X75+'Latin America'!X75</f>
        <v>5</v>
      </c>
      <c r="S75" s="23">
        <f>Domestic!Y75+Europe!Y75+'Asia-Pacific'!Y75+'Rest of world'!Y75+'North America'!Y75+'Latin America'!Y75</f>
        <v>0</v>
      </c>
      <c r="T75" s="510">
        <f>Domestic!AA75+Europe!AA75+'Asia-Pacific'!AA75+'Rest of world'!AA75+'North America'!AA75+'Latin America'!AA75</f>
        <v>0</v>
      </c>
      <c r="U75" s="23">
        <f>Domestic!AB75+Europe!AB75+'Asia-Pacific'!AB75+'Rest of world'!AB75+'North America'!AB75+'Latin America'!AB75</f>
        <v>5</v>
      </c>
      <c r="V75" s="23">
        <f>Domestic!AC75+Europe!AC75+'Asia-Pacific'!AC75+'Rest of world'!AC75+'North America'!AC75+'Latin America'!AC75</f>
        <v>0</v>
      </c>
      <c r="W75" s="510">
        <f>Domestic!AE75+Europe!AE75+'Asia-Pacific'!AE75+'Rest of world'!AE75+'North America'!AE75+'Latin America'!AE75</f>
        <v>0</v>
      </c>
      <c r="X75" s="23">
        <f>Domestic!AF75+Europe!AF75+'Asia-Pacific'!AF75+'Rest of world'!AF75+'North America'!AF75+'Latin America'!AF75</f>
        <v>5</v>
      </c>
      <c r="Y75" s="23">
        <f>Domestic!AG75+Europe!AG75+'Asia-Pacific'!AG75+'Rest of world'!AG75+'North America'!AG75+'Latin America'!AG75</f>
        <v>0</v>
      </c>
      <c r="Z75" s="510">
        <f>Domestic!AI75+Europe!AI75+'Asia-Pacific'!AI75+'Rest of world'!AI75+'North America'!AI75+'Latin America'!AI75</f>
        <v>0</v>
      </c>
      <c r="AA75" s="23">
        <f>Domestic!AJ75+Europe!AJ75+'Asia-Pacific'!AJ75+'Rest of world'!AJ75+'North America'!AJ75+'Latin America'!AJ75</f>
        <v>5</v>
      </c>
      <c r="AB75" s="23">
        <f>Domestic!AK75+Europe!AK75+'Asia-Pacific'!AK75+'Rest of world'!AK75+'North America'!AK75+'Latin America'!AK75</f>
        <v>0</v>
      </c>
      <c r="AC75" s="510">
        <f>Domestic!AM75+Europe!AM75+'Asia-Pacific'!AM75+'Rest of world'!AM75+'North America'!AM75+'Latin America'!AM75</f>
        <v>0</v>
      </c>
      <c r="AD75" s="23">
        <f>Domestic!AN75+Europe!AN75+'Asia-Pacific'!AN75+'Rest of world'!AN75+'North America'!AN75+'Latin America'!AN75</f>
        <v>5</v>
      </c>
      <c r="AE75" s="23">
        <f>Domestic!AO75+Europe!AO75+'Asia-Pacific'!AO75+'Rest of world'!AO75+'North America'!AO75+'Latin America'!AO75</f>
        <v>0</v>
      </c>
      <c r="AF75" s="510">
        <f>Domestic!AQ75+Europe!AQ75+'Asia-Pacific'!AQ75+'Rest of world'!AQ75+'North America'!AQ75+'Latin America'!AQ75</f>
        <v>0</v>
      </c>
      <c r="AG75" s="23">
        <f>Domestic!AR75+Europe!AR75+'Asia-Pacific'!AR75+'Rest of world'!AR75+'North America'!AR75+'Latin America'!AR75</f>
        <v>0</v>
      </c>
      <c r="AH75" s="23">
        <f>Domestic!AS75+Europe!AS75+'Asia-Pacific'!AS75+'Rest of world'!AS75+'North America'!AS75+'Latin America'!AS75</f>
        <v>0</v>
      </c>
      <c r="AI75" s="510">
        <f>Domestic!AU75+Europe!AU75+'Asia-Pacific'!AU75+'Rest of world'!AU75+'North America'!AU75+'Latin America'!AU75</f>
        <v>0</v>
      </c>
      <c r="AJ75" s="23">
        <f>Domestic!AV75+Europe!AV75+'Asia-Pacific'!AV75+'Rest of world'!AV75+'North America'!AV75+'Latin America'!AV75</f>
        <v>0</v>
      </c>
      <c r="AK75" s="23">
        <f>Domestic!AQ75+Europe!AQ75+'Asia-Pacific'!AQ75+'Rest of world'!AQ75+'North America'!AQ75+'Latin America'!AQ75</f>
        <v>0</v>
      </c>
      <c r="AL75" s="510">
        <f>Domestic!AY75+Europe!AY75+'Asia-Pacific'!AY75+'Rest of world'!AY75+'North America'!AY75+'Latin America'!AY75</f>
        <v>0</v>
      </c>
      <c r="AM75" s="257">
        <f t="shared" si="137"/>
        <v>265</v>
      </c>
      <c r="AN75" s="257">
        <f t="shared" si="138"/>
        <v>0</v>
      </c>
      <c r="AO75" s="257">
        <f t="shared" si="139"/>
        <v>0</v>
      </c>
      <c r="AP75" s="257">
        <f t="shared" si="140"/>
        <v>15</v>
      </c>
      <c r="AQ75" s="257">
        <f t="shared" si="141"/>
        <v>0</v>
      </c>
      <c r="AR75" s="257">
        <f t="shared" si="142"/>
        <v>0</v>
      </c>
      <c r="AS75" s="257">
        <f t="shared" si="143"/>
        <v>15</v>
      </c>
      <c r="AT75" s="257">
        <f t="shared" si="144"/>
        <v>0</v>
      </c>
      <c r="AU75" s="257">
        <f t="shared" si="145"/>
        <v>0</v>
      </c>
      <c r="AV75" s="257">
        <f t="shared" si="146"/>
        <v>5</v>
      </c>
      <c r="AW75" s="257">
        <f t="shared" si="147"/>
        <v>0</v>
      </c>
      <c r="AX75" s="257">
        <f t="shared" si="148"/>
        <v>0</v>
      </c>
      <c r="AY75" s="257">
        <f t="shared" si="149"/>
        <v>300</v>
      </c>
      <c r="AZ75" s="257">
        <f t="shared" si="150"/>
        <v>0</v>
      </c>
      <c r="BA75" s="257">
        <f t="shared" si="151"/>
        <v>0</v>
      </c>
      <c r="BB75" s="257">
        <f t="shared" si="152"/>
        <v>0</v>
      </c>
      <c r="BD75" s="23">
        <f t="shared" si="153"/>
        <v>280</v>
      </c>
      <c r="BE75" s="23">
        <f t="shared" si="153"/>
        <v>0</v>
      </c>
      <c r="BF75" s="466">
        <f t="shared" si="154"/>
        <v>0</v>
      </c>
      <c r="BG75" s="509">
        <f t="shared" si="155"/>
        <v>0</v>
      </c>
      <c r="BH75" s="466">
        <f t="shared" si="156"/>
        <v>0</v>
      </c>
    </row>
    <row r="76" spans="1:60" ht="12.6" customHeight="1">
      <c r="A76" s="254" t="s">
        <v>121</v>
      </c>
      <c r="B76" s="23">
        <f t="shared" si="136"/>
        <v>0</v>
      </c>
      <c r="C76" s="23">
        <f>Domestic!D76+Europe!D76+'Asia-Pacific'!D76+'Rest of world'!D76+'North America'!D76+'Latin America'!D76</f>
        <v>0</v>
      </c>
      <c r="D76" s="23">
        <f>Domestic!E76+Europe!E76+'Asia-Pacific'!E76+'Rest of world'!E76+'North America'!E76+'Latin America'!E76</f>
        <v>0</v>
      </c>
      <c r="E76" s="257">
        <f>Domestic!G76+Europe!G76+'Asia-Pacific'!G76+'Rest of world'!G76+'North America'!G76+'Latin America'!G76</f>
        <v>0</v>
      </c>
      <c r="F76" s="23">
        <f>Domestic!H76+Europe!H76+'Asia-Pacific'!H76+'Rest of world'!H76+'North America'!H76+'Latin America'!H76</f>
        <v>0</v>
      </c>
      <c r="G76" s="23">
        <f>Domestic!I76+Europe!I76+'Asia-Pacific'!I76+'Rest of world'!I76+'North America'!I76+'Latin America'!I76</f>
        <v>40</v>
      </c>
      <c r="H76" s="257">
        <f>Domestic!K76+Europe!K76+'Asia-Pacific'!K76+'Rest of world'!K76+'North America'!K76+'Latin America'!K76</f>
        <v>0</v>
      </c>
      <c r="I76" s="23">
        <f>Domestic!L76+Europe!L76+'Asia-Pacific'!L76+'Rest of world'!L76+'North America'!L76+'Latin America'!L76</f>
        <v>0</v>
      </c>
      <c r="J76" s="23">
        <f>Domestic!M76+Europe!M76+'Asia-Pacific'!M76+'Rest of world'!M76+'North America'!M76+'Latin America'!M76</f>
        <v>235</v>
      </c>
      <c r="K76" s="257">
        <f>Domestic!O76+Europe!O76+'Asia-Pacific'!O76+'Rest of world'!O76+'North America'!O76+'Latin America'!O76</f>
        <v>7.9054000000000006E-4</v>
      </c>
      <c r="L76" s="23">
        <f>Domestic!P76+Europe!P76+'Asia-Pacific'!P76+'Rest of world'!P76+'North America'!P76+'Latin America'!P76</f>
        <v>0</v>
      </c>
      <c r="M76" s="23">
        <f>Domestic!Q76+Europe!Q76+'Asia-Pacific'!Q76+'Rest of world'!Q76+'North America'!Q76+'Latin America'!Q76</f>
        <v>714</v>
      </c>
      <c r="N76" s="509">
        <f>Domestic!S76+Europe!S76+'Asia-Pacific'!S76+'Rest of world'!S76+'North America'!S76+'Latin America'!S76</f>
        <v>2.5846284800000001</v>
      </c>
      <c r="O76" s="23">
        <f>Domestic!T76+Europe!T76+'Asia-Pacific'!T76+'Rest of world'!T76+'North America'!T76+'Latin America'!T76</f>
        <v>0</v>
      </c>
      <c r="P76" s="23">
        <f>Domestic!U76+Europe!U76+'Asia-Pacific'!U76+'Rest of world'!U76+'North America'!U76+'Latin America'!U76</f>
        <v>139</v>
      </c>
      <c r="Q76" s="510">
        <f>Domestic!W76+'North America'!W76+Europe!W76+'Asia-Pacific'!W76+'Rest of world'!W76+'Latin America'!W76</f>
        <v>1.6587730410000001</v>
      </c>
      <c r="R76" s="23">
        <f>Domestic!X76+Europe!X76+'Asia-Pacific'!X76+'Rest of world'!X76+'North America'!X76+'Latin America'!X76</f>
        <v>0</v>
      </c>
      <c r="S76" s="23">
        <f>Domestic!Y76+Europe!Y76+'Asia-Pacific'!Y76+'Rest of world'!Y76+'North America'!Y76+'Latin America'!Y76</f>
        <v>297</v>
      </c>
      <c r="T76" s="510">
        <f>Domestic!AA76+Europe!AA76+'Asia-Pacific'!AA76+'Rest of world'!AA76+'North America'!AA76+'Latin America'!AA76</f>
        <v>3.918697893</v>
      </c>
      <c r="U76" s="23">
        <f>Domestic!AB76+Europe!AB76+'Asia-Pacific'!AB76+'Rest of world'!AB76+'North America'!AB76+'Latin America'!AB76</f>
        <v>0</v>
      </c>
      <c r="V76" s="23">
        <f>Domestic!AC76+Europe!AC76+'Asia-Pacific'!AC76+'Rest of world'!AC76+'North America'!AC76+'Latin America'!AC76</f>
        <v>158</v>
      </c>
      <c r="W76" s="510">
        <f>Domestic!AE76+Europe!AE76+'Asia-Pacific'!AE76+'Rest of world'!AE76+'North America'!AE76+'Latin America'!AE76</f>
        <v>2.079146648</v>
      </c>
      <c r="X76" s="23">
        <f>Domestic!AF76+Europe!AF76+'Asia-Pacific'!AF76+'Rest of world'!AF76+'North America'!AF76+'Latin America'!AF76</f>
        <v>0</v>
      </c>
      <c r="Y76" s="23">
        <f>Domestic!AG76+Europe!AG76+'Asia-Pacific'!AG76+'Rest of world'!AG76+'North America'!AG76+'Latin America'!AG76</f>
        <v>371</v>
      </c>
      <c r="Z76" s="510">
        <f>Domestic!AI76+Europe!AI76+'Asia-Pacific'!AI76+'Rest of world'!AI76+'North America'!AI76+'Latin America'!AI76</f>
        <v>4.3700809740000004</v>
      </c>
      <c r="AA76" s="23">
        <f>Domestic!AJ76+Europe!AJ76+'Asia-Pacific'!AJ76+'Rest of world'!AJ76+'North America'!AJ76+'Latin America'!AJ76</f>
        <v>0</v>
      </c>
      <c r="AB76" s="23">
        <f>Domestic!AK76+Europe!AK76+'Asia-Pacific'!AK76+'Rest of world'!AK76+'North America'!AK76+'Latin America'!AK76</f>
        <v>332</v>
      </c>
      <c r="AC76" s="510">
        <f>Domestic!AM76+Europe!AM76+'Asia-Pacific'!AM76+'Rest of world'!AM76+'North America'!AM76+'Latin America'!AM76</f>
        <v>3.9533487640000002</v>
      </c>
      <c r="AD76" s="23">
        <f>Domestic!AN76+Europe!AN76+'Asia-Pacific'!AN76+'Rest of world'!AN76+'North America'!AN76+'Latin America'!AN76</f>
        <v>0</v>
      </c>
      <c r="AE76" s="23">
        <f>Domestic!AO76+Europe!AO76+'Asia-Pacific'!AO76+'Rest of world'!AO76+'North America'!AO76+'Latin America'!AO76</f>
        <v>200</v>
      </c>
      <c r="AF76" s="510">
        <f>Domestic!AQ76+Europe!AQ76+'Asia-Pacific'!AQ76+'Rest of world'!AQ76+'North America'!AQ76+'Latin America'!AQ76</f>
        <v>2.4162801883415042</v>
      </c>
      <c r="AG76" s="23">
        <f>Domestic!AR76+Europe!AR76+'Asia-Pacific'!AR76+'Rest of world'!AR76+'North America'!AR76+'Latin America'!AR76</f>
        <v>0</v>
      </c>
      <c r="AH76" s="23">
        <f>Domestic!AS76+Europe!AS76+'Asia-Pacific'!AS76+'Rest of world'!AS76+'North America'!AS76+'Latin America'!AS76</f>
        <v>198</v>
      </c>
      <c r="AI76" s="510">
        <f>Domestic!AU76+Europe!AU76+'Asia-Pacific'!AU76+'Rest of world'!AU76+'North America'!AU76+'Latin America'!AU76</f>
        <v>2.3993035232467474</v>
      </c>
      <c r="AJ76" s="23">
        <f>Domestic!AV76+Europe!AV76+'Asia-Pacific'!AV76+'Rest of world'!AV76+'North America'!AV76+'Latin America'!AV76</f>
        <v>0</v>
      </c>
      <c r="AK76" s="23">
        <f>Domestic!AQ76+Europe!AQ76+'Asia-Pacific'!AQ76+'Rest of world'!AQ76+'North America'!AQ76+'Latin America'!AQ76</f>
        <v>2.4162801883415042</v>
      </c>
      <c r="AL76" s="510">
        <f>Domestic!AY76+Europe!AY76+'Asia-Pacific'!AY76+'Rest of world'!AY76+'North America'!AY76+'Latin America'!AY76</f>
        <v>0</v>
      </c>
      <c r="AM76" s="257">
        <f t="shared" si="137"/>
        <v>0</v>
      </c>
      <c r="AN76" s="257">
        <f t="shared" si="138"/>
        <v>275</v>
      </c>
      <c r="AO76" s="257">
        <f t="shared" si="139"/>
        <v>7.9054000000000006E-4</v>
      </c>
      <c r="AP76" s="257">
        <f t="shared" si="140"/>
        <v>0</v>
      </c>
      <c r="AQ76" s="257">
        <f t="shared" si="141"/>
        <v>1150</v>
      </c>
      <c r="AR76" s="257">
        <f t="shared" si="142"/>
        <v>8.1620994140000001</v>
      </c>
      <c r="AS76" s="257">
        <f t="shared" si="143"/>
        <v>0</v>
      </c>
      <c r="AT76" s="257">
        <f t="shared" si="144"/>
        <v>861</v>
      </c>
      <c r="AU76" s="257">
        <f t="shared" si="145"/>
        <v>10.402576386</v>
      </c>
      <c r="AV76" s="257">
        <f t="shared" si="146"/>
        <v>0</v>
      </c>
      <c r="AW76" s="257">
        <f t="shared" si="147"/>
        <v>400.41628018834149</v>
      </c>
      <c r="AX76" s="257">
        <f t="shared" si="148"/>
        <v>4.8155837115882516</v>
      </c>
      <c r="AY76" s="257">
        <f t="shared" si="149"/>
        <v>0</v>
      </c>
      <c r="AZ76" s="257">
        <f t="shared" si="150"/>
        <v>2686.4162801883413</v>
      </c>
      <c r="BA76" s="257">
        <f t="shared" si="151"/>
        <v>23.381050051588254</v>
      </c>
      <c r="BB76" s="257">
        <f t="shared" si="152"/>
        <v>0</v>
      </c>
      <c r="BD76" s="23">
        <f t="shared" si="153"/>
        <v>0</v>
      </c>
      <c r="BE76" s="23">
        <f t="shared" si="153"/>
        <v>1425</v>
      </c>
      <c r="BF76" s="466">
        <f t="shared" si="154"/>
        <v>0</v>
      </c>
      <c r="BG76" s="509">
        <f t="shared" si="155"/>
        <v>8.1628899540000006</v>
      </c>
      <c r="BH76" s="466">
        <f t="shared" si="156"/>
        <v>0</v>
      </c>
    </row>
    <row r="77" spans="1:60" ht="12.6" customHeight="1">
      <c r="A77" s="254" t="s">
        <v>122</v>
      </c>
      <c r="B77" s="23">
        <f t="shared" si="136"/>
        <v>0</v>
      </c>
      <c r="C77" s="23">
        <f>Domestic!D77+Europe!D77+'Asia-Pacific'!D77+'Rest of world'!D77+'North America'!D77+'Latin America'!D77</f>
        <v>0</v>
      </c>
      <c r="D77" s="23">
        <f>Domestic!E77+Europe!E77+'Asia-Pacific'!E77+'Rest of world'!E77+'North America'!E77+'Latin America'!E77</f>
        <v>0</v>
      </c>
      <c r="E77" s="257">
        <f>Domestic!G77+Europe!G77+'Asia-Pacific'!G77+'Rest of world'!G77+'North America'!G77+'Latin America'!G77</f>
        <v>0</v>
      </c>
      <c r="F77" s="23">
        <f>Domestic!H77+Europe!H77+'Asia-Pacific'!H77+'Rest of world'!H77+'North America'!H77+'Latin America'!H77</f>
        <v>0</v>
      </c>
      <c r="G77" s="23">
        <f>Domestic!I77+Europe!I77+'Asia-Pacific'!I77+'Rest of world'!I77+'North America'!I77+'Latin America'!I77</f>
        <v>0</v>
      </c>
      <c r="H77" s="257">
        <f>Domestic!K77+Europe!K77+'Asia-Pacific'!K77+'Rest of world'!K77+'North America'!K77+'Latin America'!K77</f>
        <v>0</v>
      </c>
      <c r="I77" s="23">
        <f>Domestic!L77+Europe!L77+'Asia-Pacific'!L77+'Rest of world'!L77+'North America'!L77+'Latin America'!L77</f>
        <v>0</v>
      </c>
      <c r="J77" s="23">
        <f>Domestic!M77+Europe!M77+'Asia-Pacific'!M77+'Rest of world'!M77+'North America'!M77+'Latin America'!M77</f>
        <v>0</v>
      </c>
      <c r="K77" s="257">
        <f>Domestic!O77+Europe!O77+'Asia-Pacific'!O77+'Rest of world'!O77+'North America'!O77+'Latin America'!O77</f>
        <v>0</v>
      </c>
      <c r="L77" s="23">
        <f>Domestic!P77+Europe!P77+'Asia-Pacific'!P77+'Rest of world'!P77+'North America'!P77+'Latin America'!P77</f>
        <v>0</v>
      </c>
      <c r="M77" s="23">
        <f>Domestic!Q77+Europe!Q77+'Asia-Pacific'!Q77+'Rest of world'!Q77+'North America'!Q77+'Latin America'!Q77</f>
        <v>0</v>
      </c>
      <c r="N77" s="509">
        <f>Domestic!S77+Europe!S77+'Asia-Pacific'!S77+'Rest of world'!S77+'North America'!S77+'Latin America'!S77</f>
        <v>0</v>
      </c>
      <c r="O77" s="23">
        <f>Domestic!T77+Europe!T77+'Asia-Pacific'!T77+'Rest of world'!T77+'North America'!T77+'Latin America'!T77</f>
        <v>0</v>
      </c>
      <c r="P77" s="23">
        <f>Domestic!U77+Europe!U77+'Asia-Pacific'!U77+'Rest of world'!U77+'North America'!U77+'Latin America'!U77</f>
        <v>0</v>
      </c>
      <c r="Q77" s="510">
        <f>Domestic!W77+'North America'!W77+Europe!W77+'Asia-Pacific'!W77+'Rest of world'!W77+'Latin America'!W77</f>
        <v>0</v>
      </c>
      <c r="R77" s="23">
        <f>Domestic!X77+Europe!X77+'Asia-Pacific'!X77+'Rest of world'!X77+'North America'!X77+'Latin America'!X77</f>
        <v>0</v>
      </c>
      <c r="S77" s="23">
        <f>Domestic!Y77+Europe!Y77+'Asia-Pacific'!Y77+'Rest of world'!Y77+'North America'!Y77+'Latin America'!Y77</f>
        <v>0</v>
      </c>
      <c r="T77" s="510">
        <f>Domestic!AA77+Europe!AA77+'Asia-Pacific'!AA77+'Rest of world'!AA77+'North America'!AA77+'Latin America'!AA77</f>
        <v>0</v>
      </c>
      <c r="U77" s="23">
        <f>Domestic!AB77+Europe!AB77+'Asia-Pacific'!AB77+'Rest of world'!AB77+'North America'!AB77+'Latin America'!AB77</f>
        <v>0</v>
      </c>
      <c r="V77" s="23">
        <f>Domestic!AC77+Europe!AC77+'Asia-Pacific'!AC77+'Rest of world'!AC77+'North America'!AC77+'Latin America'!AC77</f>
        <v>0</v>
      </c>
      <c r="W77" s="510">
        <f>Domestic!AE77+Europe!AE77+'Asia-Pacific'!AE77+'Rest of world'!AE77+'North America'!AE77+'Latin America'!AE77</f>
        <v>0</v>
      </c>
      <c r="X77" s="23">
        <f>Domestic!AF77+Europe!AF77+'Asia-Pacific'!AF77+'Rest of world'!AF77+'North America'!AF77+'Latin America'!AF77</f>
        <v>0</v>
      </c>
      <c r="Y77" s="23">
        <f>Domestic!AG77+Europe!AG77+'Asia-Pacific'!AG77+'Rest of world'!AG77+'North America'!AG77+'Latin America'!AG77</f>
        <v>0</v>
      </c>
      <c r="Z77" s="510">
        <f>Domestic!AI77+Europe!AI77+'Asia-Pacific'!AI77+'Rest of world'!AI77+'North America'!AI77+'Latin America'!AI77</f>
        <v>0</v>
      </c>
      <c r="AA77" s="23">
        <f>Domestic!AJ77+Europe!AJ77+'Asia-Pacific'!AJ77+'Rest of world'!AJ77+'North America'!AJ77+'Latin America'!AJ77</f>
        <v>0</v>
      </c>
      <c r="AB77" s="23">
        <f>Domestic!AK77+Europe!AK77+'Asia-Pacific'!AK77+'Rest of world'!AK77+'North America'!AK77+'Latin America'!AK77</f>
        <v>0</v>
      </c>
      <c r="AC77" s="510">
        <f>Domestic!AM77+Europe!AM77+'Asia-Pacific'!AM77+'Rest of world'!AM77+'North America'!AM77+'Latin America'!AM77</f>
        <v>0</v>
      </c>
      <c r="AD77" s="23">
        <f>Domestic!AN77+Europe!AN77+'Asia-Pacific'!AN77+'Rest of world'!AN77+'North America'!AN77+'Latin America'!AN77</f>
        <v>0</v>
      </c>
      <c r="AE77" s="23">
        <f>Domestic!AO77+Europe!AO77+'Asia-Pacific'!AO77+'Rest of world'!AO77+'North America'!AO77+'Latin America'!AO77</f>
        <v>0</v>
      </c>
      <c r="AF77" s="510">
        <f>Domestic!AQ77+Europe!AQ77+'Asia-Pacific'!AQ77+'Rest of world'!AQ77+'North America'!AQ77+'Latin America'!AQ77</f>
        <v>0</v>
      </c>
      <c r="AG77" s="23">
        <f>Domestic!AR77+Europe!AR77+'Asia-Pacific'!AR77+'Rest of world'!AR77+'North America'!AR77+'Latin America'!AR77</f>
        <v>0</v>
      </c>
      <c r="AH77" s="23">
        <f>Domestic!AS77+Europe!AS77+'Asia-Pacific'!AS77+'Rest of world'!AS77+'North America'!AS77+'Latin America'!AS77</f>
        <v>0</v>
      </c>
      <c r="AI77" s="510">
        <f>Domestic!AU77+Europe!AU77+'Asia-Pacific'!AU77+'Rest of world'!AU77+'North America'!AU77+'Latin America'!AU77</f>
        <v>0</v>
      </c>
      <c r="AJ77" s="23">
        <f>Domestic!AV77+Europe!AV77+'Asia-Pacific'!AV77+'Rest of world'!AV77+'North America'!AV77+'Latin America'!AV77</f>
        <v>0</v>
      </c>
      <c r="AK77" s="23">
        <f>Domestic!AQ77+Europe!AQ77+'Asia-Pacific'!AQ77+'Rest of world'!AQ77+'North America'!AQ77+'Latin America'!AQ77</f>
        <v>0</v>
      </c>
      <c r="AL77" s="510">
        <f>Domestic!AY77+Europe!AY77+'Asia-Pacific'!AY77+'Rest of world'!AY77+'North America'!AY77+'Latin America'!AY77</f>
        <v>0</v>
      </c>
      <c r="AM77" s="257">
        <f t="shared" si="137"/>
        <v>0</v>
      </c>
      <c r="AN77" s="257">
        <f t="shared" si="138"/>
        <v>0</v>
      </c>
      <c r="AO77" s="257">
        <f t="shared" si="139"/>
        <v>0</v>
      </c>
      <c r="AP77" s="257">
        <f t="shared" si="140"/>
        <v>0</v>
      </c>
      <c r="AQ77" s="257">
        <f t="shared" si="141"/>
        <v>0</v>
      </c>
      <c r="AR77" s="257">
        <f t="shared" si="142"/>
        <v>0</v>
      </c>
      <c r="AS77" s="257">
        <f t="shared" si="143"/>
        <v>0</v>
      </c>
      <c r="AT77" s="257">
        <f t="shared" si="144"/>
        <v>0</v>
      </c>
      <c r="AU77" s="257">
        <f t="shared" si="145"/>
        <v>0</v>
      </c>
      <c r="AV77" s="257">
        <f t="shared" si="146"/>
        <v>0</v>
      </c>
      <c r="AW77" s="257">
        <f t="shared" si="147"/>
        <v>0</v>
      </c>
      <c r="AX77" s="257">
        <f t="shared" si="148"/>
        <v>0</v>
      </c>
      <c r="AY77" s="257">
        <f t="shared" si="149"/>
        <v>0</v>
      </c>
      <c r="AZ77" s="257">
        <f t="shared" si="150"/>
        <v>0</v>
      </c>
      <c r="BA77" s="257">
        <f t="shared" si="151"/>
        <v>0</v>
      </c>
      <c r="BB77" s="257">
        <f t="shared" si="152"/>
        <v>0</v>
      </c>
      <c r="BD77" s="23">
        <f t="shared" si="153"/>
        <v>0</v>
      </c>
      <c r="BE77" s="23">
        <f t="shared" si="153"/>
        <v>0</v>
      </c>
      <c r="BF77" s="466">
        <f t="shared" si="154"/>
        <v>0</v>
      </c>
      <c r="BG77" s="509">
        <f t="shared" si="155"/>
        <v>0</v>
      </c>
      <c r="BH77" s="466">
        <f t="shared" si="156"/>
        <v>0</v>
      </c>
    </row>
    <row r="78" spans="1:60" ht="12.6" customHeight="1">
      <c r="A78" s="503" t="s">
        <v>123</v>
      </c>
      <c r="B78" s="23">
        <f t="shared" si="136"/>
        <v>0</v>
      </c>
      <c r="C78" s="23">
        <f>Domestic!D78+Europe!D78+'Asia-Pacific'!D78+'Rest of world'!D78+'North America'!D78+'Latin America'!D78</f>
        <v>0</v>
      </c>
      <c r="D78" s="23">
        <f>Domestic!E78+Europe!E78+'Asia-Pacific'!E78+'Rest of world'!E78+'North America'!E78+'Latin America'!E78</f>
        <v>0</v>
      </c>
      <c r="E78" s="257">
        <f>Domestic!G78+Europe!G78+'Asia-Pacific'!G78+'Rest of world'!G78+'North America'!G78+'Latin America'!G78</f>
        <v>0</v>
      </c>
      <c r="F78" s="23">
        <f>Domestic!H78+Europe!H78+'Asia-Pacific'!H78+'Rest of world'!H78+'North America'!H78+'Latin America'!H78</f>
        <v>0</v>
      </c>
      <c r="G78" s="23">
        <f>Domestic!I78+Europe!I78+'Asia-Pacific'!I78+'Rest of world'!I78+'North America'!I78+'Latin America'!I78</f>
        <v>0</v>
      </c>
      <c r="H78" s="257">
        <f>Domestic!K78+Europe!K78+'Asia-Pacific'!K78+'Rest of world'!K78+'North America'!K78+'Latin America'!K78</f>
        <v>0</v>
      </c>
      <c r="I78" s="23">
        <f>Domestic!L78+Europe!L78+'Asia-Pacific'!L78+'Rest of world'!L78+'North America'!L78+'Latin America'!L78</f>
        <v>0</v>
      </c>
      <c r="J78" s="23">
        <f>Domestic!M78+Europe!M78+'Asia-Pacific'!M78+'Rest of world'!M78+'North America'!M78+'Latin America'!M78</f>
        <v>0</v>
      </c>
      <c r="K78" s="257">
        <f>Domestic!O78+Europe!O78+'Asia-Pacific'!O78+'Rest of world'!O78+'North America'!O78+'Latin America'!O78</f>
        <v>0</v>
      </c>
      <c r="L78" s="23">
        <f>Domestic!P78+Europe!P78+'Asia-Pacific'!P78+'Rest of world'!P78+'North America'!P78+'Latin America'!P78</f>
        <v>0</v>
      </c>
      <c r="M78" s="23">
        <f>Domestic!Q78+Europe!Q78+'Asia-Pacific'!Q78+'Rest of world'!Q78+'North America'!Q78+'Latin America'!Q78</f>
        <v>0</v>
      </c>
      <c r="N78" s="509">
        <f>Domestic!S78+Europe!S78+'Asia-Pacific'!S78+'Rest of world'!S78+'North America'!S78+'Latin America'!S78</f>
        <v>0</v>
      </c>
      <c r="O78" s="23">
        <f>Domestic!T78+Europe!T78+'Asia-Pacific'!T78+'Rest of world'!T78+'North America'!T78+'Latin America'!T78</f>
        <v>0</v>
      </c>
      <c r="P78" s="23">
        <f>Domestic!U78+Europe!U78+'Asia-Pacific'!U78+'Rest of world'!U78+'North America'!U78+'Latin America'!U78</f>
        <v>0</v>
      </c>
      <c r="Q78" s="510">
        <f>Domestic!W78+'North America'!W78+Europe!W78+'Asia-Pacific'!W78+'Rest of world'!W78+'Latin America'!W78</f>
        <v>0</v>
      </c>
      <c r="R78" s="23">
        <f>Domestic!X78+Europe!X78+'Asia-Pacific'!X78+'Rest of world'!X78+'North America'!X78+'Latin America'!X78</f>
        <v>0</v>
      </c>
      <c r="S78" s="23">
        <f>Domestic!Y78+Europe!Y78+'Asia-Pacific'!Y78+'Rest of world'!Y78+'North America'!Y78+'Latin America'!Y78</f>
        <v>0</v>
      </c>
      <c r="T78" s="510">
        <f>Domestic!AA78+Europe!AA78+'Asia-Pacific'!AA78+'Rest of world'!AA78+'North America'!AA78+'Latin America'!AA78</f>
        <v>0</v>
      </c>
      <c r="U78" s="23">
        <f>Domestic!AB78+Europe!AB78+'Asia-Pacific'!AB78+'Rest of world'!AB78+'North America'!AB78+'Latin America'!AB78</f>
        <v>0</v>
      </c>
      <c r="V78" s="23">
        <f>Domestic!AC78+Europe!AC78+'Asia-Pacific'!AC78+'Rest of world'!AC78+'North America'!AC78+'Latin America'!AC78</f>
        <v>0</v>
      </c>
      <c r="W78" s="510">
        <f>Domestic!AE78+Europe!AE78+'Asia-Pacific'!AE78+'Rest of world'!AE78+'North America'!AE78+'Latin America'!AE78</f>
        <v>0</v>
      </c>
      <c r="X78" s="23">
        <f>Domestic!AF78+Europe!AF78+'Asia-Pacific'!AF78+'Rest of world'!AF78+'North America'!AF78+'Latin America'!AF78</f>
        <v>0</v>
      </c>
      <c r="Y78" s="23">
        <f>Domestic!AG78+Europe!AG78+'Asia-Pacific'!AG78+'Rest of world'!AG78+'North America'!AG78+'Latin America'!AG78</f>
        <v>0</v>
      </c>
      <c r="Z78" s="510">
        <f>Domestic!AI78+Europe!AI78+'Asia-Pacific'!AI78+'Rest of world'!AI78+'North America'!AI78+'Latin America'!AI78</f>
        <v>0</v>
      </c>
      <c r="AA78" s="23">
        <f>Domestic!AJ78+Europe!AJ78+'Asia-Pacific'!AJ78+'Rest of world'!AJ78+'North America'!AJ78+'Latin America'!AJ78</f>
        <v>0</v>
      </c>
      <c r="AB78" s="23">
        <f>Domestic!AK78+Europe!AK78+'Asia-Pacific'!AK78+'Rest of world'!AK78+'North America'!AK78+'Latin America'!AK78</f>
        <v>0</v>
      </c>
      <c r="AC78" s="510">
        <f>Domestic!AM78+Europe!AM78+'Asia-Pacific'!AM78+'Rest of world'!AM78+'North America'!AM78+'Latin America'!AM78</f>
        <v>0</v>
      </c>
      <c r="AD78" s="23">
        <f>Domestic!AN78+Europe!AN78+'Asia-Pacific'!AN78+'Rest of world'!AN78+'North America'!AN78+'Latin America'!AN78</f>
        <v>0</v>
      </c>
      <c r="AE78" s="23">
        <f>Domestic!AO78+Europe!AO78+'Asia-Pacific'!AO78+'Rest of world'!AO78+'North America'!AO78+'Latin America'!AO78</f>
        <v>0</v>
      </c>
      <c r="AF78" s="510">
        <f>Domestic!AQ78+Europe!AQ78+'Asia-Pacific'!AQ78+'Rest of world'!AQ78+'North America'!AQ78+'Latin America'!AQ78</f>
        <v>0</v>
      </c>
      <c r="AG78" s="23">
        <f>Domestic!AR78+Europe!AR78+'Asia-Pacific'!AR78+'Rest of world'!AR78+'North America'!AR78+'Latin America'!AR78</f>
        <v>0</v>
      </c>
      <c r="AH78" s="23">
        <f>Domestic!AS78+Europe!AS78+'Asia-Pacific'!AS78+'Rest of world'!AS78+'North America'!AS78+'Latin America'!AS78</f>
        <v>0</v>
      </c>
      <c r="AI78" s="510">
        <f>Domestic!AU78+Europe!AU78+'Asia-Pacific'!AU78+'Rest of world'!AU78+'North America'!AU78+'Latin America'!AU78</f>
        <v>0</v>
      </c>
      <c r="AJ78" s="23">
        <f>Domestic!AV78+Europe!AV78+'Asia-Pacific'!AV78+'Rest of world'!AV78+'North America'!AV78+'Latin America'!AV78</f>
        <v>0</v>
      </c>
      <c r="AK78" s="23">
        <f>Domestic!AQ78+Europe!AQ78+'Asia-Pacific'!AQ78+'Rest of world'!AQ78+'North America'!AQ78+'Latin America'!AQ78</f>
        <v>0</v>
      </c>
      <c r="AL78" s="510">
        <f>Domestic!AY78+Europe!AY78+'Asia-Pacific'!AY78+'Rest of world'!AY78+'North America'!AY78+'Latin America'!AY78</f>
        <v>0</v>
      </c>
      <c r="AM78" s="257">
        <f t="shared" si="137"/>
        <v>0</v>
      </c>
      <c r="AN78" s="257">
        <f t="shared" si="138"/>
        <v>0</v>
      </c>
      <c r="AO78" s="257">
        <f t="shared" si="139"/>
        <v>0</v>
      </c>
      <c r="AP78" s="257">
        <f t="shared" si="140"/>
        <v>0</v>
      </c>
      <c r="AQ78" s="257">
        <f t="shared" si="141"/>
        <v>0</v>
      </c>
      <c r="AR78" s="257">
        <f t="shared" si="142"/>
        <v>0</v>
      </c>
      <c r="AS78" s="257">
        <f t="shared" si="143"/>
        <v>0</v>
      </c>
      <c r="AT78" s="257">
        <f t="shared" si="144"/>
        <v>0</v>
      </c>
      <c r="AU78" s="257">
        <f t="shared" si="145"/>
        <v>0</v>
      </c>
      <c r="AV78" s="257">
        <f t="shared" si="146"/>
        <v>0</v>
      </c>
      <c r="AW78" s="257">
        <f t="shared" si="147"/>
        <v>0</v>
      </c>
      <c r="AX78" s="257">
        <f t="shared" si="148"/>
        <v>0</v>
      </c>
      <c r="AY78" s="257">
        <f t="shared" si="149"/>
        <v>0</v>
      </c>
      <c r="AZ78" s="257">
        <f t="shared" si="150"/>
        <v>0</v>
      </c>
      <c r="BA78" s="257">
        <f t="shared" si="151"/>
        <v>0</v>
      </c>
      <c r="BB78" s="257">
        <f t="shared" si="152"/>
        <v>0</v>
      </c>
      <c r="BD78" s="23">
        <f t="shared" si="153"/>
        <v>0</v>
      </c>
      <c r="BE78" s="23">
        <f t="shared" si="153"/>
        <v>0</v>
      </c>
      <c r="BF78" s="466">
        <f t="shared" si="154"/>
        <v>0</v>
      </c>
      <c r="BG78" s="509">
        <f t="shared" si="155"/>
        <v>0</v>
      </c>
      <c r="BH78" s="466">
        <f t="shared" si="156"/>
        <v>0</v>
      </c>
    </row>
    <row r="79" spans="1:60" ht="12.6" customHeight="1">
      <c r="A79" s="482" t="s">
        <v>108</v>
      </c>
      <c r="B79" s="457">
        <f t="shared" si="136"/>
        <v>480</v>
      </c>
      <c r="C79" s="457">
        <f t="shared" ref="C79:L79" si="157">SUM(C73:C78)</f>
        <v>270</v>
      </c>
      <c r="D79" s="457">
        <f t="shared" si="157"/>
        <v>14</v>
      </c>
      <c r="E79" s="458">
        <f t="shared" ref="E79" si="158">SUM(E73:E78)</f>
        <v>0.17228226359999999</v>
      </c>
      <c r="F79" s="457">
        <f t="shared" si="157"/>
        <v>20</v>
      </c>
      <c r="G79" s="457">
        <f t="shared" si="157"/>
        <v>57</v>
      </c>
      <c r="H79" s="458">
        <f t="shared" ref="H79" si="159">SUM(H73:H78)</f>
        <v>0.23348913599999996</v>
      </c>
      <c r="I79" s="457">
        <f t="shared" si="157"/>
        <v>20</v>
      </c>
      <c r="J79" s="457">
        <f t="shared" si="157"/>
        <v>254</v>
      </c>
      <c r="K79" s="458">
        <f t="shared" ref="K79" si="160">SUM(K73:K78)</f>
        <v>0.239944028</v>
      </c>
      <c r="L79" s="457">
        <f t="shared" si="157"/>
        <v>20</v>
      </c>
      <c r="M79" s="457">
        <f t="shared" ref="M79" si="161">SUM(M73:M78)</f>
        <v>722</v>
      </c>
      <c r="N79" s="458">
        <f t="shared" ref="N79:R79" si="162">SUM(N73:N78)</f>
        <v>2.6785513600000002</v>
      </c>
      <c r="O79" s="457">
        <f t="shared" si="162"/>
        <v>20</v>
      </c>
      <c r="P79" s="457">
        <f t="shared" si="162"/>
        <v>141</v>
      </c>
      <c r="Q79" s="458">
        <f t="shared" si="162"/>
        <v>1.6827741390000002</v>
      </c>
      <c r="R79" s="457">
        <f t="shared" si="162"/>
        <v>20</v>
      </c>
      <c r="S79" s="457">
        <f t="shared" ref="S79" si="163">SUM(S73:S78)</f>
        <v>310</v>
      </c>
      <c r="T79" s="458">
        <f t="shared" ref="T79:AJ79" si="164">SUM(T73:T78)</f>
        <v>4.0918918230000001</v>
      </c>
      <c r="U79" s="457">
        <f t="shared" si="164"/>
        <v>20</v>
      </c>
      <c r="V79" s="457">
        <f t="shared" si="164"/>
        <v>171</v>
      </c>
      <c r="W79" s="458">
        <f t="shared" si="164"/>
        <v>2.2495975925326634</v>
      </c>
      <c r="X79" s="457">
        <f t="shared" si="164"/>
        <v>20</v>
      </c>
      <c r="Y79" s="457">
        <f t="shared" si="164"/>
        <v>412</v>
      </c>
      <c r="Z79" s="458">
        <f t="shared" si="164"/>
        <v>4.9037079552867029</v>
      </c>
      <c r="AA79" s="457">
        <f t="shared" si="164"/>
        <v>20</v>
      </c>
      <c r="AB79" s="457">
        <f t="shared" si="164"/>
        <v>333</v>
      </c>
      <c r="AC79" s="458">
        <f t="shared" si="164"/>
        <v>3.9649608379667036</v>
      </c>
      <c r="AD79" s="457">
        <f t="shared" si="164"/>
        <v>20</v>
      </c>
      <c r="AE79" s="457">
        <f t="shared" si="164"/>
        <v>200</v>
      </c>
      <c r="AF79" s="458">
        <f t="shared" si="164"/>
        <v>2.4162801883415042</v>
      </c>
      <c r="AG79" s="457">
        <f t="shared" si="164"/>
        <v>15</v>
      </c>
      <c r="AH79" s="457">
        <f t="shared" si="164"/>
        <v>226</v>
      </c>
      <c r="AI79" s="458">
        <f t="shared" si="164"/>
        <v>2.8178345812467476</v>
      </c>
      <c r="AJ79" s="457">
        <f t="shared" si="164"/>
        <v>15</v>
      </c>
      <c r="AK79" s="457">
        <f t="shared" ref="AK79:BA79" si="165">SUM(AK73:AK78)</f>
        <v>2.4162801883415042</v>
      </c>
      <c r="AL79" s="458">
        <f>SUM(AL73:AL78)</f>
        <v>0</v>
      </c>
      <c r="AM79" s="457">
        <f t="shared" si="165"/>
        <v>310</v>
      </c>
      <c r="AN79" s="457">
        <f t="shared" si="165"/>
        <v>325</v>
      </c>
      <c r="AO79" s="457">
        <f t="shared" si="165"/>
        <v>0.6457154276</v>
      </c>
      <c r="AP79" s="457">
        <f t="shared" si="165"/>
        <v>60</v>
      </c>
      <c r="AQ79" s="457">
        <f t="shared" si="165"/>
        <v>1173</v>
      </c>
      <c r="AR79" s="457">
        <f t="shared" si="165"/>
        <v>8.4532173220000004</v>
      </c>
      <c r="AS79" s="457">
        <f t="shared" si="165"/>
        <v>60</v>
      </c>
      <c r="AT79" s="457">
        <f t="shared" si="165"/>
        <v>916</v>
      </c>
      <c r="AU79" s="457">
        <f t="shared" si="165"/>
        <v>11.11826638578607</v>
      </c>
      <c r="AV79" s="457">
        <f t="shared" si="165"/>
        <v>50</v>
      </c>
      <c r="AW79" s="457">
        <f t="shared" si="165"/>
        <v>428.41628018834149</v>
      </c>
      <c r="AX79" s="457">
        <f t="shared" si="165"/>
        <v>5.2341147695882517</v>
      </c>
      <c r="AY79" s="457">
        <f t="shared" si="165"/>
        <v>480</v>
      </c>
      <c r="AZ79" s="457">
        <f t="shared" si="165"/>
        <v>2842.4162801883413</v>
      </c>
      <c r="BA79" s="457">
        <f t="shared" si="165"/>
        <v>25.451313904974324</v>
      </c>
      <c r="BB79" s="458">
        <f t="shared" si="152"/>
        <v>5.9217005837257108</v>
      </c>
      <c r="BD79" s="457">
        <f>SUM(BD73:BD78)</f>
        <v>370</v>
      </c>
      <c r="BE79" s="457">
        <f>SUM(BE73:BE78)</f>
        <v>1498</v>
      </c>
      <c r="BF79" s="467">
        <f t="shared" si="154"/>
        <v>4.0486486486486486</v>
      </c>
      <c r="BG79" s="530">
        <f t="shared" ref="BG79" si="166">SUM(BG73:BG78)</f>
        <v>9.0989327496000012</v>
      </c>
      <c r="BH79" s="525">
        <f t="shared" si="156"/>
        <v>3.1208333333333331</v>
      </c>
    </row>
    <row r="80" spans="1:60" ht="12.6" customHeight="1">
      <c r="A80" s="472"/>
      <c r="B80" s="472"/>
      <c r="C80" s="472"/>
      <c r="D80" s="472"/>
      <c r="E80" s="472"/>
      <c r="F80" s="472"/>
      <c r="G80" s="472"/>
      <c r="H80" s="472"/>
      <c r="I80" s="472"/>
      <c r="J80" s="472"/>
      <c r="K80" s="472"/>
      <c r="L80" s="472"/>
      <c r="M80" s="472"/>
      <c r="N80" s="472"/>
      <c r="O80" s="472"/>
      <c r="P80" s="472"/>
      <c r="Q80" s="472"/>
      <c r="R80" s="472"/>
      <c r="S80" s="472"/>
      <c r="T80" s="472"/>
      <c r="U80" s="472"/>
      <c r="V80" s="472"/>
      <c r="W80" s="472"/>
      <c r="X80" s="472"/>
      <c r="Y80" s="472"/>
      <c r="Z80" s="472"/>
      <c r="AA80" s="472"/>
      <c r="AB80" s="472"/>
      <c r="AC80" s="472"/>
      <c r="AD80" s="472"/>
      <c r="AE80" s="472"/>
      <c r="AF80" s="472"/>
      <c r="AG80" s="472"/>
      <c r="AH80" s="472"/>
      <c r="AI80" s="472"/>
      <c r="AJ80" s="472"/>
      <c r="AK80" s="472"/>
      <c r="AL80" s="472"/>
      <c r="AP80" s="477"/>
      <c r="AQ80" s="477"/>
      <c r="BD80" s="523"/>
      <c r="BE80" s="523"/>
      <c r="BF80" s="470">
        <f t="shared" si="154"/>
        <v>0</v>
      </c>
      <c r="BG80" s="532"/>
      <c r="BH80" s="527">
        <f t="shared" si="156"/>
        <v>0</v>
      </c>
    </row>
    <row r="81" spans="1:60" ht="12.6" customHeight="1">
      <c r="A81" s="482" t="s">
        <v>233</v>
      </c>
      <c r="B81" s="457">
        <f>B24+B54+B61+B65+B79</f>
        <v>167104</v>
      </c>
      <c r="C81" s="457">
        <f t="shared" ref="C81:AJ81" si="167">C24+C54+C61+C65+C79</f>
        <v>11110</v>
      </c>
      <c r="D81" s="457">
        <f t="shared" si="167"/>
        <v>6635</v>
      </c>
      <c r="E81" s="458">
        <f t="shared" ref="E81" si="168">E24+E54+E61+E65+E79</f>
        <v>33.736302021642857</v>
      </c>
      <c r="F81" s="457">
        <f t="shared" si="167"/>
        <v>13031</v>
      </c>
      <c r="G81" s="457">
        <f t="shared" si="167"/>
        <v>10702</v>
      </c>
      <c r="H81" s="458">
        <f t="shared" ref="H81" si="169">H24+H54+H61+H65+H79</f>
        <v>48.04700149144287</v>
      </c>
      <c r="I81" s="457">
        <f t="shared" si="167"/>
        <v>13174</v>
      </c>
      <c r="J81" s="457">
        <f t="shared" si="167"/>
        <v>9453</v>
      </c>
      <c r="K81" s="458">
        <f t="shared" ref="K81" si="170">K24+K54+K61+K65+K79</f>
        <v>42.118673849371419</v>
      </c>
      <c r="L81" s="457">
        <f t="shared" si="167"/>
        <v>14722</v>
      </c>
      <c r="M81" s="457">
        <f t="shared" ref="M81" si="171">M24+M54+M61+M65+M79</f>
        <v>10716</v>
      </c>
      <c r="N81" s="458">
        <f t="shared" si="167"/>
        <v>53.099702276596609</v>
      </c>
      <c r="O81" s="457">
        <f t="shared" si="167"/>
        <v>13611</v>
      </c>
      <c r="P81" s="457">
        <f t="shared" si="167"/>
        <v>9693</v>
      </c>
      <c r="Q81" s="458">
        <f t="shared" ref="Q81" si="172">Q24+Q54+Q61+Q65+Q79</f>
        <v>49.090029273385717</v>
      </c>
      <c r="R81" s="457">
        <f t="shared" si="167"/>
        <v>15218</v>
      </c>
      <c r="S81" s="457">
        <f t="shared" ref="S81" ca="1" si="173">S24+S54+S61+S65+S79</f>
        <v>10063</v>
      </c>
      <c r="T81" s="458">
        <f t="shared" ca="1" si="167"/>
        <v>60.446773439385709</v>
      </c>
      <c r="U81" s="457">
        <f t="shared" si="167"/>
        <v>14190</v>
      </c>
      <c r="V81" s="457">
        <f t="shared" ref="V81" si="174">V24+V54+V61+V65+V79</f>
        <v>8632</v>
      </c>
      <c r="W81" s="458">
        <f t="shared" ref="W81" si="175">W24+W54+W61+W65+W79</f>
        <v>50.169517083171918</v>
      </c>
      <c r="X81" s="457">
        <f t="shared" si="167"/>
        <v>15077</v>
      </c>
      <c r="Y81" s="457">
        <f t="shared" ref="Y81" si="176">Y24+Y54+Y61+Y65+Y79</f>
        <v>7372</v>
      </c>
      <c r="Z81" s="458">
        <f t="shared" ref="Z81" si="177">Z24+Z54+Z61+Z65+Z79</f>
        <v>36.389354737966464</v>
      </c>
      <c r="AA81" s="457">
        <f t="shared" si="167"/>
        <v>14716</v>
      </c>
      <c r="AB81" s="457">
        <f t="shared" ref="AB81" si="178">AB24+AB54+AB61+AB65+AB79</f>
        <v>7285</v>
      </c>
      <c r="AC81" s="458">
        <f t="shared" si="167"/>
        <v>43.631099112221563</v>
      </c>
      <c r="AD81" s="457">
        <f t="shared" si="167"/>
        <v>14143</v>
      </c>
      <c r="AE81" s="457">
        <f t="shared" ref="AE81" si="179">AE24+AE54+AE61+AE65+AE79</f>
        <v>8825</v>
      </c>
      <c r="AF81" s="458">
        <f t="shared" ref="AF81" si="180">AF24+AF54+AF61+AF65+AF79</f>
        <v>55.619951455911767</v>
      </c>
      <c r="AG81" s="457">
        <f t="shared" si="167"/>
        <v>15302</v>
      </c>
      <c r="AH81" s="457">
        <f t="shared" ref="AH81" si="181">AH24+AH54+AH61+AH65+AH79</f>
        <v>8401</v>
      </c>
      <c r="AI81" s="458">
        <f t="shared" si="167"/>
        <v>42.079926290735301</v>
      </c>
      <c r="AJ81" s="457">
        <f t="shared" si="167"/>
        <v>12810</v>
      </c>
      <c r="AK81" s="457">
        <f t="shared" ref="AK81:BA81" si="182">AK24+AK54+AK61+AK65+AK79</f>
        <v>55.619951455911767</v>
      </c>
      <c r="AL81" s="458">
        <f t="shared" ca="1" si="182"/>
        <v>0</v>
      </c>
      <c r="AM81" s="457">
        <f t="shared" si="182"/>
        <v>37315</v>
      </c>
      <c r="AN81" s="457">
        <f t="shared" si="182"/>
        <v>26790</v>
      </c>
      <c r="AO81" s="457">
        <f t="shared" si="182"/>
        <v>123.90197736245715</v>
      </c>
      <c r="AP81" s="457">
        <f t="shared" si="182"/>
        <v>43551</v>
      </c>
      <c r="AQ81" s="457">
        <f t="shared" ca="1" si="182"/>
        <v>30472</v>
      </c>
      <c r="AR81" s="457">
        <f t="shared" ca="1" si="182"/>
        <v>162.63650498936804</v>
      </c>
      <c r="AS81" s="457">
        <f t="shared" si="182"/>
        <v>43983</v>
      </c>
      <c r="AT81" s="457">
        <f t="shared" si="182"/>
        <v>23289</v>
      </c>
      <c r="AU81" s="457">
        <f t="shared" si="182"/>
        <v>130.18997093335992</v>
      </c>
      <c r="AV81" s="457">
        <f t="shared" si="182"/>
        <v>42255</v>
      </c>
      <c r="AW81" s="457">
        <f t="shared" si="182"/>
        <v>17281.619951455912</v>
      </c>
      <c r="AX81" s="457">
        <f t="shared" ca="1" si="182"/>
        <v>97.699877746647076</v>
      </c>
      <c r="AY81" s="457">
        <f t="shared" si="182"/>
        <v>167104</v>
      </c>
      <c r="AZ81" s="457">
        <f t="shared" ca="1" si="182"/>
        <v>97832.619951455898</v>
      </c>
      <c r="BA81" s="511">
        <f t="shared" ca="1" si="182"/>
        <v>514.42833103183227</v>
      </c>
      <c r="BB81" s="458">
        <f t="shared" ca="1" si="152"/>
        <v>0.58545947404883125</v>
      </c>
      <c r="BD81" s="457">
        <f t="shared" ref="BD81:BE81" si="183">BD24+BD54+BD61+BD65+BD79</f>
        <v>80866</v>
      </c>
      <c r="BE81" s="457">
        <f t="shared" ca="1" si="183"/>
        <v>57262</v>
      </c>
      <c r="BF81" s="467">
        <f t="shared" ca="1" si="154"/>
        <v>0.70810971236366338</v>
      </c>
      <c r="BG81" s="530">
        <f t="shared" ref="BG81" ca="1" si="184">BG24+BG54+BG61+BG65+BG79</f>
        <v>286.53848235182517</v>
      </c>
      <c r="BH81" s="525">
        <f t="shared" ca="1" si="156"/>
        <v>0.34267282650325548</v>
      </c>
    </row>
    <row r="82" spans="1:60" s="251" customFormat="1" ht="12.6" customHeight="1">
      <c r="AM82" s="2"/>
      <c r="AN82" s="2"/>
      <c r="BA82" s="533"/>
      <c r="BG82"/>
    </row>
    <row r="83" spans="1:60" s="251" customFormat="1" ht="12.6" customHeight="1">
      <c r="A83" s="482" t="s">
        <v>241</v>
      </c>
      <c r="B83" s="457"/>
      <c r="C83" s="457"/>
      <c r="D83" s="457"/>
      <c r="E83" s="511">
        <f>SUM(E6:E14)+SUM(E16:E20)+E31+E33+E39+E40+E47+E41</f>
        <v>13.968955656299999</v>
      </c>
      <c r="F83" s="457"/>
      <c r="G83" s="511"/>
      <c r="H83" s="511">
        <f>SUM(H6:H14)+SUM(H16:H20)+H31+H33+H39+H40+H47+H41</f>
        <v>23.119369477599999</v>
      </c>
      <c r="I83" s="457"/>
      <c r="J83" s="457"/>
      <c r="K83" s="511">
        <f>SUM(K6:K14)+SUM(K16:K20)+K31+K33+K39+K40+K47+K41</f>
        <v>17.166751028</v>
      </c>
      <c r="L83" s="457"/>
      <c r="M83" s="457"/>
      <c r="N83" s="511">
        <f>SUM(N6:N14)+SUM(N16:N20)+N31+N33+N39+N40+N47+N41</f>
        <v>22.908225911999999</v>
      </c>
      <c r="O83" s="511"/>
      <c r="P83" s="511"/>
      <c r="Q83" s="511">
        <f>SUM(Q6:Q14)+SUM(Q16:Q20)+Q31+Q33+Q39+Q40+Q47+Q41</f>
        <v>25.563772947000004</v>
      </c>
      <c r="R83" s="511"/>
      <c r="S83" s="511"/>
      <c r="T83" s="511">
        <f ca="1">SUM(T6:T14)+SUM(T16:T20)+T31+T33+T39+T40+T47+T41</f>
        <v>18.475840445799999</v>
      </c>
      <c r="U83" s="457"/>
      <c r="V83" s="511"/>
      <c r="W83" s="511">
        <f>SUM(W6:W14)+SUM(W16:W20)+W31+W33+W39+W40+W47+W41</f>
        <v>20.463842915039415</v>
      </c>
      <c r="X83" s="457"/>
      <c r="Y83" s="511"/>
      <c r="Z83" s="511">
        <f>SUM(Z6:Z14)+SUM(Z16:Z20)+Z31+Z33+Z39+Z40+Z47+Z41</f>
        <v>12.703066663999998</v>
      </c>
      <c r="AA83" s="458"/>
      <c r="AB83" s="511"/>
      <c r="AC83" s="511">
        <f>SUM(AC6:AC14)+SUM(AC16:AC20)+AC31+AC33+AC39+AC40+AC47+AC41</f>
        <v>16.966085537588693</v>
      </c>
      <c r="AD83" s="458"/>
      <c r="AE83" s="511"/>
      <c r="AF83" s="511">
        <f>SUM(AF6:AF14)+SUM(AF16:AF20)+AF31+AF33+AF39+AF40+AF47+AF41</f>
        <v>18.990188852189871</v>
      </c>
      <c r="AG83" s="458"/>
      <c r="AH83" s="511"/>
      <c r="AI83" s="511">
        <f>SUM(AI6:AI14)+SUM(AI16:AI20)+AI31+AI33+AI39+AI40+AI47+AI41</f>
        <v>16.661734144540361</v>
      </c>
      <c r="AJ83" s="474"/>
      <c r="AK83" s="511">
        <f>SUM(AK6:AK14)+SUM(AK16:AK19)+AK31+AK33+AK39+AK40+AK47+AK41</f>
        <v>18.990188852189871</v>
      </c>
      <c r="AL83" s="511">
        <f>SUM(AL6:AL14)+SUM(AL16:AL20)+AL31+AL33+AL39+AL40+AL47+AL41</f>
        <v>0</v>
      </c>
      <c r="AM83" s="458"/>
      <c r="AN83" s="458"/>
      <c r="AO83" s="458">
        <f t="shared" ref="AO83" si="185">(E83+H83+K83)</f>
        <v>54.2550761619</v>
      </c>
      <c r="AP83" s="458"/>
      <c r="AQ83" s="458"/>
      <c r="AR83" s="458">
        <f t="shared" ref="AR83" ca="1" si="186">(N83+Q83+T83)</f>
        <v>66.947839304799999</v>
      </c>
      <c r="AS83" s="458"/>
      <c r="AT83" s="458"/>
      <c r="AU83" s="458">
        <f t="shared" ref="AU83" si="187">(W83+Z83+AC83)</f>
        <v>50.132995116628109</v>
      </c>
      <c r="AV83" s="458"/>
      <c r="AW83" s="458"/>
      <c r="AX83" s="458">
        <f t="shared" ref="AX83" si="188">(AF83+AI83+AL83)</f>
        <v>35.651922996730235</v>
      </c>
      <c r="AY83" s="458"/>
      <c r="AZ83" s="458"/>
      <c r="BA83" s="511">
        <f t="shared" ref="BA83:BA85" ca="1" si="189">AO83+AR83+AU83+AX83</f>
        <v>206.98783358005835</v>
      </c>
      <c r="BB83" s="458">
        <f t="shared" si="152"/>
        <v>0</v>
      </c>
      <c r="BD83" s="511"/>
      <c r="BE83" s="457"/>
      <c r="BF83" s="511"/>
      <c r="BG83" s="511">
        <f ca="1">SUM(BG6:BG14)+SUM(BG16:BG20)+BG31+BG33+BG39+BG40+BG47+BG41</f>
        <v>121.20291546669999</v>
      </c>
      <c r="BH83" s="511"/>
    </row>
    <row r="84" spans="1:60" s="251" customFormat="1" ht="12.6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 s="21"/>
      <c r="AB84"/>
      <c r="AC84"/>
      <c r="AD84" s="21"/>
      <c r="AE84"/>
      <c r="AF84"/>
      <c r="AG84" s="21"/>
      <c r="AH84"/>
      <c r="AI84"/>
      <c r="AJ84" s="21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 s="534"/>
      <c r="BB84"/>
      <c r="BD84"/>
      <c r="BE84"/>
      <c r="BF84"/>
      <c r="BG84"/>
      <c r="BH84"/>
    </row>
    <row r="85" spans="1:60" s="251" customFormat="1" ht="12.6" customHeight="1">
      <c r="A85" s="482" t="s">
        <v>242</v>
      </c>
      <c r="B85" s="457"/>
      <c r="C85" s="457"/>
      <c r="D85" s="457"/>
      <c r="E85" s="530">
        <f>E81-E83</f>
        <v>19.76734636534286</v>
      </c>
      <c r="F85" s="457"/>
      <c r="G85" s="530"/>
      <c r="H85" s="530">
        <f>H81-H83</f>
        <v>24.927632013842871</v>
      </c>
      <c r="I85" s="457"/>
      <c r="J85" s="457"/>
      <c r="K85" s="530">
        <f>K81-K83</f>
        <v>24.951922821371419</v>
      </c>
      <c r="L85" s="457"/>
      <c r="M85" s="457"/>
      <c r="N85" s="530">
        <f>N81-N83</f>
        <v>30.19147636459661</v>
      </c>
      <c r="O85" s="530"/>
      <c r="P85" s="530"/>
      <c r="Q85" s="530">
        <f>Q81-Q83</f>
        <v>23.526256326385713</v>
      </c>
      <c r="R85" s="530"/>
      <c r="S85" s="530"/>
      <c r="T85" s="530">
        <f ca="1">T81-T83</f>
        <v>41.970932993585706</v>
      </c>
      <c r="U85" s="457"/>
      <c r="V85" s="530"/>
      <c r="W85" s="530">
        <f>W81-W83</f>
        <v>29.705674168132504</v>
      </c>
      <c r="X85" s="457"/>
      <c r="Y85" s="530"/>
      <c r="Z85" s="530">
        <f>Z81-Z83</f>
        <v>23.686288073966466</v>
      </c>
      <c r="AA85" s="458"/>
      <c r="AB85" s="530"/>
      <c r="AC85" s="530">
        <f>AC81-AC83</f>
        <v>26.665013574632869</v>
      </c>
      <c r="AD85" s="458"/>
      <c r="AE85" s="530"/>
      <c r="AF85" s="530">
        <f>AF81-AF83</f>
        <v>36.6297626037219</v>
      </c>
      <c r="AG85" s="458"/>
      <c r="AH85" s="530"/>
      <c r="AI85" s="530">
        <f>AI81-AI83</f>
        <v>25.41819214619494</v>
      </c>
      <c r="AJ85" s="474"/>
      <c r="AK85" s="530">
        <f>AK81-AK83</f>
        <v>36.6297626037219</v>
      </c>
      <c r="AL85" s="530">
        <f ca="1">AL81-AL83</f>
        <v>0</v>
      </c>
      <c r="AM85" s="458"/>
      <c r="AN85" s="458"/>
      <c r="AO85" s="458">
        <f t="shared" ref="AO85" si="190">(E85+H85+K85)</f>
        <v>69.646901200557153</v>
      </c>
      <c r="AP85" s="458"/>
      <c r="AQ85" s="458"/>
      <c r="AR85" s="458">
        <f t="shared" ref="AR85" ca="1" si="191">(N85+Q85+T85)</f>
        <v>95.688665684568036</v>
      </c>
      <c r="AS85" s="458"/>
      <c r="AT85" s="458"/>
      <c r="AU85" s="458">
        <f t="shared" ref="AU85" si="192">(W85+Z85+AC85)</f>
        <v>80.056975816731835</v>
      </c>
      <c r="AV85" s="458"/>
      <c r="AW85" s="458"/>
      <c r="AX85" s="458">
        <f t="shared" ref="AX85" ca="1" si="193">(AF85+AI85+AL85)</f>
        <v>62.04795474991684</v>
      </c>
      <c r="AY85" s="458"/>
      <c r="AZ85" s="458"/>
      <c r="BA85" s="511">
        <f t="shared" ca="1" si="189"/>
        <v>307.44049745177387</v>
      </c>
      <c r="BB85" s="458">
        <f t="shared" si="152"/>
        <v>0</v>
      </c>
      <c r="BD85" s="530"/>
      <c r="BE85" s="457"/>
      <c r="BF85" s="530"/>
      <c r="BG85" s="530">
        <f ca="1">BG81-BG83</f>
        <v>165.33556688512516</v>
      </c>
      <c r="BH85" s="530"/>
    </row>
    <row r="86" spans="1:60" s="251" customFormat="1" ht="12.6" customHeight="1">
      <c r="AM86" s="2"/>
      <c r="AN86" s="2"/>
    </row>
    <row r="87" spans="1:60" s="251" customFormat="1" ht="12.6" customHeight="1">
      <c r="AM87" s="2"/>
      <c r="AN87" s="2"/>
    </row>
    <row r="88" spans="1:60" s="251" customFormat="1" ht="12.6" customHeight="1">
      <c r="AM88" s="2"/>
      <c r="AN88" s="2"/>
    </row>
    <row r="89" spans="1:60" s="251" customFormat="1" ht="12.6" customHeight="1">
      <c r="AM89" s="2"/>
      <c r="AN89" s="2"/>
    </row>
    <row r="90" spans="1:60" s="251" customFormat="1" ht="12.6" customHeight="1">
      <c r="AM90" s="2"/>
      <c r="AN90" s="2"/>
    </row>
    <row r="91" spans="1:60" s="251" customFormat="1" ht="12.6" customHeight="1">
      <c r="AM91" s="2"/>
      <c r="AN91" s="2"/>
    </row>
    <row r="92" spans="1:60" s="251" customFormat="1" ht="12.6" customHeight="1">
      <c r="AM92" s="2"/>
      <c r="AN92" s="2"/>
    </row>
    <row r="93" spans="1:60" s="251" customFormat="1" ht="12.6" customHeight="1">
      <c r="AM93" s="2"/>
      <c r="AN93" s="2"/>
    </row>
    <row r="94" spans="1:60" s="251" customFormat="1" ht="12.6" customHeight="1">
      <c r="AM94" s="2"/>
      <c r="AN94" s="2"/>
    </row>
    <row r="95" spans="1:60" s="251" customFormat="1" ht="12.6" customHeight="1">
      <c r="AM95" s="2"/>
      <c r="AN95" s="2"/>
    </row>
    <row r="96" spans="1:60" s="251" customFormat="1" ht="12.6" customHeight="1">
      <c r="AM96" s="2"/>
      <c r="AN96" s="2"/>
    </row>
    <row r="97" spans="39:40" s="251" customFormat="1" ht="12.6" customHeight="1">
      <c r="AM97" s="2"/>
      <c r="AN97" s="2"/>
    </row>
    <row r="98" spans="39:40" s="251" customFormat="1" ht="12.6" customHeight="1">
      <c r="AM98" s="2"/>
      <c r="AN98" s="2"/>
    </row>
    <row r="99" spans="39:40" s="251" customFormat="1" ht="12.6" customHeight="1">
      <c r="AM99" s="2"/>
      <c r="AN99" s="2"/>
    </row>
    <row r="100" spans="39:40" s="251" customFormat="1" ht="12.6" customHeight="1">
      <c r="AM100" s="2"/>
      <c r="AN100" s="2"/>
    </row>
    <row r="101" spans="39:40" s="251" customFormat="1" ht="12.6" customHeight="1">
      <c r="AM101" s="2"/>
      <c r="AN101" s="2"/>
    </row>
    <row r="102" spans="39:40" s="251" customFormat="1" ht="12.6" customHeight="1">
      <c r="AM102" s="2"/>
      <c r="AN102" s="2"/>
    </row>
    <row r="103" spans="39:40" s="251" customFormat="1" ht="12.6" customHeight="1">
      <c r="AM103" s="2"/>
      <c r="AN103" s="2"/>
    </row>
    <row r="104" spans="39:40" s="251" customFormat="1" ht="12.6" customHeight="1">
      <c r="AM104" s="2"/>
      <c r="AN104" s="2"/>
    </row>
    <row r="105" spans="39:40" s="251" customFormat="1" ht="12.6" customHeight="1">
      <c r="AM105" s="2"/>
      <c r="AN105" s="2"/>
    </row>
    <row r="106" spans="39:40" s="251" customFormat="1" ht="12.6" customHeight="1">
      <c r="AM106" s="2"/>
      <c r="AN106" s="2"/>
    </row>
    <row r="107" spans="39:40" s="251" customFormat="1" ht="12.6" customHeight="1">
      <c r="AM107" s="2"/>
      <c r="AN107" s="2"/>
    </row>
    <row r="108" spans="39:40" s="251" customFormat="1" ht="12.6" customHeight="1">
      <c r="AM108" s="2"/>
      <c r="AN108" s="2"/>
    </row>
    <row r="109" spans="39:40" s="251" customFormat="1" ht="12.6" customHeight="1">
      <c r="AM109" s="2"/>
      <c r="AN109" s="2"/>
    </row>
    <row r="110" spans="39:40" s="251" customFormat="1" ht="12.6" customHeight="1">
      <c r="AM110" s="2"/>
      <c r="AN110" s="2"/>
    </row>
    <row r="111" spans="39:40" s="251" customFormat="1" ht="12.6" customHeight="1">
      <c r="AM111" s="2"/>
      <c r="AN111" s="2"/>
    </row>
    <row r="112" spans="39:40" s="251" customFormat="1" ht="12.6" customHeight="1">
      <c r="AM112" s="2"/>
      <c r="AN112" s="2"/>
    </row>
    <row r="113" spans="39:40" s="251" customFormat="1" ht="12.6" customHeight="1">
      <c r="AM113" s="2"/>
      <c r="AN113" s="2"/>
    </row>
    <row r="114" spans="39:40" s="251" customFormat="1" ht="12.6" customHeight="1">
      <c r="AM114" s="2"/>
      <c r="AN114" s="2"/>
    </row>
    <row r="115" spans="39:40" s="251" customFormat="1" ht="12.6" customHeight="1">
      <c r="AM115" s="2"/>
      <c r="AN115" s="2"/>
    </row>
    <row r="116" spans="39:40" s="251" customFormat="1" ht="12.6" customHeight="1">
      <c r="AM116" s="2"/>
      <c r="AN116" s="2"/>
    </row>
    <row r="117" spans="39:40" s="251" customFormat="1" ht="12.6" customHeight="1">
      <c r="AM117" s="2"/>
      <c r="AN117" s="2"/>
    </row>
    <row r="118" spans="39:40" s="251" customFormat="1" ht="12.6" customHeight="1">
      <c r="AM118" s="2"/>
      <c r="AN118" s="2"/>
    </row>
    <row r="119" spans="39:40" s="251" customFormat="1" ht="12.6" customHeight="1">
      <c r="AM119" s="2"/>
      <c r="AN119" s="2"/>
    </row>
    <row r="120" spans="39:40" s="251" customFormat="1" ht="12.6" customHeight="1">
      <c r="AM120" s="2"/>
      <c r="AN120" s="2"/>
    </row>
    <row r="121" spans="39:40" s="251" customFormat="1" ht="12.6" customHeight="1">
      <c r="AM121" s="2"/>
      <c r="AN121" s="2"/>
    </row>
    <row r="122" spans="39:40" s="251" customFormat="1" ht="12.6" customHeight="1">
      <c r="AM122" s="2"/>
      <c r="AN122" s="2"/>
    </row>
    <row r="123" spans="39:40" s="251" customFormat="1" ht="12.6" customHeight="1">
      <c r="AM123" s="2"/>
      <c r="AN123" s="2"/>
    </row>
    <row r="124" spans="39:40" s="251" customFormat="1" ht="12.6" customHeight="1">
      <c r="AM124" s="2"/>
      <c r="AN124" s="2"/>
    </row>
    <row r="125" spans="39:40" s="251" customFormat="1" ht="12.6" customHeight="1">
      <c r="AM125" s="2"/>
      <c r="AN125" s="2"/>
    </row>
    <row r="126" spans="39:40" s="251" customFormat="1" ht="12.6" customHeight="1">
      <c r="AM126" s="2"/>
      <c r="AN126" s="2"/>
    </row>
    <row r="127" spans="39:40" s="251" customFormat="1" ht="12.6" customHeight="1">
      <c r="AM127" s="2"/>
      <c r="AN127" s="2"/>
    </row>
    <row r="128" spans="39:40" s="251" customFormat="1" ht="12.6" customHeight="1">
      <c r="AM128" s="2"/>
      <c r="AN128" s="2"/>
    </row>
    <row r="129" spans="39:40" s="251" customFormat="1" ht="12.6" customHeight="1">
      <c r="AM129" s="2"/>
      <c r="AN129" s="2"/>
    </row>
    <row r="130" spans="39:40" s="251" customFormat="1" ht="12.6" customHeight="1">
      <c r="AM130" s="2"/>
      <c r="AN130" s="2"/>
    </row>
    <row r="131" spans="39:40" s="251" customFormat="1" ht="12.6" customHeight="1">
      <c r="AM131" s="2"/>
      <c r="AN131" s="2"/>
    </row>
    <row r="132" spans="39:40" s="251" customFormat="1" ht="12.6" customHeight="1">
      <c r="AM132" s="2"/>
      <c r="AN132" s="2"/>
    </row>
    <row r="133" spans="39:40" s="251" customFormat="1" ht="12.6" customHeight="1">
      <c r="AM133" s="2"/>
      <c r="AN133" s="2"/>
    </row>
    <row r="134" spans="39:40" s="251" customFormat="1" ht="12.6" customHeight="1">
      <c r="AM134" s="2"/>
      <c r="AN134" s="2"/>
    </row>
    <row r="135" spans="39:40" s="251" customFormat="1" ht="12.6" customHeight="1">
      <c r="AM135" s="2"/>
      <c r="AN135" s="2"/>
    </row>
    <row r="136" spans="39:40" s="251" customFormat="1" ht="12.6" customHeight="1">
      <c r="AM136" s="2"/>
      <c r="AN136" s="2"/>
    </row>
    <row r="137" spans="39:40" s="251" customFormat="1" ht="12.6" customHeight="1">
      <c r="AM137" s="2"/>
      <c r="AN137" s="2"/>
    </row>
    <row r="138" spans="39:40" s="251" customFormat="1" ht="12.6" customHeight="1">
      <c r="AM138" s="2"/>
      <c r="AN138" s="2"/>
    </row>
    <row r="139" spans="39:40" s="251" customFormat="1" ht="12.6" customHeight="1">
      <c r="AM139" s="2"/>
      <c r="AN139" s="2"/>
    </row>
    <row r="140" spans="39:40" s="251" customFormat="1" ht="12.6" customHeight="1">
      <c r="AM140" s="2"/>
      <c r="AN140" s="2"/>
    </row>
    <row r="141" spans="39:40" s="251" customFormat="1" ht="12.6" customHeight="1">
      <c r="AM141" s="2"/>
      <c r="AN141" s="2"/>
    </row>
    <row r="142" spans="39:40" s="251" customFormat="1" ht="12.6" customHeight="1">
      <c r="AM142" s="2"/>
      <c r="AN142" s="2"/>
    </row>
    <row r="143" spans="39:40" s="251" customFormat="1" ht="12.6" customHeight="1">
      <c r="AM143" s="2"/>
      <c r="AN143" s="2"/>
    </row>
    <row r="144" spans="39:40" s="251" customFormat="1" ht="12.6" customHeight="1">
      <c r="AM144" s="2"/>
      <c r="AN144" s="2"/>
    </row>
    <row r="145" spans="39:40" s="251" customFormat="1" ht="12.6" customHeight="1">
      <c r="AM145" s="2"/>
      <c r="AN145" s="2"/>
    </row>
    <row r="146" spans="39:40" s="251" customFormat="1" ht="12.6" customHeight="1">
      <c r="AM146" s="2"/>
      <c r="AN146" s="2"/>
    </row>
    <row r="147" spans="39:40" s="251" customFormat="1" ht="12.6" customHeight="1">
      <c r="AM147" s="2"/>
      <c r="AN147" s="2"/>
    </row>
    <row r="148" spans="39:40" s="251" customFormat="1" ht="12.6" customHeight="1">
      <c r="AM148" s="2"/>
      <c r="AN148" s="2"/>
    </row>
    <row r="149" spans="39:40" s="251" customFormat="1" ht="12.6" customHeight="1">
      <c r="AM149" s="2"/>
      <c r="AN149" s="2"/>
    </row>
    <row r="150" spans="39:40" s="251" customFormat="1" ht="12.6" customHeight="1">
      <c r="AM150" s="2"/>
      <c r="AN150" s="2"/>
    </row>
    <row r="151" spans="39:40" s="251" customFormat="1" ht="12.6" customHeight="1">
      <c r="AM151" s="2"/>
      <c r="AN151" s="2"/>
    </row>
    <row r="152" spans="39:40" s="251" customFormat="1" ht="12.6" customHeight="1">
      <c r="AM152" s="2"/>
      <c r="AN152" s="2"/>
    </row>
    <row r="153" spans="39:40" s="251" customFormat="1" ht="12.6" customHeight="1">
      <c r="AM153" s="2"/>
      <c r="AN153" s="2"/>
    </row>
    <row r="154" spans="39:40" s="251" customFormat="1" ht="12.6" customHeight="1">
      <c r="AM154" s="2"/>
      <c r="AN154" s="2"/>
    </row>
    <row r="155" spans="39:40" s="251" customFormat="1" ht="12.6" customHeight="1">
      <c r="AM155" s="2"/>
      <c r="AN155" s="2"/>
    </row>
    <row r="156" spans="39:40" s="251" customFormat="1" ht="12.6" customHeight="1">
      <c r="AM156" s="2"/>
      <c r="AN156" s="2"/>
    </row>
    <row r="157" spans="39:40" s="251" customFormat="1" ht="12.6" customHeight="1">
      <c r="AM157" s="2"/>
      <c r="AN157" s="2"/>
    </row>
    <row r="158" spans="39:40" s="251" customFormat="1" ht="12.6" customHeight="1">
      <c r="AM158" s="2"/>
      <c r="AN158" s="2"/>
    </row>
    <row r="159" spans="39:40" s="251" customFormat="1" ht="12.6" customHeight="1">
      <c r="AM159" s="2"/>
      <c r="AN159" s="2"/>
    </row>
    <row r="160" spans="39:40" s="251" customFormat="1" ht="12.6" customHeight="1">
      <c r="AM160" s="2"/>
      <c r="AN160" s="2"/>
    </row>
    <row r="161" spans="39:40" s="251" customFormat="1" ht="12.6" customHeight="1">
      <c r="AM161" s="2"/>
      <c r="AN161" s="2"/>
    </row>
    <row r="162" spans="39:40" s="251" customFormat="1" ht="12.6" customHeight="1">
      <c r="AM162" s="2"/>
      <c r="AN162" s="2"/>
    </row>
    <row r="163" spans="39:40" s="251" customFormat="1" ht="12.6" customHeight="1">
      <c r="AM163" s="2"/>
      <c r="AN163" s="2"/>
    </row>
    <row r="164" spans="39:40" s="251" customFormat="1" ht="12.6" customHeight="1">
      <c r="AM164" s="2"/>
      <c r="AN164" s="2"/>
    </row>
    <row r="165" spans="39:40" s="251" customFormat="1" ht="12.6" customHeight="1">
      <c r="AM165" s="2"/>
      <c r="AN165" s="2"/>
    </row>
    <row r="166" spans="39:40" s="251" customFormat="1" ht="12.6" customHeight="1">
      <c r="AM166" s="2"/>
      <c r="AN166" s="2"/>
    </row>
    <row r="167" spans="39:40" s="251" customFormat="1" ht="12.6" customHeight="1">
      <c r="AM167" s="2"/>
      <c r="AN167" s="2"/>
    </row>
    <row r="168" spans="39:40" s="251" customFormat="1" ht="12.6" customHeight="1">
      <c r="AM168" s="2"/>
      <c r="AN168" s="2"/>
    </row>
    <row r="169" spans="39:40" s="251" customFormat="1" ht="12.6" customHeight="1">
      <c r="AM169" s="2"/>
      <c r="AN169" s="2"/>
    </row>
    <row r="170" spans="39:40" s="251" customFormat="1" ht="12.6" customHeight="1">
      <c r="AM170" s="2"/>
      <c r="AN170" s="2"/>
    </row>
    <row r="171" spans="39:40" s="251" customFormat="1" ht="12.6" customHeight="1">
      <c r="AM171" s="2"/>
      <c r="AN171" s="2"/>
    </row>
    <row r="172" spans="39:40" s="251" customFormat="1" ht="12.6" customHeight="1">
      <c r="AM172" s="2"/>
      <c r="AN172" s="2"/>
    </row>
    <row r="173" spans="39:40" s="251" customFormat="1" ht="12.6" customHeight="1">
      <c r="AM173" s="2"/>
      <c r="AN173" s="2"/>
    </row>
    <row r="174" spans="39:40" s="251" customFormat="1" ht="12.6" customHeight="1">
      <c r="AM174" s="2"/>
      <c r="AN174" s="2"/>
    </row>
    <row r="175" spans="39:40" s="251" customFormat="1" ht="12.6" customHeight="1">
      <c r="AM175" s="2"/>
      <c r="AN175" s="2"/>
    </row>
    <row r="176" spans="39:40" s="251" customFormat="1" ht="12.6" customHeight="1">
      <c r="AM176" s="2"/>
      <c r="AN176" s="2"/>
    </row>
    <row r="177" spans="39:40" s="251" customFormat="1" ht="12.6" customHeight="1">
      <c r="AM177" s="2"/>
      <c r="AN177" s="2"/>
    </row>
    <row r="178" spans="39:40" s="251" customFormat="1" ht="12.6" customHeight="1">
      <c r="AM178" s="2"/>
      <c r="AN178" s="2"/>
    </row>
    <row r="179" spans="39:40" s="251" customFormat="1" ht="12.6" customHeight="1">
      <c r="AM179" s="2"/>
      <c r="AN179" s="2"/>
    </row>
    <row r="180" spans="39:40" s="251" customFormat="1" ht="12.6" customHeight="1">
      <c r="AM180" s="2"/>
      <c r="AN180" s="2"/>
    </row>
    <row r="181" spans="39:40" s="251" customFormat="1" ht="12.6" customHeight="1">
      <c r="AM181" s="2"/>
      <c r="AN181" s="2"/>
    </row>
    <row r="182" spans="39:40" s="251" customFormat="1" ht="12.6" customHeight="1">
      <c r="AM182" s="2"/>
      <c r="AN182" s="2"/>
    </row>
    <row r="183" spans="39:40" s="251" customFormat="1" ht="12.6" customHeight="1">
      <c r="AM183" s="2"/>
      <c r="AN183" s="2"/>
    </row>
    <row r="184" spans="39:40" s="251" customFormat="1" ht="12.6" customHeight="1">
      <c r="AM184" s="2"/>
      <c r="AN184" s="2"/>
    </row>
    <row r="185" spans="39:40" s="251" customFormat="1" ht="12.6" customHeight="1">
      <c r="AM185" s="2"/>
      <c r="AN185" s="2"/>
    </row>
    <row r="186" spans="39:40" s="251" customFormat="1" ht="12.6" customHeight="1">
      <c r="AM186" s="2"/>
      <c r="AN186" s="2"/>
    </row>
    <row r="187" spans="39:40" s="251" customFormat="1" ht="12.6" customHeight="1">
      <c r="AM187" s="2"/>
      <c r="AN187" s="2"/>
    </row>
    <row r="188" spans="39:40" s="251" customFormat="1" ht="12.6" customHeight="1">
      <c r="AM188" s="2"/>
      <c r="AN188" s="2"/>
    </row>
    <row r="189" spans="39:40" s="251" customFormat="1" ht="12.6" customHeight="1">
      <c r="AM189" s="2"/>
      <c r="AN189" s="2"/>
    </row>
    <row r="190" spans="39:40" s="251" customFormat="1" ht="12.6" customHeight="1">
      <c r="AM190" s="2"/>
      <c r="AN190" s="2"/>
    </row>
    <row r="191" spans="39:40" s="251" customFormat="1" ht="12.6" customHeight="1">
      <c r="AM191" s="2"/>
      <c r="AN191" s="2"/>
    </row>
    <row r="192" spans="39:40" s="251" customFormat="1" ht="12.6" customHeight="1">
      <c r="AM192" s="2"/>
      <c r="AN192" s="2"/>
    </row>
    <row r="193" spans="39:40" s="251" customFormat="1" ht="12.6" customHeight="1">
      <c r="AM193" s="2"/>
      <c r="AN193" s="2"/>
    </row>
    <row r="194" spans="39:40" s="251" customFormat="1" ht="12.6" customHeight="1">
      <c r="AM194" s="2"/>
      <c r="AN194" s="2"/>
    </row>
    <row r="195" spans="39:40" s="251" customFormat="1" ht="12.6" customHeight="1">
      <c r="AM195" s="2"/>
      <c r="AN195" s="2"/>
    </row>
    <row r="196" spans="39:40" s="251" customFormat="1" ht="12.6" customHeight="1">
      <c r="AM196" s="2"/>
      <c r="AN196" s="2"/>
    </row>
    <row r="197" spans="39:40" s="251" customFormat="1" ht="12.6" customHeight="1">
      <c r="AM197" s="2"/>
      <c r="AN197" s="2"/>
    </row>
    <row r="198" spans="39:40" s="251" customFormat="1" ht="12.6" customHeight="1">
      <c r="AM198" s="2"/>
      <c r="AN198" s="2"/>
    </row>
    <row r="199" spans="39:40" s="251" customFormat="1" ht="12.6" customHeight="1">
      <c r="AM199" s="2"/>
      <c r="AN199" s="2"/>
    </row>
    <row r="200" spans="39:40" s="251" customFormat="1" ht="12.6" customHeight="1">
      <c r="AM200" s="2"/>
      <c r="AN200" s="2"/>
    </row>
    <row r="201" spans="39:40" s="251" customFormat="1" ht="12.6" customHeight="1">
      <c r="AM201" s="2"/>
      <c r="AN201" s="2"/>
    </row>
    <row r="202" spans="39:40" s="251" customFormat="1" ht="12.6" customHeight="1">
      <c r="AM202" s="2"/>
      <c r="AN202" s="2"/>
    </row>
    <row r="203" spans="39:40" s="251" customFormat="1" ht="12.6" customHeight="1">
      <c r="AM203" s="2"/>
      <c r="AN203" s="2"/>
    </row>
    <row r="204" spans="39:40" s="251" customFormat="1" ht="12.6" customHeight="1">
      <c r="AM204" s="2"/>
      <c r="AN204" s="2"/>
    </row>
    <row r="205" spans="39:40" s="251" customFormat="1" ht="12.6" customHeight="1">
      <c r="AM205" s="2"/>
      <c r="AN205" s="2"/>
    </row>
    <row r="206" spans="39:40" s="251" customFormat="1" ht="12.6" customHeight="1">
      <c r="AM206" s="2"/>
      <c r="AN206" s="2"/>
    </row>
    <row r="207" spans="39:40" s="251" customFormat="1" ht="12.6" customHeight="1">
      <c r="AM207" s="2"/>
      <c r="AN207" s="2"/>
    </row>
    <row r="208" spans="39:40" s="251" customFormat="1" ht="12.6" customHeight="1">
      <c r="AM208" s="2"/>
      <c r="AN208" s="2"/>
    </row>
    <row r="209" spans="39:40" s="251" customFormat="1" ht="12.6" customHeight="1">
      <c r="AM209" s="2"/>
      <c r="AN209" s="2"/>
    </row>
    <row r="210" spans="39:40" s="251" customFormat="1" ht="12.6" customHeight="1">
      <c r="AM210" s="2"/>
      <c r="AN210" s="2"/>
    </row>
    <row r="211" spans="39:40" s="251" customFormat="1" ht="12.6" customHeight="1">
      <c r="AM211" s="2"/>
      <c r="AN211" s="2"/>
    </row>
    <row r="212" spans="39:40" s="251" customFormat="1" ht="12.6" customHeight="1">
      <c r="AM212" s="2"/>
      <c r="AN212" s="2"/>
    </row>
    <row r="213" spans="39:40" s="251" customFormat="1" ht="12.6" customHeight="1">
      <c r="AM213" s="2"/>
      <c r="AN213" s="2"/>
    </row>
    <row r="214" spans="39:40" s="251" customFormat="1" ht="12.6" customHeight="1">
      <c r="AM214" s="2"/>
      <c r="AN214" s="2"/>
    </row>
    <row r="215" spans="39:40" s="251" customFormat="1" ht="12.6" customHeight="1">
      <c r="AM215" s="2"/>
      <c r="AN215" s="2"/>
    </row>
    <row r="216" spans="39:40" s="251" customFormat="1" ht="12.6" customHeight="1">
      <c r="AM216" s="2"/>
      <c r="AN216" s="2"/>
    </row>
    <row r="217" spans="39:40" s="251" customFormat="1" ht="12.6" customHeight="1">
      <c r="AM217" s="2"/>
      <c r="AN217" s="2"/>
    </row>
    <row r="218" spans="39:40" s="251" customFormat="1" ht="12.6" customHeight="1">
      <c r="AM218" s="2"/>
      <c r="AN218" s="2"/>
    </row>
    <row r="219" spans="39:40" s="251" customFormat="1" ht="12.6" customHeight="1">
      <c r="AM219" s="2"/>
      <c r="AN219" s="2"/>
    </row>
    <row r="220" spans="39:40" s="251" customFormat="1" ht="12.6" customHeight="1">
      <c r="AM220" s="2"/>
      <c r="AN220" s="2"/>
    </row>
    <row r="221" spans="39:40" s="251" customFormat="1" ht="12.6" customHeight="1">
      <c r="AM221" s="2"/>
      <c r="AN221" s="2"/>
    </row>
    <row r="222" spans="39:40" s="251" customFormat="1" ht="12.6" customHeight="1">
      <c r="AM222" s="2"/>
      <c r="AN222" s="2"/>
    </row>
    <row r="223" spans="39:40" s="251" customFormat="1" ht="12.6" customHeight="1">
      <c r="AM223" s="2"/>
      <c r="AN223" s="2"/>
    </row>
    <row r="224" spans="39:40" s="251" customFormat="1" ht="12.6" customHeight="1">
      <c r="AM224" s="2"/>
      <c r="AN224" s="2"/>
    </row>
    <row r="225" spans="39:40" s="251" customFormat="1" ht="12.6" customHeight="1">
      <c r="AM225" s="2"/>
      <c r="AN225" s="2"/>
    </row>
    <row r="226" spans="39:40" s="251" customFormat="1" ht="12.6" customHeight="1">
      <c r="AM226" s="2"/>
      <c r="AN226" s="2"/>
    </row>
    <row r="227" spans="39:40" s="251" customFormat="1" ht="12.6" customHeight="1">
      <c r="AM227" s="2"/>
      <c r="AN227" s="2"/>
    </row>
    <row r="228" spans="39:40" s="251" customFormat="1" ht="12.6" customHeight="1">
      <c r="AM228" s="2"/>
      <c r="AN228" s="2"/>
    </row>
    <row r="229" spans="39:40" s="251" customFormat="1" ht="12.6" customHeight="1">
      <c r="AM229" s="2"/>
      <c r="AN229" s="2"/>
    </row>
    <row r="230" spans="39:40" s="251" customFormat="1" ht="12.6" customHeight="1">
      <c r="AM230" s="2"/>
      <c r="AN230" s="2"/>
    </row>
    <row r="231" spans="39:40" s="251" customFormat="1" ht="12.6" customHeight="1">
      <c r="AM231" s="2"/>
      <c r="AN231" s="2"/>
    </row>
    <row r="232" spans="39:40" s="251" customFormat="1" ht="12.6" customHeight="1">
      <c r="AM232" s="2"/>
      <c r="AN232" s="2"/>
    </row>
    <row r="233" spans="39:40" s="251" customFormat="1" ht="12.6" customHeight="1">
      <c r="AM233" s="2"/>
      <c r="AN233" s="2"/>
    </row>
    <row r="234" spans="39:40" s="251" customFormat="1" ht="12.6" customHeight="1">
      <c r="AM234" s="2"/>
      <c r="AN234" s="2"/>
    </row>
    <row r="235" spans="39:40" s="251" customFormat="1" ht="12.6" customHeight="1">
      <c r="AM235" s="2"/>
      <c r="AN235" s="2"/>
    </row>
    <row r="236" spans="39:40" s="251" customFormat="1" ht="12.6" customHeight="1">
      <c r="AM236" s="2"/>
      <c r="AN236" s="2"/>
    </row>
    <row r="237" spans="39:40" s="251" customFormat="1" ht="12.6" customHeight="1">
      <c r="AM237" s="2"/>
      <c r="AN237" s="2"/>
    </row>
    <row r="238" spans="39:40" s="251" customFormat="1" ht="12.6" customHeight="1">
      <c r="AM238" s="2"/>
      <c r="AN238" s="2"/>
    </row>
    <row r="239" spans="39:40" s="251" customFormat="1" ht="12.6" customHeight="1">
      <c r="AM239" s="2"/>
      <c r="AN239" s="2"/>
    </row>
    <row r="240" spans="39:40" s="251" customFormat="1" ht="12.6" customHeight="1">
      <c r="AM240" s="2"/>
      <c r="AN240" s="2"/>
    </row>
    <row r="241" spans="39:40" s="251" customFormat="1" ht="12.6" customHeight="1">
      <c r="AM241" s="2"/>
      <c r="AN241" s="2"/>
    </row>
    <row r="242" spans="39:40" s="251" customFormat="1" ht="12.6" customHeight="1">
      <c r="AM242" s="2"/>
      <c r="AN242" s="2"/>
    </row>
    <row r="243" spans="39:40" s="251" customFormat="1" ht="12.6" customHeight="1">
      <c r="AM243" s="2"/>
      <c r="AN243" s="2"/>
    </row>
    <row r="244" spans="39:40" s="251" customFormat="1" ht="12.6" customHeight="1">
      <c r="AM244" s="2"/>
      <c r="AN244" s="2"/>
    </row>
    <row r="245" spans="39:40" s="251" customFormat="1" ht="12.6" customHeight="1">
      <c r="AM245" s="2"/>
      <c r="AN245" s="2"/>
    </row>
    <row r="246" spans="39:40" s="251" customFormat="1" ht="12.6" customHeight="1">
      <c r="AM246" s="2"/>
      <c r="AN246" s="2"/>
    </row>
    <row r="247" spans="39:40" s="251" customFormat="1" ht="12.6" customHeight="1">
      <c r="AM247" s="2"/>
      <c r="AN247" s="2"/>
    </row>
    <row r="248" spans="39:40" s="251" customFormat="1" ht="12.6" customHeight="1">
      <c r="AM248" s="2"/>
      <c r="AN248" s="2"/>
    </row>
    <row r="249" spans="39:40" s="251" customFormat="1" ht="12.6" customHeight="1">
      <c r="AM249" s="2"/>
      <c r="AN249" s="2"/>
    </row>
    <row r="250" spans="39:40" s="251" customFormat="1" ht="12.6" customHeight="1">
      <c r="AM250" s="2"/>
      <c r="AN250" s="2"/>
    </row>
    <row r="251" spans="39:40" s="251" customFormat="1" ht="12.6" customHeight="1">
      <c r="AM251" s="2"/>
      <c r="AN251" s="2"/>
    </row>
    <row r="252" spans="39:40" s="251" customFormat="1" ht="12.6" customHeight="1">
      <c r="AM252" s="2"/>
      <c r="AN252" s="2"/>
    </row>
    <row r="253" spans="39:40" s="251" customFormat="1" ht="12.6" customHeight="1">
      <c r="AM253" s="2"/>
      <c r="AN253" s="2"/>
    </row>
    <row r="254" spans="39:40" s="251" customFormat="1" ht="12.6" customHeight="1">
      <c r="AM254" s="2"/>
      <c r="AN254" s="2"/>
    </row>
    <row r="255" spans="39:40" s="251" customFormat="1" ht="12.6" customHeight="1">
      <c r="AM255" s="2"/>
      <c r="AN255" s="2"/>
    </row>
    <row r="256" spans="39:40" s="251" customFormat="1" ht="12.6" customHeight="1">
      <c r="AM256" s="2"/>
      <c r="AN256" s="2"/>
    </row>
    <row r="257" spans="39:40" s="251" customFormat="1" ht="12.6" customHeight="1">
      <c r="AM257" s="2"/>
      <c r="AN257" s="2"/>
    </row>
    <row r="258" spans="39:40" s="251" customFormat="1" ht="12.6" customHeight="1">
      <c r="AM258" s="2"/>
      <c r="AN258" s="2"/>
    </row>
    <row r="259" spans="39:40" s="251" customFormat="1" ht="12.6" customHeight="1">
      <c r="AM259" s="2"/>
      <c r="AN259" s="2"/>
    </row>
    <row r="260" spans="39:40" s="251" customFormat="1" ht="12.6" customHeight="1">
      <c r="AM260" s="2"/>
      <c r="AN260" s="2"/>
    </row>
    <row r="261" spans="39:40" s="251" customFormat="1" ht="12.6" customHeight="1">
      <c r="AM261" s="2"/>
      <c r="AN261" s="2"/>
    </row>
    <row r="262" spans="39:40" s="251" customFormat="1" ht="12.6" customHeight="1">
      <c r="AM262" s="2"/>
      <c r="AN262" s="2"/>
    </row>
    <row r="263" spans="39:40" s="251" customFormat="1" ht="12.6" customHeight="1">
      <c r="AM263" s="2"/>
      <c r="AN263" s="2"/>
    </row>
    <row r="264" spans="39:40" s="251" customFormat="1" ht="12.6" customHeight="1">
      <c r="AM264" s="2"/>
      <c r="AN264" s="2"/>
    </row>
    <row r="265" spans="39:40" s="251" customFormat="1" ht="12.6" customHeight="1">
      <c r="AM265" s="2"/>
      <c r="AN265" s="2"/>
    </row>
    <row r="266" spans="39:40" s="251" customFormat="1" ht="12.6" customHeight="1">
      <c r="AM266" s="2"/>
      <c r="AN266" s="2"/>
    </row>
    <row r="267" spans="39:40" s="251" customFormat="1" ht="12.6" customHeight="1">
      <c r="AM267" s="2"/>
      <c r="AN267" s="2"/>
    </row>
    <row r="268" spans="39:40" s="251" customFormat="1" ht="12.6" customHeight="1">
      <c r="AM268" s="2"/>
      <c r="AN268" s="2"/>
    </row>
    <row r="269" spans="39:40" s="251" customFormat="1" ht="12.6" customHeight="1">
      <c r="AM269" s="2"/>
      <c r="AN269" s="2"/>
    </row>
    <row r="270" spans="39:40" s="251" customFormat="1" ht="12.6" customHeight="1">
      <c r="AM270" s="2"/>
      <c r="AN270" s="2"/>
    </row>
    <row r="271" spans="39:40" s="251" customFormat="1" ht="12.6" customHeight="1">
      <c r="AM271" s="2"/>
      <c r="AN271" s="2"/>
    </row>
    <row r="272" spans="39:40" s="251" customFormat="1" ht="12.6" customHeight="1">
      <c r="AM272" s="2"/>
      <c r="AN272" s="2"/>
    </row>
    <row r="273" spans="39:40" s="251" customFormat="1" ht="12.6" customHeight="1">
      <c r="AM273" s="2"/>
      <c r="AN273" s="2"/>
    </row>
    <row r="274" spans="39:40" s="251" customFormat="1" ht="12.6" customHeight="1">
      <c r="AM274" s="2"/>
      <c r="AN274" s="2"/>
    </row>
    <row r="275" spans="39:40" s="251" customFormat="1" ht="12.6" customHeight="1">
      <c r="AM275" s="2"/>
      <c r="AN275" s="2"/>
    </row>
    <row r="276" spans="39:40" s="251" customFormat="1" ht="12.6" customHeight="1">
      <c r="AM276" s="2"/>
      <c r="AN276" s="2"/>
    </row>
    <row r="277" spans="39:40" s="251" customFormat="1" ht="12.6" customHeight="1">
      <c r="AM277" s="2"/>
      <c r="AN277" s="2"/>
    </row>
    <row r="278" spans="39:40" s="251" customFormat="1" ht="12.6" customHeight="1">
      <c r="AM278" s="2"/>
      <c r="AN278" s="2"/>
    </row>
    <row r="279" spans="39:40" s="251" customFormat="1" ht="12.6" customHeight="1">
      <c r="AM279" s="2"/>
      <c r="AN279" s="2"/>
    </row>
    <row r="280" spans="39:40" s="251" customFormat="1" ht="12.6" customHeight="1">
      <c r="AM280" s="2"/>
      <c r="AN280" s="2"/>
    </row>
    <row r="281" spans="39:40" s="251" customFormat="1" ht="12.6" customHeight="1">
      <c r="AM281" s="2"/>
      <c r="AN281" s="2"/>
    </row>
    <row r="282" spans="39:40" s="251" customFormat="1" ht="12.6" customHeight="1">
      <c r="AM282" s="2"/>
      <c r="AN282" s="2"/>
    </row>
    <row r="283" spans="39:40" s="251" customFormat="1" ht="12.6" customHeight="1">
      <c r="AM283" s="2"/>
      <c r="AN283" s="2"/>
    </row>
    <row r="284" spans="39:40" s="251" customFormat="1" ht="12.6" customHeight="1">
      <c r="AM284" s="2"/>
      <c r="AN284" s="2"/>
    </row>
    <row r="285" spans="39:40" s="251" customFormat="1" ht="12.6" customHeight="1">
      <c r="AM285" s="2"/>
      <c r="AN285" s="2"/>
    </row>
    <row r="286" spans="39:40" s="251" customFormat="1" ht="12.6" customHeight="1">
      <c r="AM286" s="2"/>
      <c r="AN286" s="2"/>
    </row>
    <row r="287" spans="39:40" s="251" customFormat="1" ht="12.6" customHeight="1">
      <c r="AM287" s="2"/>
      <c r="AN287" s="2"/>
    </row>
    <row r="288" spans="39:40" s="251" customFormat="1" ht="12.6" customHeight="1">
      <c r="AM288" s="2"/>
      <c r="AN288" s="2"/>
    </row>
    <row r="289" spans="39:40" s="251" customFormat="1" ht="12.6" customHeight="1">
      <c r="AM289" s="2"/>
      <c r="AN289" s="2"/>
    </row>
    <row r="290" spans="39:40" s="251" customFormat="1" ht="12.6" customHeight="1">
      <c r="AM290" s="2"/>
      <c r="AN290" s="2"/>
    </row>
    <row r="291" spans="39:40" s="251" customFormat="1" ht="12.6" customHeight="1">
      <c r="AM291" s="2"/>
      <c r="AN291" s="2"/>
    </row>
    <row r="292" spans="39:40" s="251" customFormat="1" ht="12.6" customHeight="1">
      <c r="AM292" s="2"/>
      <c r="AN292" s="2"/>
    </row>
    <row r="293" spans="39:40" s="251" customFormat="1" ht="12.6" customHeight="1">
      <c r="AM293" s="2"/>
      <c r="AN293" s="2"/>
    </row>
    <row r="294" spans="39:40" s="251" customFormat="1" ht="12.6" customHeight="1">
      <c r="AM294" s="2"/>
      <c r="AN294" s="2"/>
    </row>
    <row r="295" spans="39:40" s="251" customFormat="1" ht="12.6" customHeight="1">
      <c r="AM295" s="2"/>
      <c r="AN295" s="2"/>
    </row>
    <row r="296" spans="39:40" s="251" customFormat="1" ht="12.6" customHeight="1">
      <c r="AM296" s="2"/>
      <c r="AN296" s="2"/>
    </row>
    <row r="297" spans="39:40" s="251" customFormat="1" ht="12.6" customHeight="1">
      <c r="AM297" s="2"/>
      <c r="AN297" s="2"/>
    </row>
    <row r="298" spans="39:40" s="251" customFormat="1" ht="12.6" customHeight="1">
      <c r="AM298" s="2"/>
      <c r="AN298" s="2"/>
    </row>
    <row r="299" spans="39:40" s="251" customFormat="1" ht="12.6" customHeight="1">
      <c r="AM299" s="2"/>
      <c r="AN299" s="2"/>
    </row>
    <row r="300" spans="39:40" s="251" customFormat="1" ht="12.6" customHeight="1">
      <c r="AM300" s="2"/>
      <c r="AN300" s="2"/>
    </row>
    <row r="301" spans="39:40" s="251" customFormat="1" ht="12.6" customHeight="1">
      <c r="AM301" s="2"/>
      <c r="AN301" s="2"/>
    </row>
    <row r="302" spans="39:40" s="251" customFormat="1" ht="12.6" customHeight="1">
      <c r="AM302" s="2"/>
      <c r="AN302" s="2"/>
    </row>
    <row r="303" spans="39:40" s="251" customFormat="1" ht="12.6" customHeight="1">
      <c r="AM303" s="2"/>
      <c r="AN303" s="2"/>
    </row>
    <row r="304" spans="39:40" s="251" customFormat="1" ht="12.6" customHeight="1">
      <c r="AM304" s="2"/>
      <c r="AN304" s="2"/>
    </row>
    <row r="305" spans="39:40" s="251" customFormat="1" ht="12.6" customHeight="1">
      <c r="AM305" s="2"/>
      <c r="AN305" s="2"/>
    </row>
    <row r="306" spans="39:40" s="251" customFormat="1" ht="12.6" customHeight="1">
      <c r="AM306" s="2"/>
      <c r="AN306" s="2"/>
    </row>
    <row r="307" spans="39:40" s="251" customFormat="1" ht="12.6" customHeight="1">
      <c r="AM307" s="2"/>
      <c r="AN307" s="2"/>
    </row>
    <row r="308" spans="39:40" s="251" customFormat="1" ht="12.6" customHeight="1">
      <c r="AM308" s="2"/>
      <c r="AN308" s="2"/>
    </row>
    <row r="309" spans="39:40" s="251" customFormat="1" ht="12.6" customHeight="1">
      <c r="AM309" s="2"/>
      <c r="AN309" s="2"/>
    </row>
    <row r="310" spans="39:40" s="251" customFormat="1" ht="12.6" customHeight="1">
      <c r="AM310" s="2"/>
      <c r="AN310" s="2"/>
    </row>
    <row r="311" spans="39:40" s="251" customFormat="1" ht="12.6" customHeight="1">
      <c r="AM311" s="2"/>
      <c r="AN311" s="2"/>
    </row>
    <row r="312" spans="39:40" s="251" customFormat="1" ht="12.6" customHeight="1">
      <c r="AM312" s="2"/>
      <c r="AN312" s="2"/>
    </row>
    <row r="313" spans="39:40" s="251" customFormat="1" ht="12.6" customHeight="1">
      <c r="AM313" s="2"/>
      <c r="AN313" s="2"/>
    </row>
    <row r="314" spans="39:40" s="251" customFormat="1" ht="12.6" customHeight="1">
      <c r="AM314" s="2"/>
      <c r="AN314" s="2"/>
    </row>
    <row r="315" spans="39:40" s="251" customFormat="1" ht="12.6" customHeight="1">
      <c r="AM315" s="2"/>
      <c r="AN315" s="2"/>
    </row>
    <row r="316" spans="39:40" s="251" customFormat="1" ht="12.6" customHeight="1">
      <c r="AM316" s="2"/>
      <c r="AN316" s="2"/>
    </row>
    <row r="317" spans="39:40" s="251" customFormat="1" ht="12.6" customHeight="1">
      <c r="AM317" s="2"/>
      <c r="AN317" s="2"/>
    </row>
    <row r="318" spans="39:40" s="251" customFormat="1" ht="12.6" customHeight="1">
      <c r="AM318" s="2"/>
      <c r="AN318" s="2"/>
    </row>
    <row r="319" spans="39:40" s="251" customFormat="1" ht="12.6" customHeight="1">
      <c r="AM319" s="2"/>
      <c r="AN319" s="2"/>
    </row>
    <row r="320" spans="39:40" s="251" customFormat="1" ht="12.6" customHeight="1">
      <c r="AM320" s="2"/>
      <c r="AN320" s="2"/>
    </row>
    <row r="321" spans="39:40" s="251" customFormat="1" ht="12.6" customHeight="1">
      <c r="AM321" s="2"/>
      <c r="AN321" s="2"/>
    </row>
    <row r="322" spans="39:40" s="251" customFormat="1" ht="12.6" customHeight="1">
      <c r="AM322" s="2"/>
      <c r="AN322" s="2"/>
    </row>
    <row r="323" spans="39:40" s="251" customFormat="1" ht="12.6" customHeight="1">
      <c r="AM323" s="2"/>
      <c r="AN323" s="2"/>
    </row>
    <row r="324" spans="39:40" s="251" customFormat="1" ht="12.6" customHeight="1">
      <c r="AM324" s="2"/>
      <c r="AN324" s="2"/>
    </row>
    <row r="325" spans="39:40" s="251" customFormat="1" ht="12.6" customHeight="1">
      <c r="AM325" s="2"/>
      <c r="AN325" s="2"/>
    </row>
    <row r="326" spans="39:40" s="251" customFormat="1" ht="12.6" customHeight="1">
      <c r="AM326" s="2"/>
      <c r="AN326" s="2"/>
    </row>
    <row r="327" spans="39:40" s="251" customFormat="1" ht="12.6" customHeight="1">
      <c r="AM327" s="2"/>
      <c r="AN327" s="2"/>
    </row>
    <row r="328" spans="39:40" s="251" customFormat="1" ht="12.6" customHeight="1">
      <c r="AM328" s="2"/>
      <c r="AN328" s="2"/>
    </row>
    <row r="329" spans="39:40" s="251" customFormat="1" ht="12.6" customHeight="1">
      <c r="AM329" s="2"/>
      <c r="AN329" s="2"/>
    </row>
    <row r="330" spans="39:40" s="251" customFormat="1" ht="12.6" customHeight="1">
      <c r="AM330" s="2"/>
      <c r="AN330" s="2"/>
    </row>
    <row r="331" spans="39:40" s="251" customFormat="1" ht="12.6" customHeight="1">
      <c r="AM331" s="2"/>
      <c r="AN331" s="2"/>
    </row>
    <row r="332" spans="39:40" s="251" customFormat="1" ht="12.6" customHeight="1">
      <c r="AM332" s="2"/>
      <c r="AN332" s="2"/>
    </row>
    <row r="333" spans="39:40" s="251" customFormat="1" ht="12.6" customHeight="1">
      <c r="AM333" s="2"/>
      <c r="AN333" s="2"/>
    </row>
    <row r="334" spans="39:40" s="251" customFormat="1" ht="12.6" customHeight="1">
      <c r="AM334" s="2"/>
      <c r="AN334" s="2"/>
    </row>
    <row r="335" spans="39:40" s="251" customFormat="1" ht="12.6" customHeight="1">
      <c r="AM335" s="2"/>
      <c r="AN335" s="2"/>
    </row>
    <row r="336" spans="39:40" s="251" customFormat="1" ht="12.6" customHeight="1">
      <c r="AM336" s="2"/>
      <c r="AN336" s="2"/>
    </row>
    <row r="337" spans="39:40" s="251" customFormat="1" ht="12.6" customHeight="1">
      <c r="AM337" s="2"/>
      <c r="AN337" s="2"/>
    </row>
    <row r="338" spans="39:40" s="251" customFormat="1" ht="12.6" customHeight="1">
      <c r="AM338" s="2"/>
      <c r="AN338" s="2"/>
    </row>
    <row r="339" spans="39:40" s="251" customFormat="1" ht="12.6" customHeight="1">
      <c r="AM339" s="2"/>
      <c r="AN339" s="2"/>
    </row>
    <row r="340" spans="39:40" s="251" customFormat="1" ht="12.6" customHeight="1">
      <c r="AM340" s="2"/>
      <c r="AN340" s="2"/>
    </row>
    <row r="341" spans="39:40" s="251" customFormat="1" ht="12.6" customHeight="1">
      <c r="AM341" s="2"/>
      <c r="AN341" s="2"/>
    </row>
    <row r="342" spans="39:40" s="251" customFormat="1" ht="12.6" customHeight="1">
      <c r="AM342" s="2"/>
      <c r="AN342" s="2"/>
    </row>
    <row r="343" spans="39:40" s="251" customFormat="1" ht="12.6" customHeight="1">
      <c r="AM343" s="2"/>
      <c r="AN343" s="2"/>
    </row>
    <row r="344" spans="39:40" s="251" customFormat="1" ht="12.6" customHeight="1">
      <c r="AM344" s="2"/>
      <c r="AN344" s="2"/>
    </row>
    <row r="345" spans="39:40" s="251" customFormat="1" ht="12.6" customHeight="1">
      <c r="AM345" s="2"/>
      <c r="AN345" s="2"/>
    </row>
    <row r="346" spans="39:40" s="251" customFormat="1" ht="12.6" customHeight="1">
      <c r="AM346" s="2"/>
      <c r="AN346" s="2"/>
    </row>
    <row r="347" spans="39:40" s="251" customFormat="1" ht="12.6" customHeight="1">
      <c r="AM347" s="2"/>
      <c r="AN347" s="2"/>
    </row>
    <row r="348" spans="39:40" s="251" customFormat="1" ht="12.6" customHeight="1">
      <c r="AM348" s="2"/>
      <c r="AN348" s="2"/>
    </row>
    <row r="349" spans="39:40" s="251" customFormat="1" ht="12.6" customHeight="1">
      <c r="AM349" s="2"/>
      <c r="AN349" s="2"/>
    </row>
    <row r="350" spans="39:40" s="251" customFormat="1" ht="12.6" customHeight="1">
      <c r="AM350" s="2"/>
      <c r="AN350" s="2"/>
    </row>
    <row r="351" spans="39:40" s="251" customFormat="1" ht="12.6" customHeight="1">
      <c r="AM351" s="2"/>
      <c r="AN351" s="2"/>
    </row>
    <row r="352" spans="39:40" s="251" customFormat="1" ht="12.6" customHeight="1">
      <c r="AM352" s="2"/>
      <c r="AN352" s="2"/>
    </row>
    <row r="353" spans="39:40" s="251" customFormat="1" ht="12.6" customHeight="1">
      <c r="AM353" s="2"/>
      <c r="AN353" s="2"/>
    </row>
    <row r="354" spans="39:40" s="251" customFormat="1" ht="12.6" customHeight="1">
      <c r="AM354" s="2"/>
      <c r="AN354" s="2"/>
    </row>
    <row r="355" spans="39:40" s="251" customFormat="1" ht="12.6" customHeight="1">
      <c r="AM355" s="2"/>
      <c r="AN355" s="2"/>
    </row>
    <row r="356" spans="39:40" s="251" customFormat="1" ht="12.6" customHeight="1">
      <c r="AM356" s="2"/>
      <c r="AN356" s="2"/>
    </row>
    <row r="357" spans="39:40" s="251" customFormat="1" ht="12.6" customHeight="1">
      <c r="AM357" s="2"/>
      <c r="AN357" s="2"/>
    </row>
    <row r="358" spans="39:40" s="251" customFormat="1" ht="12.6" customHeight="1">
      <c r="AM358" s="2"/>
      <c r="AN358" s="2"/>
    </row>
    <row r="359" spans="39:40" s="251" customFormat="1" ht="12.6" customHeight="1">
      <c r="AM359" s="2"/>
      <c r="AN359" s="2"/>
    </row>
    <row r="360" spans="39:40" s="251" customFormat="1" ht="12.6" customHeight="1">
      <c r="AM360" s="2"/>
      <c r="AN360" s="2"/>
    </row>
    <row r="361" spans="39:40" s="251" customFormat="1" ht="12.6" customHeight="1">
      <c r="AM361" s="2"/>
      <c r="AN361" s="2"/>
    </row>
    <row r="362" spans="39:40" s="251" customFormat="1" ht="12.6" customHeight="1">
      <c r="AM362" s="2"/>
      <c r="AN362" s="2"/>
    </row>
    <row r="363" spans="39:40" s="251" customFormat="1" ht="12.6" customHeight="1">
      <c r="AM363" s="2"/>
      <c r="AN363" s="2"/>
    </row>
    <row r="364" spans="39:40" s="251" customFormat="1" ht="12.6" customHeight="1">
      <c r="AM364" s="2"/>
      <c r="AN364" s="2"/>
    </row>
    <row r="365" spans="39:40" s="251" customFormat="1" ht="12.6" customHeight="1">
      <c r="AM365" s="2"/>
      <c r="AN365" s="2"/>
    </row>
    <row r="366" spans="39:40" s="251" customFormat="1" ht="12.6" customHeight="1">
      <c r="AM366" s="2"/>
      <c r="AN366" s="2"/>
    </row>
    <row r="367" spans="39:40" s="251" customFormat="1" ht="12.6" customHeight="1">
      <c r="AM367" s="2"/>
      <c r="AN367" s="2"/>
    </row>
    <row r="368" spans="39:40" s="251" customFormat="1" ht="12.6" customHeight="1">
      <c r="AM368" s="2"/>
      <c r="AN368" s="2"/>
    </row>
    <row r="369" spans="39:40" s="251" customFormat="1" ht="12.6" customHeight="1">
      <c r="AM369" s="2"/>
      <c r="AN369" s="2"/>
    </row>
    <row r="370" spans="39:40" s="251" customFormat="1" ht="12.6" customHeight="1">
      <c r="AM370" s="2"/>
      <c r="AN370" s="2"/>
    </row>
    <row r="371" spans="39:40" s="251" customFormat="1" ht="12.6" customHeight="1">
      <c r="AM371" s="2"/>
      <c r="AN371" s="2"/>
    </row>
    <row r="372" spans="39:40" s="251" customFormat="1" ht="12.6" customHeight="1">
      <c r="AM372" s="2"/>
      <c r="AN372" s="2"/>
    </row>
    <row r="373" spans="39:40" s="251" customFormat="1" ht="12.6" customHeight="1">
      <c r="AM373" s="2"/>
      <c r="AN373" s="2"/>
    </row>
    <row r="374" spans="39:40" s="251" customFormat="1" ht="12.6" customHeight="1">
      <c r="AM374" s="2"/>
      <c r="AN374" s="2"/>
    </row>
    <row r="375" spans="39:40" s="251" customFormat="1" ht="12.6" customHeight="1">
      <c r="AM375" s="2"/>
      <c r="AN375" s="2"/>
    </row>
    <row r="376" spans="39:40" s="251" customFormat="1" ht="12.6" customHeight="1">
      <c r="AM376" s="2"/>
      <c r="AN376" s="2"/>
    </row>
    <row r="377" spans="39:40" s="251" customFormat="1" ht="12.6" customHeight="1">
      <c r="AM377" s="2"/>
      <c r="AN377" s="2"/>
    </row>
    <row r="378" spans="39:40" s="251" customFormat="1" ht="12.6" customHeight="1">
      <c r="AM378" s="2"/>
      <c r="AN378" s="2"/>
    </row>
    <row r="379" spans="39:40" s="251" customFormat="1" ht="12.6" customHeight="1">
      <c r="AM379" s="2"/>
      <c r="AN379" s="2"/>
    </row>
    <row r="380" spans="39:40" s="251" customFormat="1" ht="12.6" customHeight="1">
      <c r="AM380" s="2"/>
      <c r="AN380" s="2"/>
    </row>
    <row r="381" spans="39:40" s="251" customFormat="1" ht="12.6" customHeight="1">
      <c r="AM381" s="2"/>
      <c r="AN381" s="2"/>
    </row>
    <row r="382" spans="39:40" s="251" customFormat="1" ht="12.6" customHeight="1">
      <c r="AM382" s="2"/>
      <c r="AN382" s="2"/>
    </row>
    <row r="383" spans="39:40" s="251" customFormat="1" ht="12.6" customHeight="1">
      <c r="AM383" s="2"/>
      <c r="AN383" s="2"/>
    </row>
    <row r="384" spans="39:40" s="251" customFormat="1" ht="12.6" customHeight="1">
      <c r="AM384" s="2"/>
      <c r="AN384" s="2"/>
    </row>
    <row r="385" spans="39:40" s="251" customFormat="1" ht="12.6" customHeight="1">
      <c r="AM385" s="2"/>
      <c r="AN385" s="2"/>
    </row>
    <row r="386" spans="39:40" s="251" customFormat="1" ht="12.6" customHeight="1">
      <c r="AM386" s="2"/>
      <c r="AN386" s="2"/>
    </row>
    <row r="387" spans="39:40" s="251" customFormat="1" ht="12.6" customHeight="1">
      <c r="AM387" s="2"/>
      <c r="AN387" s="2"/>
    </row>
    <row r="388" spans="39:40" s="251" customFormat="1" ht="12.6" customHeight="1">
      <c r="AM388" s="2"/>
      <c r="AN388" s="2"/>
    </row>
    <row r="389" spans="39:40" s="251" customFormat="1" ht="12.6" customHeight="1">
      <c r="AM389" s="2"/>
      <c r="AN389" s="2"/>
    </row>
    <row r="390" spans="39:40" s="251" customFormat="1" ht="12.6" customHeight="1">
      <c r="AM390" s="2"/>
      <c r="AN390" s="2"/>
    </row>
    <row r="391" spans="39:40" s="251" customFormat="1" ht="12.6" customHeight="1">
      <c r="AM391" s="2"/>
      <c r="AN391" s="2"/>
    </row>
    <row r="392" spans="39:40" s="251" customFormat="1" ht="12.6" customHeight="1">
      <c r="AM392" s="2"/>
      <c r="AN392" s="2"/>
    </row>
    <row r="393" spans="39:40" s="251" customFormat="1" ht="12.6" customHeight="1">
      <c r="AM393" s="2"/>
      <c r="AN393" s="2"/>
    </row>
    <row r="394" spans="39:40" s="251" customFormat="1" ht="12.6" customHeight="1">
      <c r="AM394" s="2"/>
      <c r="AN394" s="2"/>
    </row>
    <row r="395" spans="39:40" s="251" customFormat="1" ht="12.6" customHeight="1">
      <c r="AM395" s="2"/>
      <c r="AN395" s="2"/>
    </row>
    <row r="396" spans="39:40" s="251" customFormat="1" ht="12.6" customHeight="1">
      <c r="AM396" s="2"/>
      <c r="AN396" s="2"/>
    </row>
    <row r="397" spans="39:40" s="251" customFormat="1" ht="12.6" customHeight="1">
      <c r="AM397" s="2"/>
      <c r="AN397" s="2"/>
    </row>
    <row r="398" spans="39:40" s="251" customFormat="1" ht="12.6" customHeight="1">
      <c r="AM398" s="2"/>
      <c r="AN398" s="2"/>
    </row>
    <row r="399" spans="39:40" s="251" customFormat="1" ht="12.6" customHeight="1">
      <c r="AM399" s="2"/>
      <c r="AN399" s="2"/>
    </row>
    <row r="400" spans="39:40" s="251" customFormat="1" ht="12.6" customHeight="1">
      <c r="AM400" s="2"/>
      <c r="AN400" s="2"/>
    </row>
    <row r="401" spans="39:40" s="251" customFormat="1" ht="12.6" customHeight="1">
      <c r="AM401" s="2"/>
      <c r="AN401" s="2"/>
    </row>
    <row r="402" spans="39:40" s="251" customFormat="1" ht="12.6" customHeight="1">
      <c r="AM402" s="2"/>
      <c r="AN402" s="2"/>
    </row>
    <row r="403" spans="39:40" s="251" customFormat="1" ht="12.6" customHeight="1">
      <c r="AM403" s="2"/>
      <c r="AN403" s="2"/>
    </row>
    <row r="404" spans="39:40" s="251" customFormat="1" ht="12.6" customHeight="1">
      <c r="AM404" s="2"/>
      <c r="AN404" s="2"/>
    </row>
    <row r="405" spans="39:40" s="251" customFormat="1" ht="12.6" customHeight="1">
      <c r="AM405" s="2"/>
      <c r="AN405" s="2"/>
    </row>
    <row r="406" spans="39:40" s="251" customFormat="1" ht="12.6" customHeight="1">
      <c r="AM406" s="2"/>
      <c r="AN406" s="2"/>
    </row>
    <row r="407" spans="39:40" s="251" customFormat="1" ht="12.6" customHeight="1">
      <c r="AM407" s="2"/>
      <c r="AN407" s="2"/>
    </row>
    <row r="408" spans="39:40" s="251" customFormat="1" ht="12.6" customHeight="1">
      <c r="AM408" s="2"/>
      <c r="AN408" s="2"/>
    </row>
    <row r="409" spans="39:40" s="251" customFormat="1" ht="12.6" customHeight="1">
      <c r="AM409" s="2"/>
      <c r="AN409" s="2"/>
    </row>
    <row r="410" spans="39:40" s="251" customFormat="1" ht="12.6" customHeight="1">
      <c r="AM410" s="2"/>
      <c r="AN410" s="2"/>
    </row>
    <row r="411" spans="39:40" s="251" customFormat="1" ht="12.6" customHeight="1">
      <c r="AM411" s="2"/>
      <c r="AN411" s="2"/>
    </row>
  </sheetData>
  <mergeCells count="19">
    <mergeCell ref="BD4:BH4"/>
    <mergeCell ref="A4:A5"/>
    <mergeCell ref="C4:E4"/>
    <mergeCell ref="F4:H4"/>
    <mergeCell ref="I4:K4"/>
    <mergeCell ref="AM4:AO4"/>
    <mergeCell ref="L4:N4"/>
    <mergeCell ref="O4:Q4"/>
    <mergeCell ref="R4:T4"/>
    <mergeCell ref="U4:W4"/>
    <mergeCell ref="X4:Z4"/>
    <mergeCell ref="AA4:AC4"/>
    <mergeCell ref="AD4:AF4"/>
    <mergeCell ref="AY4:BB4"/>
    <mergeCell ref="AG4:AI4"/>
    <mergeCell ref="AJ4:AL4"/>
    <mergeCell ref="AP4:AR4"/>
    <mergeCell ref="AS4:AU4"/>
    <mergeCell ref="AV4:AX4"/>
  </mergeCells>
  <phoneticPr fontId="7" type="noConversion"/>
  <printOptions horizontalCentered="1" gridLines="1"/>
  <pageMargins left="0.25" right="0.25" top="0.5" bottom="0.5" header="0" footer="0.25"/>
  <pageSetup paperSize="9" scale="58" orientation="landscape" blackAndWhite="1" r:id="rId1"/>
  <headerFooter alignWithMargins="0">
    <oddFooter>Page &amp;P of &amp;N</oddFooter>
  </headerFooter>
  <colBreaks count="1" manualBreakCount="1">
    <brk id="20" max="76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85"/>
  <sheetViews>
    <sheetView zoomScaleNormal="100" workbookViewId="0">
      <pane xSplit="1" ySplit="5" topLeftCell="AZ55" activePane="bottomRight" state="frozen"/>
      <selection activeCell="F7" sqref="F7"/>
      <selection pane="topRight" activeCell="F7" sqref="F7"/>
      <selection pane="bottomLeft" activeCell="F7" sqref="F7"/>
      <selection pane="bottomRight" activeCell="BN63" sqref="BN63"/>
    </sheetView>
  </sheetViews>
  <sheetFormatPr defaultRowHeight="12.6" customHeight="1"/>
  <cols>
    <col min="1" max="1" width="20.42578125" customWidth="1"/>
    <col min="2" max="2" width="9.42578125" customWidth="1"/>
    <col min="3" max="3" width="11" customWidth="1"/>
    <col min="4" max="27" width="9.5703125" customWidth="1"/>
    <col min="28" max="28" width="9.140625" customWidth="1"/>
    <col min="29" max="31" width="9.5703125" customWidth="1"/>
    <col min="32" max="32" width="9.140625" customWidth="1"/>
    <col min="33" max="35" width="9.5703125" customWidth="1"/>
    <col min="36" max="36" width="9.140625" customWidth="1"/>
    <col min="37" max="39" width="9.5703125" customWidth="1"/>
    <col min="40" max="40" width="9.140625" customWidth="1"/>
    <col min="41" max="43" width="9.5703125" customWidth="1"/>
    <col min="44" max="44" width="9.140625" customWidth="1"/>
    <col min="45" max="47" width="9.5703125" customWidth="1"/>
    <col min="48" max="48" width="9.140625" customWidth="1"/>
    <col min="49" max="51" width="9.5703125" customWidth="1"/>
    <col min="52" max="52" width="10" style="21" customWidth="1"/>
    <col min="53" max="55" width="9.140625" style="21" customWidth="1"/>
    <col min="56" max="59" width="10.28515625" style="21" customWidth="1"/>
    <col min="60" max="63" width="9.140625" style="21" customWidth="1"/>
    <col min="64" max="64" width="10" style="21" customWidth="1"/>
    <col min="65" max="66" width="9.140625" style="21" customWidth="1"/>
    <col min="67" max="67" width="9.140625" customWidth="1"/>
    <col min="68" max="68" width="4.28515625" style="21" customWidth="1"/>
    <col min="69" max="69" width="9.85546875" customWidth="1"/>
    <col min="70" max="78" width="9.140625" customWidth="1"/>
    <col min="82" max="82" width="9.140625" customWidth="1"/>
  </cols>
  <sheetData>
    <row r="1" spans="1:83" s="21" customFormat="1" ht="12.6" customHeight="1">
      <c r="A1" s="28" t="s">
        <v>102</v>
      </c>
      <c r="B1" s="21">
        <v>2</v>
      </c>
      <c r="D1" s="21">
        <v>6</v>
      </c>
      <c r="H1" s="21">
        <v>10</v>
      </c>
      <c r="L1" s="21">
        <v>14</v>
      </c>
      <c r="P1" s="21">
        <v>18</v>
      </c>
      <c r="T1" s="21">
        <v>22</v>
      </c>
      <c r="X1" s="21">
        <v>26</v>
      </c>
      <c r="AB1" s="21">
        <v>30</v>
      </c>
      <c r="AF1" s="21">
        <v>34</v>
      </c>
      <c r="AJ1" s="21">
        <v>38</v>
      </c>
      <c r="AN1" s="21">
        <v>42</v>
      </c>
      <c r="AR1" s="21">
        <v>46</v>
      </c>
      <c r="AV1" s="21">
        <v>50</v>
      </c>
    </row>
    <row r="2" spans="1:83" ht="15.75" customHeight="1">
      <c r="A2" s="85" t="s">
        <v>128</v>
      </c>
      <c r="C2" s="53"/>
      <c r="E2" t="s">
        <v>245</v>
      </c>
      <c r="F2">
        <v>66.47</v>
      </c>
      <c r="H2" s="21"/>
      <c r="I2" s="21"/>
      <c r="J2" s="21">
        <v>66.91</v>
      </c>
      <c r="K2" s="21"/>
      <c r="L2" s="53"/>
      <c r="M2" s="53"/>
      <c r="N2" s="53">
        <v>67.28</v>
      </c>
      <c r="O2" s="53"/>
      <c r="P2" s="21"/>
      <c r="Q2" s="21"/>
      <c r="R2" s="21">
        <v>67.2</v>
      </c>
      <c r="S2" s="21"/>
      <c r="T2" s="21"/>
      <c r="U2" s="21"/>
      <c r="V2" s="21">
        <v>66.930000000000007</v>
      </c>
      <c r="W2" s="21"/>
      <c r="X2" s="21"/>
      <c r="Y2" s="21"/>
      <c r="Z2" s="21">
        <v>66.69</v>
      </c>
      <c r="AA2" s="21"/>
      <c r="AB2" s="21"/>
      <c r="AC2" s="21"/>
      <c r="AD2" s="21">
        <v>66.73</v>
      </c>
      <c r="AE2" s="21"/>
      <c r="AF2" s="21"/>
      <c r="AG2" s="21"/>
      <c r="AH2" s="21">
        <v>67.58</v>
      </c>
      <c r="AI2" s="21"/>
      <c r="AJ2" s="21"/>
      <c r="AK2" s="21"/>
      <c r="AL2" s="21">
        <v>67.91</v>
      </c>
      <c r="AM2" s="21"/>
      <c r="AN2" s="21"/>
      <c r="AO2" s="21"/>
      <c r="AP2" s="21">
        <v>68.069999999999993</v>
      </c>
      <c r="AQ2" s="21"/>
      <c r="AR2" s="21"/>
      <c r="AS2" s="21"/>
      <c r="AT2" s="21">
        <v>67.010000000000005</v>
      </c>
      <c r="AU2" s="21"/>
      <c r="AV2" s="21"/>
      <c r="AW2" s="21"/>
      <c r="AX2" s="21">
        <v>67.010000000000005</v>
      </c>
      <c r="AY2" s="21"/>
    </row>
    <row r="3" spans="1:83" ht="12.6" customHeight="1">
      <c r="A3" s="20"/>
      <c r="B3" s="53"/>
      <c r="C3" s="53"/>
      <c r="D3" s="53"/>
      <c r="E3" s="53"/>
      <c r="F3" s="53"/>
      <c r="G3" s="53"/>
      <c r="L3" s="53"/>
      <c r="M3" s="53"/>
      <c r="N3" s="53"/>
      <c r="O3" s="53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</row>
    <row r="4" spans="1:83" s="1" customFormat="1" ht="12.6" customHeight="1">
      <c r="A4" s="545" t="s">
        <v>10</v>
      </c>
      <c r="B4" s="490" t="s">
        <v>133</v>
      </c>
      <c r="C4" s="490"/>
      <c r="D4" s="544">
        <v>42461</v>
      </c>
      <c r="E4" s="544"/>
      <c r="F4" s="544"/>
      <c r="G4" s="544"/>
      <c r="H4" s="544">
        <f>D4+31</f>
        <v>42492</v>
      </c>
      <c r="I4" s="544"/>
      <c r="J4" s="544"/>
      <c r="K4" s="544"/>
      <c r="L4" s="544">
        <f>H4+31</f>
        <v>42523</v>
      </c>
      <c r="M4" s="544"/>
      <c r="N4" s="544"/>
      <c r="O4" s="544"/>
      <c r="P4" s="541">
        <f>L4+31</f>
        <v>42554</v>
      </c>
      <c r="Q4" s="542"/>
      <c r="R4" s="542"/>
      <c r="S4" s="543"/>
      <c r="T4" s="541">
        <f>P4+31</f>
        <v>42585</v>
      </c>
      <c r="U4" s="542"/>
      <c r="V4" s="542"/>
      <c r="W4" s="543"/>
      <c r="X4" s="541">
        <f>T4+31</f>
        <v>42616</v>
      </c>
      <c r="Y4" s="542"/>
      <c r="Z4" s="542"/>
      <c r="AA4" s="543"/>
      <c r="AB4" s="541">
        <f>X4+31</f>
        <v>42647</v>
      </c>
      <c r="AC4" s="542"/>
      <c r="AD4" s="542"/>
      <c r="AE4" s="543"/>
      <c r="AF4" s="541">
        <f>AB4+31</f>
        <v>42678</v>
      </c>
      <c r="AG4" s="542"/>
      <c r="AH4" s="542"/>
      <c r="AI4" s="543"/>
      <c r="AJ4" s="541">
        <f>AF4+31</f>
        <v>42709</v>
      </c>
      <c r="AK4" s="542"/>
      <c r="AL4" s="542"/>
      <c r="AM4" s="543"/>
      <c r="AN4" s="541">
        <f>AJ4+31</f>
        <v>42740</v>
      </c>
      <c r="AO4" s="542"/>
      <c r="AP4" s="542"/>
      <c r="AQ4" s="543"/>
      <c r="AR4" s="541">
        <f>AN4+31</f>
        <v>42771</v>
      </c>
      <c r="AS4" s="542"/>
      <c r="AT4" s="542"/>
      <c r="AU4" s="543"/>
      <c r="AV4" s="541">
        <f t="shared" ref="AV4" si="0">AR4+31</f>
        <v>42802</v>
      </c>
      <c r="AW4" s="542"/>
      <c r="AX4" s="542"/>
      <c r="AY4" s="543"/>
      <c r="AZ4" s="541" t="s">
        <v>19</v>
      </c>
      <c r="BA4" s="542"/>
      <c r="BB4" s="543"/>
      <c r="BC4" s="541" t="s">
        <v>20</v>
      </c>
      <c r="BD4" s="542"/>
      <c r="BE4" s="543"/>
      <c r="BF4" s="541" t="s">
        <v>21</v>
      </c>
      <c r="BG4" s="542"/>
      <c r="BH4" s="543"/>
      <c r="BI4" s="544" t="s">
        <v>22</v>
      </c>
      <c r="BJ4" s="544"/>
      <c r="BK4" s="544"/>
      <c r="BL4" s="541" t="s">
        <v>246</v>
      </c>
      <c r="BM4" s="542"/>
      <c r="BN4" s="542"/>
      <c r="BO4" s="543"/>
      <c r="BP4" s="491"/>
      <c r="BQ4" s="544" t="s">
        <v>231</v>
      </c>
      <c r="BR4" s="544"/>
      <c r="BS4" s="490"/>
      <c r="BT4" s="490"/>
      <c r="BU4" s="456"/>
      <c r="CA4" s="541" t="s">
        <v>244</v>
      </c>
      <c r="CB4" s="542"/>
      <c r="CC4" s="542"/>
      <c r="CD4" s="543"/>
      <c r="CE4" s="524"/>
    </row>
    <row r="5" spans="1:83" s="1" customFormat="1" ht="33.75">
      <c r="A5" s="545"/>
      <c r="B5" s="456" t="s">
        <v>68</v>
      </c>
      <c r="C5" s="456" t="s">
        <v>225</v>
      </c>
      <c r="D5" s="456" t="s">
        <v>229</v>
      </c>
      <c r="E5" s="456" t="s">
        <v>212</v>
      </c>
      <c r="F5" s="456" t="s">
        <v>213</v>
      </c>
      <c r="G5" s="456" t="s">
        <v>234</v>
      </c>
      <c r="H5" s="456" t="s">
        <v>229</v>
      </c>
      <c r="I5" s="456" t="s">
        <v>212</v>
      </c>
      <c r="J5" s="456" t="s">
        <v>213</v>
      </c>
      <c r="K5" s="456" t="s">
        <v>234</v>
      </c>
      <c r="L5" s="456" t="s">
        <v>229</v>
      </c>
      <c r="M5" s="456" t="s">
        <v>212</v>
      </c>
      <c r="N5" s="456" t="s">
        <v>213</v>
      </c>
      <c r="O5" s="456" t="s">
        <v>234</v>
      </c>
      <c r="P5" s="456" t="s">
        <v>229</v>
      </c>
      <c r="Q5" s="456" t="s">
        <v>212</v>
      </c>
      <c r="R5" s="456" t="s">
        <v>213</v>
      </c>
      <c r="S5" s="456" t="s">
        <v>234</v>
      </c>
      <c r="T5" s="456" t="s">
        <v>229</v>
      </c>
      <c r="U5" s="456" t="s">
        <v>212</v>
      </c>
      <c r="V5" s="456" t="s">
        <v>213</v>
      </c>
      <c r="W5" s="456" t="s">
        <v>234</v>
      </c>
      <c r="X5" s="456" t="s">
        <v>229</v>
      </c>
      <c r="Y5" s="456" t="s">
        <v>212</v>
      </c>
      <c r="Z5" s="456" t="s">
        <v>213</v>
      </c>
      <c r="AA5" s="456" t="s">
        <v>234</v>
      </c>
      <c r="AB5" s="456" t="s">
        <v>229</v>
      </c>
      <c r="AC5" s="456" t="s">
        <v>212</v>
      </c>
      <c r="AD5" s="456" t="s">
        <v>213</v>
      </c>
      <c r="AE5" s="456" t="s">
        <v>234</v>
      </c>
      <c r="AF5" s="456" t="s">
        <v>229</v>
      </c>
      <c r="AG5" s="456" t="s">
        <v>212</v>
      </c>
      <c r="AH5" s="456" t="s">
        <v>213</v>
      </c>
      <c r="AI5" s="456" t="s">
        <v>234</v>
      </c>
      <c r="AJ5" s="456" t="s">
        <v>229</v>
      </c>
      <c r="AK5" s="456" t="s">
        <v>212</v>
      </c>
      <c r="AL5" s="456" t="s">
        <v>213</v>
      </c>
      <c r="AM5" s="456" t="s">
        <v>234</v>
      </c>
      <c r="AN5" s="456" t="s">
        <v>229</v>
      </c>
      <c r="AO5" s="456" t="s">
        <v>212</v>
      </c>
      <c r="AP5" s="456" t="s">
        <v>213</v>
      </c>
      <c r="AQ5" s="456" t="s">
        <v>234</v>
      </c>
      <c r="AR5" s="456" t="s">
        <v>229</v>
      </c>
      <c r="AS5" s="456" t="s">
        <v>212</v>
      </c>
      <c r="AT5" s="456" t="s">
        <v>213</v>
      </c>
      <c r="AU5" s="456" t="s">
        <v>234</v>
      </c>
      <c r="AV5" s="456" t="s">
        <v>229</v>
      </c>
      <c r="AW5" s="456" t="s">
        <v>212</v>
      </c>
      <c r="AX5" s="456" t="s">
        <v>213</v>
      </c>
      <c r="AY5" s="456" t="s">
        <v>234</v>
      </c>
      <c r="AZ5" s="456" t="s">
        <v>229</v>
      </c>
      <c r="BA5" s="456" t="s">
        <v>228</v>
      </c>
      <c r="BB5" s="456" t="s">
        <v>234</v>
      </c>
      <c r="BC5" s="456" t="s">
        <v>229</v>
      </c>
      <c r="BD5" s="456" t="s">
        <v>228</v>
      </c>
      <c r="BE5" s="456" t="s">
        <v>234</v>
      </c>
      <c r="BF5" s="456" t="s">
        <v>229</v>
      </c>
      <c r="BG5" s="456" t="s">
        <v>228</v>
      </c>
      <c r="BH5" s="456" t="s">
        <v>234</v>
      </c>
      <c r="BI5" s="456" t="s">
        <v>229</v>
      </c>
      <c r="BJ5" s="456" t="s">
        <v>228</v>
      </c>
      <c r="BK5" s="456" t="s">
        <v>234</v>
      </c>
      <c r="BL5" s="456" t="s">
        <v>229</v>
      </c>
      <c r="BM5" s="456" t="s">
        <v>228</v>
      </c>
      <c r="BN5" s="456" t="s">
        <v>234</v>
      </c>
      <c r="BO5" s="456" t="s">
        <v>232</v>
      </c>
      <c r="BP5" s="491"/>
      <c r="BQ5" s="456" t="s">
        <v>229</v>
      </c>
      <c r="BR5" s="456" t="s">
        <v>230</v>
      </c>
      <c r="BS5" s="456"/>
      <c r="BT5" s="456"/>
      <c r="BU5" s="456" t="s">
        <v>232</v>
      </c>
      <c r="CA5" s="456" t="s">
        <v>229</v>
      </c>
      <c r="CB5" s="456" t="s">
        <v>212</v>
      </c>
      <c r="CC5" s="456" t="s">
        <v>232</v>
      </c>
      <c r="CD5" s="456" t="s">
        <v>234</v>
      </c>
      <c r="CE5" s="456" t="s">
        <v>240</v>
      </c>
    </row>
    <row r="6" spans="1:83" ht="12.6" customHeight="1">
      <c r="A6" s="254" t="s">
        <v>43</v>
      </c>
      <c r="B6" s="129">
        <v>13490</v>
      </c>
      <c r="C6" s="23"/>
      <c r="D6" s="129">
        <v>850</v>
      </c>
      <c r="E6" s="129">
        <f>1465-1132</f>
        <v>333</v>
      </c>
      <c r="F6" s="129">
        <v>1737</v>
      </c>
      <c r="G6" s="509">
        <f>E6*(F6-1070)*66.47/10^7</f>
        <v>1.476371817</v>
      </c>
      <c r="H6" s="129">
        <v>1220</v>
      </c>
      <c r="I6" s="129">
        <v>1012</v>
      </c>
      <c r="J6" s="129">
        <v>1911</v>
      </c>
      <c r="K6" s="509">
        <f>965*(J6-1075)*66.91/10^7</f>
        <v>5.3978973400000001</v>
      </c>
      <c r="L6" s="129">
        <v>1180</v>
      </c>
      <c r="M6" s="129">
        <f>2243-1133</f>
        <v>1110</v>
      </c>
      <c r="N6" s="129">
        <v>2061.6</v>
      </c>
      <c r="O6" s="509">
        <f>M6*(N6-1089)*67.28/10^7</f>
        <v>7.263454608</v>
      </c>
      <c r="P6" s="129">
        <v>1170</v>
      </c>
      <c r="Q6" s="129">
        <v>1742</v>
      </c>
      <c r="R6" s="129">
        <v>2027</v>
      </c>
      <c r="S6" s="509">
        <f>Q6*(R6-1075)*67.28/10^7</f>
        <v>11.157607552</v>
      </c>
      <c r="T6" s="129">
        <v>1190</v>
      </c>
      <c r="U6" s="129">
        <v>1108</v>
      </c>
      <c r="V6" s="129">
        <v>1997</v>
      </c>
      <c r="W6" s="509">
        <f>1086*(V6-1001)*66.93/10^7</f>
        <v>7.2395236080000016</v>
      </c>
      <c r="X6" s="129">
        <v>1140</v>
      </c>
      <c r="Y6" s="129">
        <v>886</v>
      </c>
      <c r="Z6" s="129">
        <v>2116</v>
      </c>
      <c r="AA6" s="509">
        <f>Y6*(Z6-1248)*66.69/10^7</f>
        <v>5.1287811119999995</v>
      </c>
      <c r="AB6" s="129">
        <v>1260</v>
      </c>
      <c r="AC6" s="129">
        <v>790</v>
      </c>
      <c r="AD6" s="129">
        <v>2172</v>
      </c>
      <c r="AE6" s="509">
        <f>(AC6-12)*(AD6-1349)*66.73/10^7</f>
        <v>4.2726818620000007</v>
      </c>
      <c r="AF6" s="129">
        <v>1160</v>
      </c>
      <c r="AG6" s="129">
        <v>923</v>
      </c>
      <c r="AH6" s="129">
        <v>2098</v>
      </c>
      <c r="AI6" s="509">
        <f>(AG6-12)*(AH6-1505)*67.58/10^7</f>
        <v>3.6508270339999997</v>
      </c>
      <c r="AJ6" s="129">
        <v>1220</v>
      </c>
      <c r="AK6" s="129">
        <v>1403</v>
      </c>
      <c r="AL6" s="129">
        <v>2318</v>
      </c>
      <c r="AM6" s="509">
        <f>(AK6-21)*(AL6-1573)*67.91/10^7</f>
        <v>6.9919456899999988</v>
      </c>
      <c r="AN6" s="129">
        <v>1200</v>
      </c>
      <c r="AO6" s="129">
        <v>864</v>
      </c>
      <c r="AP6" s="129">
        <v>2632</v>
      </c>
      <c r="AQ6" s="509">
        <f>(AO6-14)*(AP6-1782)*68.01/10^7</f>
        <v>4.9137225000000004</v>
      </c>
      <c r="AR6" s="129">
        <v>1170</v>
      </c>
      <c r="AS6" s="129">
        <v>873</v>
      </c>
      <c r="AT6" s="129">
        <v>2751</v>
      </c>
      <c r="AU6" s="509">
        <f>(AS6-14)*(AT6-2045)*67.01/10^7</f>
        <v>4.0638482540000007</v>
      </c>
      <c r="AV6" s="129">
        <v>730</v>
      </c>
      <c r="AW6" s="129"/>
      <c r="AX6" s="129"/>
      <c r="AY6" s="509">
        <f>AW6*(AX6-1248)*66.69/10^7</f>
        <v>0</v>
      </c>
      <c r="AZ6" s="23">
        <f t="shared" ref="AZ6" si="1">+D6+H6+L6</f>
        <v>3250</v>
      </c>
      <c r="BA6" s="23">
        <f t="shared" ref="BA6" si="2">+E6+I6+M6</f>
        <v>2455</v>
      </c>
      <c r="BB6" s="509">
        <f>+G6+K6+O6</f>
        <v>14.137723765</v>
      </c>
      <c r="BC6" s="23">
        <f>+P6+T6+X6</f>
        <v>3500</v>
      </c>
      <c r="BD6" s="23">
        <f>+Q6+U6+Y6</f>
        <v>3736</v>
      </c>
      <c r="BE6" s="257">
        <f>S6+W6+AA6</f>
        <v>23.525912271999999</v>
      </c>
      <c r="BF6" s="23">
        <f>AB6+AF6+AJ6</f>
        <v>3640</v>
      </c>
      <c r="BG6" s="23">
        <f>AC6+AG6+AK6</f>
        <v>3116</v>
      </c>
      <c r="BH6" s="257">
        <f>AE6+AI6+AM6</f>
        <v>14.915454585999999</v>
      </c>
      <c r="BI6" s="23">
        <f>+AN6+AR6+AV6</f>
        <v>3100</v>
      </c>
      <c r="BJ6" s="23">
        <f>+AO6+AS6+AW6</f>
        <v>1737</v>
      </c>
      <c r="BK6" s="257">
        <f>AQ6+AU6+AY6</f>
        <v>8.977570754000002</v>
      </c>
      <c r="BL6" s="23">
        <f>AZ6+BC6+BF6+BI6</f>
        <v>13490</v>
      </c>
      <c r="BM6" s="23">
        <f t="shared" ref="BM6:BN6" si="3">BA6+BD6+BG6+BJ6</f>
        <v>11044</v>
      </c>
      <c r="BN6" s="23">
        <f t="shared" si="3"/>
        <v>61.556661376999998</v>
      </c>
      <c r="BO6" s="466">
        <f>IFERROR(BM6/BL6,0)</f>
        <v>0.81868050407709414</v>
      </c>
      <c r="BP6" s="474"/>
      <c r="BQ6" s="23">
        <f t="shared" ref="BQ6:BQ23" si="4">AZ6+BC6</f>
        <v>6750</v>
      </c>
      <c r="BR6" s="23">
        <f t="shared" ref="BR6:BR23" si="5">BA6+BD6</f>
        <v>6191</v>
      </c>
      <c r="BS6" s="23"/>
      <c r="BT6" s="23"/>
      <c r="BU6" s="466">
        <f>IFERROR(BR6/BQ6,0)</f>
        <v>0.91718518518518521</v>
      </c>
      <c r="CA6" s="23">
        <f t="shared" ref="CA6:CA23" si="6">D6+H6+L6+P6+T6+X6</f>
        <v>6750</v>
      </c>
      <c r="CB6" s="23">
        <f t="shared" ref="CB6:CB23" si="7">E6+I6+M6+Q6+U6+Y6</f>
        <v>6191</v>
      </c>
      <c r="CC6" s="466">
        <f t="shared" ref="CC6:CC70" si="8">IFERROR(CB6/CA6,0)</f>
        <v>0.91718518518518521</v>
      </c>
      <c r="CD6" s="509">
        <f t="shared" ref="CD6:CD23" si="9">G6+K6+O6+S6+W6+AA6</f>
        <v>37.663636036999996</v>
      </c>
      <c r="CE6" s="466">
        <f t="shared" ref="CE6:CE37" si="10">IFERROR(CB6/B6,0)</f>
        <v>0.45893254262416605</v>
      </c>
    </row>
    <row r="7" spans="1:83" ht="12.6" customHeight="1">
      <c r="A7" s="254" t="s">
        <v>129</v>
      </c>
      <c r="B7" s="129">
        <v>12240</v>
      </c>
      <c r="C7" s="23"/>
      <c r="D7" s="129">
        <v>1020</v>
      </c>
      <c r="E7" s="129">
        <v>1132</v>
      </c>
      <c r="F7" s="129">
        <v>1363.7</v>
      </c>
      <c r="G7" s="509">
        <f>E7*(F7-1074)*66.47/10^7</f>
        <v>2.1798198387999999</v>
      </c>
      <c r="H7" s="129">
        <v>1020</v>
      </c>
      <c r="I7" s="129">
        <v>1122</v>
      </c>
      <c r="J7" s="129">
        <v>1501.8</v>
      </c>
      <c r="K7" s="509">
        <f>I7*(J7-1282)*66.91/10^7</f>
        <v>1.6501049795999996</v>
      </c>
      <c r="L7" s="129">
        <v>1020</v>
      </c>
      <c r="M7" s="129">
        <v>1133</v>
      </c>
      <c r="N7" s="129">
        <v>1817.8</v>
      </c>
      <c r="O7" s="509">
        <f>M7*(N7-1548)*67.28/10^7</f>
        <v>2.0566379152000001</v>
      </c>
      <c r="P7" s="129">
        <v>1020</v>
      </c>
      <c r="Q7" s="129">
        <v>1218</v>
      </c>
      <c r="R7" s="129">
        <v>1893</v>
      </c>
      <c r="S7" s="509">
        <f>Q7*(R7-1626)*67.28/10^7</f>
        <v>2.187985968</v>
      </c>
      <c r="T7" s="129">
        <v>1020</v>
      </c>
      <c r="U7" s="129">
        <v>1664</v>
      </c>
      <c r="V7" s="129">
        <v>1894</v>
      </c>
      <c r="W7" s="509">
        <f>U7*(V7-1675)*66.93/10^7</f>
        <v>2.4390362880000001</v>
      </c>
      <c r="X7" s="129">
        <v>1020</v>
      </c>
      <c r="Y7" s="129">
        <v>1792</v>
      </c>
      <c r="Z7" s="129">
        <v>1968</v>
      </c>
      <c r="AA7" s="509">
        <f>Y7*(Z7-1758)*66.69/10^7</f>
        <v>2.50967808</v>
      </c>
      <c r="AB7" s="129">
        <v>1020</v>
      </c>
      <c r="AC7" s="129">
        <v>1905</v>
      </c>
      <c r="AD7" s="129">
        <v>2203</v>
      </c>
      <c r="AE7" s="509">
        <f>AC7*(AD7-1936)*66.73/10^7</f>
        <v>3.3941213550000002</v>
      </c>
      <c r="AF7" s="129">
        <v>1020</v>
      </c>
      <c r="AG7" s="129">
        <v>1033</v>
      </c>
      <c r="AH7" s="129">
        <v>2276</v>
      </c>
      <c r="AI7" s="509">
        <f>AG7*(AH7-2096)*67.58/10^7</f>
        <v>1.25658252</v>
      </c>
      <c r="AJ7" s="129">
        <v>1020</v>
      </c>
      <c r="AK7" s="129">
        <v>274</v>
      </c>
      <c r="AL7" s="129">
        <v>2302</v>
      </c>
      <c r="AM7" s="509">
        <f>AK7*(AL7-2082)*67.91/10^7</f>
        <v>0.40936148</v>
      </c>
      <c r="AN7" s="129">
        <v>1020</v>
      </c>
      <c r="AO7" s="129">
        <v>1194</v>
      </c>
      <c r="AP7" s="129">
        <v>2261</v>
      </c>
      <c r="AQ7" s="509">
        <f>AO7*(AP7-2131)*68.01/10^7</f>
        <v>1.0556512200000001</v>
      </c>
      <c r="AR7" s="129">
        <v>1020</v>
      </c>
      <c r="AS7" s="129">
        <v>1262</v>
      </c>
      <c r="AT7" s="129">
        <v>2344</v>
      </c>
      <c r="AU7" s="509">
        <f>AS7*(AT7-2139)*67.01/10^7</f>
        <v>1.7336157100000003</v>
      </c>
      <c r="AV7" s="129">
        <v>1020</v>
      </c>
      <c r="AW7" s="129"/>
      <c r="AX7" s="129"/>
      <c r="AY7" s="509">
        <f>AW7*(AX7-1758)*66.69/10^7</f>
        <v>0</v>
      </c>
      <c r="AZ7" s="23">
        <f t="shared" ref="AZ7:AZ23" si="11">+D7+H7+L7</f>
        <v>3060</v>
      </c>
      <c r="BA7" s="23">
        <f t="shared" ref="BA7:BA23" si="12">+E7+I7+M7</f>
        <v>3387</v>
      </c>
      <c r="BB7" s="509">
        <f t="shared" ref="BB7:BB23" si="13">+G7+K7+O7</f>
        <v>5.8865627335999999</v>
      </c>
      <c r="BC7" s="23">
        <f t="shared" ref="BC7:BC23" si="14">+P7+T7+X7</f>
        <v>3060</v>
      </c>
      <c r="BD7" s="257">
        <f t="shared" ref="BD7:BD23" si="15">+Q7+U7+Y7</f>
        <v>4674</v>
      </c>
      <c r="BE7" s="257">
        <f t="shared" ref="BE7:BE23" si="16">S7+W7+AA7</f>
        <v>7.1367003360000005</v>
      </c>
      <c r="BF7" s="257">
        <f t="shared" ref="BF7:BF23" si="17">AB7+AF7+AJ7</f>
        <v>3060</v>
      </c>
      <c r="BG7" s="23">
        <f t="shared" ref="BG7:BG23" si="18">AC7+AG7+AK7</f>
        <v>3212</v>
      </c>
      <c r="BH7" s="257">
        <f t="shared" ref="BH7:BH23" si="19">AE7+AI7+AM7</f>
        <v>5.0600653550000008</v>
      </c>
      <c r="BI7" s="23">
        <f t="shared" ref="BI7:BI23" si="20">+AN7+AR7+AV7</f>
        <v>3060</v>
      </c>
      <c r="BJ7" s="23">
        <f t="shared" ref="BJ7:BJ23" si="21">+AO7+AS7+AW7</f>
        <v>2456</v>
      </c>
      <c r="BK7" s="257">
        <f t="shared" ref="BK7:BK23" si="22">AQ7+AU7+AY7</f>
        <v>2.7892669300000001</v>
      </c>
      <c r="BL7" s="23">
        <f t="shared" ref="BL7:BL23" si="23">AZ7+BC7+BF7+BI7</f>
        <v>12240</v>
      </c>
      <c r="BM7" s="23">
        <f t="shared" ref="BM7:BM23" si="24">BA7+BD7+BG7+BJ7</f>
        <v>13729</v>
      </c>
      <c r="BN7" s="257">
        <f t="shared" ref="BN7:BN23" si="25">BB7+BE7+BH7+BK7</f>
        <v>20.872595354600001</v>
      </c>
      <c r="BO7" s="466">
        <f t="shared" ref="BO7:BO23" si="26">IFERROR(BM7/BL7,0)</f>
        <v>1.1216503267973856</v>
      </c>
      <c r="BP7" s="474"/>
      <c r="BQ7" s="23">
        <f t="shared" si="4"/>
        <v>6120</v>
      </c>
      <c r="BR7" s="23">
        <f t="shared" si="5"/>
        <v>8061</v>
      </c>
      <c r="BS7" s="23"/>
      <c r="BT7" s="23"/>
      <c r="BU7" s="466">
        <f t="shared" ref="BU7:BU70" si="27">IFERROR(BR7/BQ7,0)</f>
        <v>1.317156862745098</v>
      </c>
      <c r="CA7" s="23">
        <f t="shared" si="6"/>
        <v>6120</v>
      </c>
      <c r="CB7" s="23">
        <f t="shared" si="7"/>
        <v>8061</v>
      </c>
      <c r="CC7" s="466">
        <f t="shared" ref="CC7:CC23" si="28">IFERROR(CB7/CA7,0)</f>
        <v>1.317156862745098</v>
      </c>
      <c r="CD7" s="509">
        <f t="shared" si="9"/>
        <v>13.0232630696</v>
      </c>
      <c r="CE7" s="466">
        <f t="shared" si="10"/>
        <v>0.65857843137254901</v>
      </c>
    </row>
    <row r="8" spans="1:83" ht="12.6" customHeight="1">
      <c r="A8" s="254" t="s">
        <v>44</v>
      </c>
      <c r="B8" s="129">
        <v>980</v>
      </c>
      <c r="C8" s="23"/>
      <c r="D8" s="129">
        <v>40</v>
      </c>
      <c r="E8" s="129">
        <v>10</v>
      </c>
      <c r="F8" s="129">
        <v>2321</v>
      </c>
      <c r="G8" s="509">
        <f>E8*(F8-1070)*66.47/10^7</f>
        <v>8.3153969999999994E-2</v>
      </c>
      <c r="H8" s="129">
        <v>40</v>
      </c>
      <c r="I8" s="129"/>
      <c r="J8" s="129"/>
      <c r="K8" s="509">
        <f t="shared" ref="K8:K11" si="29">I8*(J8-C8)*66.91/10^7</f>
        <v>0</v>
      </c>
      <c r="L8" s="129">
        <v>120</v>
      </c>
      <c r="M8" s="129"/>
      <c r="N8" s="129"/>
      <c r="O8" s="509">
        <f t="shared" ref="O8" si="30">M8*(N8-C8)*67.28/10^7</f>
        <v>0</v>
      </c>
      <c r="P8" s="129">
        <v>60</v>
      </c>
      <c r="Q8" s="129">
        <v>26</v>
      </c>
      <c r="R8" s="129">
        <v>2123</v>
      </c>
      <c r="S8" s="509">
        <f>Q8*(R8-1075)*67.28/10^7</f>
        <v>0.18332454400000001</v>
      </c>
      <c r="T8" s="129">
        <v>60</v>
      </c>
      <c r="U8" s="129"/>
      <c r="V8" s="129"/>
      <c r="W8" s="509">
        <f t="shared" ref="W8:W23" si="31">U8*(V8-C8)*66.93/10^7</f>
        <v>0</v>
      </c>
      <c r="X8" s="129">
        <v>140</v>
      </c>
      <c r="Y8" s="129"/>
      <c r="Z8" s="129"/>
      <c r="AA8" s="509">
        <f t="shared" ref="AA8" si="32">Y8*(Z8-C8)*66.69/10^7</f>
        <v>0</v>
      </c>
      <c r="AB8" s="129">
        <v>60</v>
      </c>
      <c r="AC8" s="129"/>
      <c r="AD8" s="129"/>
      <c r="AE8" s="509">
        <f>AC8*(AD8-G8)*66.73/10^7</f>
        <v>0</v>
      </c>
      <c r="AF8" s="129">
        <v>60</v>
      </c>
      <c r="AG8" s="129"/>
      <c r="AH8" s="129"/>
      <c r="AI8" s="509">
        <f>AG8*(AH8-K8)*67.58/10^7</f>
        <v>0</v>
      </c>
      <c r="AJ8" s="129">
        <v>140</v>
      </c>
      <c r="AK8" s="129">
        <v>16</v>
      </c>
      <c r="AL8" s="129">
        <v>2651</v>
      </c>
      <c r="AM8" s="509">
        <f>AK8*(AL8-1573)*67.91/10^7</f>
        <v>0.11713116799999999</v>
      </c>
      <c r="AN8" s="129">
        <v>60</v>
      </c>
      <c r="AO8" s="129">
        <v>16</v>
      </c>
      <c r="AP8" s="129">
        <v>2718</v>
      </c>
      <c r="AQ8" s="509">
        <f>AO8*(AP8-1782)*68.01/10^7</f>
        <v>0.10185177600000002</v>
      </c>
      <c r="AR8" s="129">
        <v>60</v>
      </c>
      <c r="AS8" s="129">
        <v>40</v>
      </c>
      <c r="AT8" s="129">
        <v>2705</v>
      </c>
      <c r="AU8" s="509">
        <f>AS8*(AT8-2045)*67.01/10^7</f>
        <v>0.17690640000000002</v>
      </c>
      <c r="AV8" s="129">
        <v>140</v>
      </c>
      <c r="AW8" s="129"/>
      <c r="AX8" s="129"/>
      <c r="AY8" s="509">
        <f t="shared" ref="AY8" si="33">AW8*(AX8-AA8)*66.69/10^7</f>
        <v>0</v>
      </c>
      <c r="AZ8" s="23">
        <f t="shared" si="11"/>
        <v>200</v>
      </c>
      <c r="BA8" s="23">
        <f t="shared" si="12"/>
        <v>10</v>
      </c>
      <c r="BB8" s="509">
        <f t="shared" si="13"/>
        <v>8.3153969999999994E-2</v>
      </c>
      <c r="BC8" s="23">
        <f t="shared" si="14"/>
        <v>260</v>
      </c>
      <c r="BD8" s="257">
        <f t="shared" si="15"/>
        <v>26</v>
      </c>
      <c r="BE8" s="257">
        <f t="shared" si="16"/>
        <v>0.18332454400000001</v>
      </c>
      <c r="BF8" s="257">
        <f t="shared" si="17"/>
        <v>260</v>
      </c>
      <c r="BG8" s="23">
        <f t="shared" si="18"/>
        <v>16</v>
      </c>
      <c r="BH8" s="257">
        <f t="shared" si="19"/>
        <v>0.11713116799999999</v>
      </c>
      <c r="BI8" s="23">
        <f t="shared" si="20"/>
        <v>260</v>
      </c>
      <c r="BJ8" s="23">
        <f t="shared" si="21"/>
        <v>56</v>
      </c>
      <c r="BK8" s="257">
        <f t="shared" si="22"/>
        <v>0.27875817600000002</v>
      </c>
      <c r="BL8" s="23">
        <f t="shared" si="23"/>
        <v>980</v>
      </c>
      <c r="BM8" s="23">
        <f t="shared" si="24"/>
        <v>108</v>
      </c>
      <c r="BN8" s="257">
        <f t="shared" si="25"/>
        <v>0.66236785800000009</v>
      </c>
      <c r="BO8" s="466">
        <f t="shared" si="26"/>
        <v>0.11020408163265306</v>
      </c>
      <c r="BP8" s="474"/>
      <c r="BQ8" s="23">
        <f t="shared" si="4"/>
        <v>460</v>
      </c>
      <c r="BR8" s="23">
        <f t="shared" si="5"/>
        <v>36</v>
      </c>
      <c r="BS8" s="23"/>
      <c r="BT8" s="23"/>
      <c r="BU8" s="466">
        <f t="shared" si="27"/>
        <v>7.8260869565217397E-2</v>
      </c>
      <c r="CA8" s="23">
        <f t="shared" si="6"/>
        <v>460</v>
      </c>
      <c r="CB8" s="23">
        <f t="shared" si="7"/>
        <v>36</v>
      </c>
      <c r="CC8" s="466">
        <f t="shared" si="28"/>
        <v>7.8260869565217397E-2</v>
      </c>
      <c r="CD8" s="509">
        <f t="shared" si="9"/>
        <v>0.266478514</v>
      </c>
      <c r="CE8" s="466">
        <f t="shared" si="10"/>
        <v>3.6734693877551024E-2</v>
      </c>
    </row>
    <row r="9" spans="1:83" ht="12.6" customHeight="1">
      <c r="A9" s="254" t="s">
        <v>45</v>
      </c>
      <c r="B9" s="129">
        <v>530</v>
      </c>
      <c r="C9" s="23"/>
      <c r="D9" s="129">
        <v>30</v>
      </c>
      <c r="E9" s="129">
        <v>39</v>
      </c>
      <c r="F9" s="129">
        <v>1686</v>
      </c>
      <c r="G9" s="509">
        <f>E9*(F9-1070)*66.47/10^7</f>
        <v>0.159687528</v>
      </c>
      <c r="H9" s="129">
        <v>40</v>
      </c>
      <c r="I9" s="129"/>
      <c r="J9" s="129"/>
      <c r="K9" s="509">
        <f t="shared" si="29"/>
        <v>0</v>
      </c>
      <c r="L9" s="129">
        <v>40</v>
      </c>
      <c r="M9" s="129">
        <v>40</v>
      </c>
      <c r="N9" s="129">
        <v>2315</v>
      </c>
      <c r="O9" s="509">
        <f>M9*(N9-1089)*67.28/10^7</f>
        <v>0.32994112000000003</v>
      </c>
      <c r="P9" s="129">
        <v>40</v>
      </c>
      <c r="Q9" s="129">
        <v>41</v>
      </c>
      <c r="R9" s="129">
        <v>2318</v>
      </c>
      <c r="S9" s="509">
        <f>Q9*(R9-1075)*67.28/10^7</f>
        <v>0.34287906400000001</v>
      </c>
      <c r="T9" s="129">
        <v>40</v>
      </c>
      <c r="U9" s="129"/>
      <c r="V9" s="129"/>
      <c r="W9" s="509">
        <f t="shared" si="31"/>
        <v>0</v>
      </c>
      <c r="X9" s="129">
        <v>40</v>
      </c>
      <c r="Y9" s="129">
        <v>39</v>
      </c>
      <c r="Z9" s="129">
        <v>2350</v>
      </c>
      <c r="AA9" s="509">
        <f>Y9*(Z9-C9)*66.69/10^7</f>
        <v>0.61121384999999995</v>
      </c>
      <c r="AB9" s="129">
        <v>40</v>
      </c>
      <c r="AC9" s="129">
        <v>39</v>
      </c>
      <c r="AD9" s="129">
        <v>2349</v>
      </c>
      <c r="AE9" s="509">
        <f>AC9*(AD9-1349)*66.73/10^7</f>
        <v>0.26024700000000001</v>
      </c>
      <c r="AF9" s="129">
        <v>40</v>
      </c>
      <c r="AG9" s="129">
        <v>39</v>
      </c>
      <c r="AH9" s="129">
        <v>2391</v>
      </c>
      <c r="AI9" s="509">
        <f>AG9*(AH9-1505)*67.58/10^7</f>
        <v>0.23351593199999998</v>
      </c>
      <c r="AJ9" s="129">
        <v>50</v>
      </c>
      <c r="AK9" s="129">
        <v>61</v>
      </c>
      <c r="AL9" s="129">
        <v>2442</v>
      </c>
      <c r="AM9" s="509">
        <f>AK9*(AL9-1573)*67.91/10^7</f>
        <v>0.35998411899999999</v>
      </c>
      <c r="AN9" s="129">
        <v>60</v>
      </c>
      <c r="AO9" s="129">
        <v>60</v>
      </c>
      <c r="AP9" s="129">
        <v>2571</v>
      </c>
      <c r="AQ9" s="509">
        <f>AO9*(AP9-1782)*68.01/10^7</f>
        <v>0.32195934000000004</v>
      </c>
      <c r="AR9" s="129">
        <v>60</v>
      </c>
      <c r="AS9" s="129">
        <v>101</v>
      </c>
      <c r="AT9" s="129">
        <v>3298</v>
      </c>
      <c r="AU9" s="509">
        <f>AS9*(AT9-2045)*67.01/10^7</f>
        <v>0.84803165300000016</v>
      </c>
      <c r="AV9" s="129">
        <v>50</v>
      </c>
      <c r="AW9" s="129"/>
      <c r="AX9" s="129"/>
      <c r="AY9" s="509">
        <f>AW9*(AX9-AA9)*66.69/10^7</f>
        <v>0</v>
      </c>
      <c r="AZ9" s="23">
        <f t="shared" si="11"/>
        <v>110</v>
      </c>
      <c r="BA9" s="23">
        <f t="shared" si="12"/>
        <v>79</v>
      </c>
      <c r="BB9" s="509">
        <f t="shared" si="13"/>
        <v>0.48962864800000006</v>
      </c>
      <c r="BC9" s="23">
        <f t="shared" si="14"/>
        <v>120</v>
      </c>
      <c r="BD9" s="257">
        <f t="shared" si="15"/>
        <v>80</v>
      </c>
      <c r="BE9" s="257">
        <f t="shared" si="16"/>
        <v>0.95409291399999996</v>
      </c>
      <c r="BF9" s="257">
        <f t="shared" si="17"/>
        <v>130</v>
      </c>
      <c r="BG9" s="23">
        <f t="shared" si="18"/>
        <v>139</v>
      </c>
      <c r="BH9" s="257">
        <f t="shared" si="19"/>
        <v>0.85374705100000003</v>
      </c>
      <c r="BI9" s="23">
        <f t="shared" si="20"/>
        <v>170</v>
      </c>
      <c r="BJ9" s="23">
        <f t="shared" si="21"/>
        <v>161</v>
      </c>
      <c r="BK9" s="257">
        <f t="shared" si="22"/>
        <v>1.1699909930000003</v>
      </c>
      <c r="BL9" s="23">
        <f t="shared" si="23"/>
        <v>530</v>
      </c>
      <c r="BM9" s="23">
        <f t="shared" si="24"/>
        <v>459</v>
      </c>
      <c r="BN9" s="257">
        <f t="shared" si="25"/>
        <v>3.4674596060000002</v>
      </c>
      <c r="BO9" s="466">
        <f t="shared" si="26"/>
        <v>0.86603773584905663</v>
      </c>
      <c r="BP9" s="474"/>
      <c r="BQ9" s="23">
        <f t="shared" si="4"/>
        <v>230</v>
      </c>
      <c r="BR9" s="23">
        <f t="shared" si="5"/>
        <v>159</v>
      </c>
      <c r="BS9" s="23"/>
      <c r="BT9" s="23"/>
      <c r="BU9" s="466">
        <f t="shared" si="27"/>
        <v>0.69130434782608696</v>
      </c>
      <c r="CA9" s="23">
        <f t="shared" si="6"/>
        <v>230</v>
      </c>
      <c r="CB9" s="23">
        <f t="shared" si="7"/>
        <v>159</v>
      </c>
      <c r="CC9" s="466">
        <f t="shared" si="28"/>
        <v>0.69130434782608696</v>
      </c>
      <c r="CD9" s="509">
        <f t="shared" si="9"/>
        <v>1.4437215619999999</v>
      </c>
      <c r="CE9" s="466">
        <f t="shared" si="10"/>
        <v>0.3</v>
      </c>
    </row>
    <row r="10" spans="1:83" ht="12.6" customHeight="1">
      <c r="A10" s="254" t="s">
        <v>46</v>
      </c>
      <c r="B10" s="129">
        <v>3780</v>
      </c>
      <c r="C10" s="23"/>
      <c r="D10" s="129">
        <v>263</v>
      </c>
      <c r="E10" s="129">
        <v>194</v>
      </c>
      <c r="F10" s="129">
        <v>1452</v>
      </c>
      <c r="G10" s="509">
        <f>E10*(F10-493)*66.47/10^7</f>
        <v>1.2366477619999998</v>
      </c>
      <c r="H10" s="129">
        <v>275</v>
      </c>
      <c r="I10" s="129">
        <v>88</v>
      </c>
      <c r="J10" s="129">
        <v>1416.8</v>
      </c>
      <c r="K10" s="509">
        <f>I10*(J10-898)*66.91/10^7</f>
        <v>0.30547359039999994</v>
      </c>
      <c r="L10" s="129">
        <v>275</v>
      </c>
      <c r="M10" s="129">
        <f>113-22</f>
        <v>91</v>
      </c>
      <c r="N10" s="129">
        <v>1445.6</v>
      </c>
      <c r="O10" s="509">
        <f>113*(N10-876)*67.28/10^7</f>
        <v>0.43304637439999988</v>
      </c>
      <c r="P10" s="129">
        <v>315</v>
      </c>
      <c r="Q10" s="129">
        <f>176-Q12</f>
        <v>157</v>
      </c>
      <c r="R10" s="129">
        <v>1461</v>
      </c>
      <c r="S10" s="509">
        <f>176*(R10-880)*67.28/10^7</f>
        <v>0.68797836800000001</v>
      </c>
      <c r="T10" s="129">
        <v>315</v>
      </c>
      <c r="U10" s="129">
        <v>164</v>
      </c>
      <c r="V10" s="129">
        <v>1460</v>
      </c>
      <c r="W10" s="509">
        <f>164*(V10-904)*66.93/10^7</f>
        <v>0.61029451200000007</v>
      </c>
      <c r="X10" s="129">
        <v>332</v>
      </c>
      <c r="Y10" s="129">
        <f>275-Y23</f>
        <v>97</v>
      </c>
      <c r="Z10" s="129">
        <v>1447</v>
      </c>
      <c r="AA10" s="509">
        <f>Y10*(Z10-998)*66.69/10^7</f>
        <v>0.29045495699999996</v>
      </c>
      <c r="AB10" s="129">
        <v>322</v>
      </c>
      <c r="AC10" s="129">
        <v>124</v>
      </c>
      <c r="AD10" s="129">
        <v>1470</v>
      </c>
      <c r="AE10" s="509">
        <f>AC10*(AD10-765)*66.73/10^7</f>
        <v>0.58335366000000011</v>
      </c>
      <c r="AF10" s="129">
        <v>322</v>
      </c>
      <c r="AG10" s="129">
        <v>335</v>
      </c>
      <c r="AH10" s="129">
        <v>1394</v>
      </c>
      <c r="AI10" s="509">
        <f>AG10*(AH10-932)*67.58/10^7</f>
        <v>1.04593566</v>
      </c>
      <c r="AJ10" s="129">
        <v>356</v>
      </c>
      <c r="AK10" s="129">
        <v>378</v>
      </c>
      <c r="AL10" s="129">
        <v>1390</v>
      </c>
      <c r="AM10" s="509">
        <f>AK10*(AL10-973)*67.91/10^7</f>
        <v>1.070438166</v>
      </c>
      <c r="AN10" s="129">
        <v>340</v>
      </c>
      <c r="AO10" s="129">
        <v>360</v>
      </c>
      <c r="AP10" s="129">
        <v>1405</v>
      </c>
      <c r="AQ10" s="509">
        <f>AO10*(AP10-1021)*68.01/10^7</f>
        <v>0.94017024000000005</v>
      </c>
      <c r="AR10" s="129">
        <v>335</v>
      </c>
      <c r="AS10" s="129">
        <v>223</v>
      </c>
      <c r="AT10" s="129">
        <v>1429</v>
      </c>
      <c r="AU10" s="509">
        <f>AS10*(AT10-1106)*67.01/10^7</f>
        <v>0.48266632900000001</v>
      </c>
      <c r="AV10" s="129">
        <v>330</v>
      </c>
      <c r="AW10" s="129"/>
      <c r="AX10" s="129"/>
      <c r="AY10" s="509">
        <f>AW10*(AX10-998)*66.69/10^7</f>
        <v>0</v>
      </c>
      <c r="AZ10" s="23">
        <f t="shared" si="11"/>
        <v>813</v>
      </c>
      <c r="BA10" s="23">
        <f t="shared" si="12"/>
        <v>373</v>
      </c>
      <c r="BB10" s="509">
        <f t="shared" si="13"/>
        <v>1.9751677267999996</v>
      </c>
      <c r="BC10" s="23">
        <f t="shared" si="14"/>
        <v>962</v>
      </c>
      <c r="BD10" s="257">
        <f t="shared" si="15"/>
        <v>418</v>
      </c>
      <c r="BE10" s="257">
        <f t="shared" si="16"/>
        <v>1.588727837</v>
      </c>
      <c r="BF10" s="257">
        <f t="shared" si="17"/>
        <v>1000</v>
      </c>
      <c r="BG10" s="23">
        <f t="shared" si="18"/>
        <v>837</v>
      </c>
      <c r="BH10" s="257">
        <f t="shared" si="19"/>
        <v>2.6997274860000005</v>
      </c>
      <c r="BI10" s="23">
        <f t="shared" si="20"/>
        <v>1005</v>
      </c>
      <c r="BJ10" s="23">
        <f t="shared" si="21"/>
        <v>583</v>
      </c>
      <c r="BK10" s="257">
        <f t="shared" si="22"/>
        <v>1.422836569</v>
      </c>
      <c r="BL10" s="23">
        <f t="shared" si="23"/>
        <v>3780</v>
      </c>
      <c r="BM10" s="23">
        <f t="shared" si="24"/>
        <v>2211</v>
      </c>
      <c r="BN10" s="257">
        <f t="shared" si="25"/>
        <v>7.6864596187999998</v>
      </c>
      <c r="BO10" s="466">
        <f t="shared" si="26"/>
        <v>0.58492063492063495</v>
      </c>
      <c r="BP10" s="474"/>
      <c r="BQ10" s="23">
        <f t="shared" si="4"/>
        <v>1775</v>
      </c>
      <c r="BR10" s="23">
        <f t="shared" si="5"/>
        <v>791</v>
      </c>
      <c r="BS10" s="23"/>
      <c r="BT10" s="23"/>
      <c r="BU10" s="466">
        <f t="shared" si="27"/>
        <v>0.4456338028169014</v>
      </c>
      <c r="CA10" s="23">
        <f t="shared" si="6"/>
        <v>1775</v>
      </c>
      <c r="CB10" s="23">
        <f t="shared" si="7"/>
        <v>791</v>
      </c>
      <c r="CC10" s="466">
        <f t="shared" si="28"/>
        <v>0.4456338028169014</v>
      </c>
      <c r="CD10" s="509">
        <f t="shared" si="9"/>
        <v>3.5638955637999996</v>
      </c>
      <c r="CE10" s="466">
        <f t="shared" si="10"/>
        <v>0.20925925925925926</v>
      </c>
    </row>
    <row r="11" spans="1:83" ht="12.6" customHeight="1">
      <c r="A11" s="254" t="s">
        <v>130</v>
      </c>
      <c r="B11" s="129">
        <v>7000</v>
      </c>
      <c r="C11" s="23"/>
      <c r="D11" s="129">
        <v>583</v>
      </c>
      <c r="E11" s="129">
        <v>0</v>
      </c>
      <c r="F11" s="129">
        <v>0</v>
      </c>
      <c r="G11" s="509">
        <f t="shared" ref="G11" si="34">E11*(F11-C11)*66.47/10^7</f>
        <v>0</v>
      </c>
      <c r="H11" s="129">
        <v>583</v>
      </c>
      <c r="I11" s="129"/>
      <c r="J11" s="129"/>
      <c r="K11" s="509">
        <f t="shared" si="29"/>
        <v>0</v>
      </c>
      <c r="L11" s="129">
        <v>584</v>
      </c>
      <c r="M11" s="129">
        <v>938</v>
      </c>
      <c r="N11" s="129">
        <v>1035.5</v>
      </c>
      <c r="O11" s="509">
        <f>M11*(N11-926)*67.28/10^7</f>
        <v>0.69103960799999997</v>
      </c>
      <c r="P11" s="129">
        <v>583</v>
      </c>
      <c r="Q11" s="129">
        <v>792</v>
      </c>
      <c r="R11" s="129">
        <v>1081</v>
      </c>
      <c r="S11" s="509">
        <f>Q11*(R11-964)*67.28/10^7</f>
        <v>0.62344339199999999</v>
      </c>
      <c r="T11" s="129">
        <v>583</v>
      </c>
      <c r="U11" s="129"/>
      <c r="V11" s="129"/>
      <c r="W11" s="509">
        <f t="shared" si="31"/>
        <v>0</v>
      </c>
      <c r="X11" s="129">
        <v>584</v>
      </c>
      <c r="Y11" s="129"/>
      <c r="Z11" s="129"/>
      <c r="AA11" s="509">
        <f t="shared" ref="AA11:AA23" si="35">Y11*(Z11-C11)*66.69/10^7</f>
        <v>0</v>
      </c>
      <c r="AB11" s="129">
        <v>583</v>
      </c>
      <c r="AC11" s="129"/>
      <c r="AD11" s="129"/>
      <c r="AE11" s="509">
        <f>AC11*(AD11-G11)*66.73/10^7</f>
        <v>0</v>
      </c>
      <c r="AF11" s="129">
        <v>583</v>
      </c>
      <c r="AG11" s="129"/>
      <c r="AH11" s="129"/>
      <c r="AI11" s="509">
        <f>AG11*(AH11-K11)*67.58/10^7</f>
        <v>0</v>
      </c>
      <c r="AJ11" s="129">
        <v>584</v>
      </c>
      <c r="AK11" s="129"/>
      <c r="AL11" s="129"/>
      <c r="AM11" s="509">
        <f>AK11*(AL11-O11)*67.91/10^7</f>
        <v>0</v>
      </c>
      <c r="AN11" s="129">
        <v>583</v>
      </c>
      <c r="AO11" s="129"/>
      <c r="AP11" s="129"/>
      <c r="AQ11" s="509">
        <f>AO11*(AP11-S11)*68.01/10^7</f>
        <v>0</v>
      </c>
      <c r="AR11" s="129">
        <v>583</v>
      </c>
      <c r="AS11" s="129"/>
      <c r="AT11" s="129"/>
      <c r="AU11" s="509">
        <f>AS11*(AT11-W11)*67.01/10^7</f>
        <v>0</v>
      </c>
      <c r="AV11" s="129">
        <v>584</v>
      </c>
      <c r="AW11" s="129"/>
      <c r="AX11" s="129"/>
      <c r="AY11" s="509">
        <f t="shared" ref="AY11:AY12" si="36">AW11*(AX11-AA11)*66.69/10^7</f>
        <v>0</v>
      </c>
      <c r="AZ11" s="23">
        <f t="shared" si="11"/>
        <v>1750</v>
      </c>
      <c r="BA11" s="23">
        <f t="shared" si="12"/>
        <v>938</v>
      </c>
      <c r="BB11" s="509">
        <f t="shared" si="13"/>
        <v>0.69103960799999997</v>
      </c>
      <c r="BC11" s="23">
        <f t="shared" si="14"/>
        <v>1750</v>
      </c>
      <c r="BD11" s="257">
        <f t="shared" si="15"/>
        <v>792</v>
      </c>
      <c r="BE11" s="257">
        <f t="shared" si="16"/>
        <v>0.62344339199999999</v>
      </c>
      <c r="BF11" s="257">
        <f t="shared" si="17"/>
        <v>1750</v>
      </c>
      <c r="BG11" s="23">
        <f t="shared" si="18"/>
        <v>0</v>
      </c>
      <c r="BH11" s="257">
        <f t="shared" si="19"/>
        <v>0</v>
      </c>
      <c r="BI11" s="23">
        <f t="shared" si="20"/>
        <v>1750</v>
      </c>
      <c r="BJ11" s="23">
        <f t="shared" si="21"/>
        <v>0</v>
      </c>
      <c r="BK11" s="257">
        <f t="shared" si="22"/>
        <v>0</v>
      </c>
      <c r="BL11" s="23">
        <f t="shared" si="23"/>
        <v>7000</v>
      </c>
      <c r="BM11" s="23">
        <f t="shared" si="24"/>
        <v>1730</v>
      </c>
      <c r="BN11" s="257">
        <f t="shared" si="25"/>
        <v>1.3144830000000001</v>
      </c>
      <c r="BO11" s="466">
        <f t="shared" si="26"/>
        <v>0.24714285714285714</v>
      </c>
      <c r="BP11" s="474"/>
      <c r="BQ11" s="23">
        <f t="shared" si="4"/>
        <v>3500</v>
      </c>
      <c r="BR11" s="23">
        <f t="shared" si="5"/>
        <v>1730</v>
      </c>
      <c r="BS11" s="23"/>
      <c r="BT11" s="23"/>
      <c r="BU11" s="466">
        <f t="shared" si="27"/>
        <v>0.49428571428571427</v>
      </c>
      <c r="CA11" s="23">
        <f t="shared" si="6"/>
        <v>3500</v>
      </c>
      <c r="CB11" s="23">
        <f t="shared" si="7"/>
        <v>1730</v>
      </c>
      <c r="CC11" s="466">
        <f t="shared" si="28"/>
        <v>0.49428571428571427</v>
      </c>
      <c r="CD11" s="509">
        <f t="shared" si="9"/>
        <v>1.3144830000000001</v>
      </c>
      <c r="CE11" s="466">
        <f t="shared" si="10"/>
        <v>0.24714285714285714</v>
      </c>
    </row>
    <row r="12" spans="1:83" ht="12.6" customHeight="1">
      <c r="A12" s="254" t="s">
        <v>131</v>
      </c>
      <c r="B12" s="129">
        <v>4356</v>
      </c>
      <c r="C12" s="23">
        <v>143.1</v>
      </c>
      <c r="D12" s="129"/>
      <c r="E12" s="129"/>
      <c r="F12" s="129"/>
      <c r="G12" s="509">
        <f>E12*(F12-C12)*66.47/10^7</f>
        <v>0</v>
      </c>
      <c r="H12" s="129"/>
      <c r="I12" s="129">
        <v>18</v>
      </c>
      <c r="J12" s="129">
        <v>1416.8</v>
      </c>
      <c r="K12" s="509">
        <f>I12*(J12-898)*66.91/10^7</f>
        <v>6.248323439999999E-2</v>
      </c>
      <c r="L12" s="129"/>
      <c r="M12" s="129">
        <v>22</v>
      </c>
      <c r="N12" s="129">
        <v>1445.6</v>
      </c>
      <c r="O12" s="509">
        <f>M12*(N12-876)*67.28/10^7</f>
        <v>8.430991359999998E-2</v>
      </c>
      <c r="P12" s="129">
        <v>484</v>
      </c>
      <c r="Q12" s="129">
        <v>19</v>
      </c>
      <c r="R12" s="129">
        <v>1335</v>
      </c>
      <c r="S12" s="509">
        <f>Q12*(R12-880)*67.28/10^7</f>
        <v>5.8163559999999996E-2</v>
      </c>
      <c r="T12" s="129">
        <v>484</v>
      </c>
      <c r="U12" s="129"/>
      <c r="V12" s="129"/>
      <c r="W12" s="509">
        <f t="shared" si="31"/>
        <v>0</v>
      </c>
      <c r="X12" s="129">
        <v>484</v>
      </c>
      <c r="Y12" s="129">
        <v>18</v>
      </c>
      <c r="Z12" s="129">
        <v>1345</v>
      </c>
      <c r="AA12" s="509">
        <f t="shared" si="35"/>
        <v>0.1442784798</v>
      </c>
      <c r="AB12" s="129">
        <v>484</v>
      </c>
      <c r="AC12" s="129"/>
      <c r="AD12" s="129"/>
      <c r="AE12" s="509">
        <f>AC12*(AD12-G12)*66.73/10^7</f>
        <v>0</v>
      </c>
      <c r="AF12" s="129">
        <v>484</v>
      </c>
      <c r="AG12" s="129"/>
      <c r="AH12" s="129"/>
      <c r="AI12" s="509">
        <f>AG12*(AH12-K12)*67.58/10^7</f>
        <v>0</v>
      </c>
      <c r="AJ12" s="129">
        <v>484</v>
      </c>
      <c r="AK12" s="129"/>
      <c r="AL12" s="129"/>
      <c r="AM12" s="509">
        <f>AK12*(AL12-O12)*67.91/10^7</f>
        <v>0</v>
      </c>
      <c r="AN12" s="129">
        <v>484</v>
      </c>
      <c r="AO12" s="129"/>
      <c r="AP12" s="129"/>
      <c r="AQ12" s="509">
        <f>AO12*(AP12-S12)*68.01/10^7</f>
        <v>0</v>
      </c>
      <c r="AR12" s="129">
        <v>484</v>
      </c>
      <c r="AS12" s="129"/>
      <c r="AT12" s="129"/>
      <c r="AU12" s="509">
        <f>AS12*(AT12-W12)*67.01/10^7</f>
        <v>0</v>
      </c>
      <c r="AV12" s="129">
        <v>484</v>
      </c>
      <c r="AW12" s="129"/>
      <c r="AX12" s="129"/>
      <c r="AY12" s="509">
        <f t="shared" si="36"/>
        <v>0</v>
      </c>
      <c r="AZ12" s="23">
        <f t="shared" si="11"/>
        <v>0</v>
      </c>
      <c r="BA12" s="23">
        <f t="shared" si="12"/>
        <v>40</v>
      </c>
      <c r="BB12" s="509">
        <f t="shared" si="13"/>
        <v>0.14679314799999998</v>
      </c>
      <c r="BC12" s="23">
        <f t="shared" si="14"/>
        <v>1452</v>
      </c>
      <c r="BD12" s="257">
        <f t="shared" si="15"/>
        <v>37</v>
      </c>
      <c r="BE12" s="257">
        <f t="shared" si="16"/>
        <v>0.2024420398</v>
      </c>
      <c r="BF12" s="257">
        <f t="shared" si="17"/>
        <v>1452</v>
      </c>
      <c r="BG12" s="23">
        <f t="shared" si="18"/>
        <v>0</v>
      </c>
      <c r="BH12" s="257">
        <f t="shared" si="19"/>
        <v>0</v>
      </c>
      <c r="BI12" s="23">
        <f t="shared" si="20"/>
        <v>1452</v>
      </c>
      <c r="BJ12" s="23">
        <f t="shared" si="21"/>
        <v>0</v>
      </c>
      <c r="BK12" s="257">
        <f t="shared" si="22"/>
        <v>0</v>
      </c>
      <c r="BL12" s="23">
        <f t="shared" si="23"/>
        <v>4356</v>
      </c>
      <c r="BM12" s="23">
        <f t="shared" si="24"/>
        <v>77</v>
      </c>
      <c r="BN12" s="257">
        <f t="shared" si="25"/>
        <v>0.34923518779999996</v>
      </c>
      <c r="BO12" s="466">
        <f t="shared" si="26"/>
        <v>1.7676767676767676E-2</v>
      </c>
      <c r="BP12" s="474"/>
      <c r="BQ12" s="23">
        <f t="shared" si="4"/>
        <v>1452</v>
      </c>
      <c r="BR12" s="23">
        <f t="shared" si="5"/>
        <v>77</v>
      </c>
      <c r="BS12" s="23"/>
      <c r="BT12" s="23"/>
      <c r="BU12" s="466">
        <f t="shared" si="27"/>
        <v>5.3030303030303032E-2</v>
      </c>
      <c r="CA12" s="23">
        <f t="shared" si="6"/>
        <v>1452</v>
      </c>
      <c r="CB12" s="23">
        <f t="shared" si="7"/>
        <v>77</v>
      </c>
      <c r="CC12" s="466">
        <f t="shared" si="28"/>
        <v>5.3030303030303032E-2</v>
      </c>
      <c r="CD12" s="509">
        <f t="shared" si="9"/>
        <v>0.34923518779999996</v>
      </c>
      <c r="CE12" s="466">
        <f t="shared" si="10"/>
        <v>1.7676767676767676E-2</v>
      </c>
    </row>
    <row r="13" spans="1:83" ht="12.6" customHeight="1">
      <c r="A13" s="254" t="s">
        <v>48</v>
      </c>
      <c r="B13" s="129">
        <v>600</v>
      </c>
      <c r="C13" s="23"/>
      <c r="D13" s="129">
        <v>42</v>
      </c>
      <c r="E13" s="129">
        <v>43</v>
      </c>
      <c r="F13" s="129">
        <v>1410.4</v>
      </c>
      <c r="G13" s="509">
        <f>E13*(F13-652)*66.47/10^7</f>
        <v>0.21676664640000001</v>
      </c>
      <c r="H13" s="129">
        <v>42</v>
      </c>
      <c r="I13" s="129">
        <v>67</v>
      </c>
      <c r="J13" s="129">
        <v>1429</v>
      </c>
      <c r="K13" s="509">
        <f>I13*(J13-943)*66.91/10^7</f>
        <v>0.217872342</v>
      </c>
      <c r="L13" s="129">
        <v>47</v>
      </c>
      <c r="M13" s="129">
        <v>97</v>
      </c>
      <c r="N13" s="129">
        <v>1417.9</v>
      </c>
      <c r="O13" s="509">
        <f>M13*(N13-937)*67.28/10^7</f>
        <v>0.31384303440000005</v>
      </c>
      <c r="P13" s="129">
        <v>47</v>
      </c>
      <c r="Q13" s="129">
        <v>72</v>
      </c>
      <c r="R13" s="129">
        <v>1381</v>
      </c>
      <c r="S13" s="509">
        <f>Q13*(R13-996)*67.28/10^7</f>
        <v>0.18650016</v>
      </c>
      <c r="T13" s="129">
        <v>52</v>
      </c>
      <c r="U13" s="129">
        <v>92</v>
      </c>
      <c r="V13" s="129">
        <v>1422</v>
      </c>
      <c r="W13" s="509">
        <f>U13*(V13-1054)*66.93/10^7</f>
        <v>0.226598208</v>
      </c>
      <c r="X13" s="129">
        <v>52</v>
      </c>
      <c r="Y13" s="129">
        <v>52</v>
      </c>
      <c r="Z13" s="129">
        <v>1431</v>
      </c>
      <c r="AA13" s="509">
        <f>Y13*(Z13-1035)*66.69/10^7</f>
        <v>0.13732804800000001</v>
      </c>
      <c r="AB13" s="129">
        <v>53</v>
      </c>
      <c r="AC13" s="129">
        <v>69</v>
      </c>
      <c r="AD13" s="129">
        <v>1425</v>
      </c>
      <c r="AE13" s="509">
        <f>AC13*(AD13-1040)*66.73/10^7</f>
        <v>0.17726824500000002</v>
      </c>
      <c r="AF13" s="129">
        <v>54</v>
      </c>
      <c r="AG13" s="129">
        <v>92</v>
      </c>
      <c r="AH13" s="129">
        <v>1396</v>
      </c>
      <c r="AI13" s="509">
        <f>AG13*(AH13-1032)*67.58/10^7</f>
        <v>0.22631190400000001</v>
      </c>
      <c r="AJ13" s="129">
        <v>54</v>
      </c>
      <c r="AK13" s="129">
        <v>72</v>
      </c>
      <c r="AL13" s="129">
        <v>1396</v>
      </c>
      <c r="AM13" s="509">
        <f>AK13*(AL13-1041)*67.91/10^7</f>
        <v>0.17357795999999998</v>
      </c>
      <c r="AN13" s="129">
        <v>54</v>
      </c>
      <c r="AO13" s="129">
        <v>133</v>
      </c>
      <c r="AP13" s="129">
        <v>1378</v>
      </c>
      <c r="AQ13" s="509">
        <f>AO13*(AP13-1060)*68.01/10^7</f>
        <v>0.28764149400000005</v>
      </c>
      <c r="AR13" s="129">
        <v>54</v>
      </c>
      <c r="AS13" s="129">
        <v>101</v>
      </c>
      <c r="AT13" s="129">
        <v>1437</v>
      </c>
      <c r="AU13" s="509">
        <f>AS13*(AT13-1147)*67.01/10^7</f>
        <v>0.19627229000000002</v>
      </c>
      <c r="AV13" s="129">
        <v>49</v>
      </c>
      <c r="AW13" s="129"/>
      <c r="AX13" s="129"/>
      <c r="AY13" s="509">
        <f>AW13*(AX13-1035)*66.69/10^7</f>
        <v>0</v>
      </c>
      <c r="AZ13" s="23">
        <f t="shared" si="11"/>
        <v>131</v>
      </c>
      <c r="BA13" s="23">
        <f t="shared" si="12"/>
        <v>207</v>
      </c>
      <c r="BB13" s="509">
        <f t="shared" si="13"/>
        <v>0.74848202280000009</v>
      </c>
      <c r="BC13" s="23">
        <f t="shared" si="14"/>
        <v>151</v>
      </c>
      <c r="BD13" s="257">
        <f t="shared" si="15"/>
        <v>216</v>
      </c>
      <c r="BE13" s="257">
        <f t="shared" si="16"/>
        <v>0.55042641599999997</v>
      </c>
      <c r="BF13" s="257">
        <f t="shared" si="17"/>
        <v>161</v>
      </c>
      <c r="BG13" s="23">
        <f t="shared" si="18"/>
        <v>233</v>
      </c>
      <c r="BH13" s="257">
        <f t="shared" si="19"/>
        <v>0.57715810899999997</v>
      </c>
      <c r="BI13" s="23">
        <f t="shared" si="20"/>
        <v>157</v>
      </c>
      <c r="BJ13" s="23">
        <f t="shared" si="21"/>
        <v>234</v>
      </c>
      <c r="BK13" s="257">
        <f t="shared" si="22"/>
        <v>0.48391378400000007</v>
      </c>
      <c r="BL13" s="23">
        <f t="shared" si="23"/>
        <v>600</v>
      </c>
      <c r="BM13" s="23">
        <f t="shared" si="24"/>
        <v>890</v>
      </c>
      <c r="BN13" s="257">
        <f t="shared" si="25"/>
        <v>2.3599803318000001</v>
      </c>
      <c r="BO13" s="466">
        <f t="shared" si="26"/>
        <v>1.4833333333333334</v>
      </c>
      <c r="BP13" s="474"/>
      <c r="BQ13" s="23">
        <f t="shared" si="4"/>
        <v>282</v>
      </c>
      <c r="BR13" s="23">
        <f t="shared" si="5"/>
        <v>423</v>
      </c>
      <c r="BS13" s="23"/>
      <c r="BT13" s="23"/>
      <c r="BU13" s="466">
        <f t="shared" si="27"/>
        <v>1.5</v>
      </c>
      <c r="CA13" s="23">
        <f t="shared" si="6"/>
        <v>282</v>
      </c>
      <c r="CB13" s="23">
        <f t="shared" si="7"/>
        <v>423</v>
      </c>
      <c r="CC13" s="466">
        <f t="shared" si="28"/>
        <v>1.5</v>
      </c>
      <c r="CD13" s="509">
        <f t="shared" si="9"/>
        <v>1.2989084388000003</v>
      </c>
      <c r="CE13" s="466">
        <f t="shared" si="10"/>
        <v>0.70499999999999996</v>
      </c>
    </row>
    <row r="14" spans="1:83" ht="12.6" customHeight="1">
      <c r="A14" s="254" t="s">
        <v>49</v>
      </c>
      <c r="B14" s="129">
        <v>0</v>
      </c>
      <c r="C14" s="23"/>
      <c r="D14" s="129"/>
      <c r="E14" s="129"/>
      <c r="F14" s="129"/>
      <c r="G14" s="509">
        <f t="shared" ref="G14:G16" si="37">E14*(F14-C14)*66.47/10^7</f>
        <v>0</v>
      </c>
      <c r="H14" s="129"/>
      <c r="I14" s="129"/>
      <c r="J14" s="129"/>
      <c r="K14" s="509">
        <f t="shared" ref="K14:K18" si="38">I14*(J14-C14)*66.91/10^7</f>
        <v>0</v>
      </c>
      <c r="L14" s="129"/>
      <c r="M14" s="129"/>
      <c r="N14" s="129"/>
      <c r="O14" s="509">
        <f t="shared" ref="O14:O18" si="39">M14*(N14-C14)*67.28/10^7</f>
        <v>0</v>
      </c>
      <c r="P14" s="129"/>
      <c r="Q14" s="129"/>
      <c r="R14" s="129"/>
      <c r="S14" s="509">
        <f>Q14*(R14-C14)*67.28/10^7</f>
        <v>0</v>
      </c>
      <c r="T14" s="129"/>
      <c r="U14" s="129"/>
      <c r="V14" s="129"/>
      <c r="W14" s="509">
        <f t="shared" si="31"/>
        <v>0</v>
      </c>
      <c r="X14" s="129"/>
      <c r="Y14" s="129"/>
      <c r="Z14" s="129"/>
      <c r="AA14" s="509">
        <f t="shared" si="35"/>
        <v>0</v>
      </c>
      <c r="AB14" s="129"/>
      <c r="AC14" s="129"/>
      <c r="AD14" s="129"/>
      <c r="AE14" s="509">
        <f>AC14*(AD14-G14)*66.73/10^7</f>
        <v>0</v>
      </c>
      <c r="AF14" s="129"/>
      <c r="AG14" s="129"/>
      <c r="AH14" s="129"/>
      <c r="AI14" s="509">
        <f>AG14*(AH14-K14)*67.58/10^7</f>
        <v>0</v>
      </c>
      <c r="AJ14" s="129"/>
      <c r="AK14" s="129"/>
      <c r="AL14" s="129"/>
      <c r="AM14" s="509">
        <f>AK14*(AL14-O14)*67.91/10^7</f>
        <v>0</v>
      </c>
      <c r="AN14" s="129"/>
      <c r="AO14" s="129"/>
      <c r="AP14" s="129"/>
      <c r="AQ14" s="509">
        <f>AO14*(AP14-S14)*68.01/10^7</f>
        <v>0</v>
      </c>
      <c r="AR14" s="129"/>
      <c r="AS14" s="129"/>
      <c r="AT14" s="129"/>
      <c r="AU14" s="509">
        <f>AS14*(AT14-W14)*67.01/10^7</f>
        <v>0</v>
      </c>
      <c r="AV14" s="129"/>
      <c r="AW14" s="129"/>
      <c r="AX14" s="129"/>
      <c r="AY14" s="509">
        <f t="shared" ref="AY14:AY16" si="40">AW14*(AX14-AA14)*66.69/10^7</f>
        <v>0</v>
      </c>
      <c r="AZ14" s="23">
        <f t="shared" si="11"/>
        <v>0</v>
      </c>
      <c r="BA14" s="23">
        <f t="shared" si="12"/>
        <v>0</v>
      </c>
      <c r="BB14" s="509">
        <f t="shared" si="13"/>
        <v>0</v>
      </c>
      <c r="BC14" s="23">
        <f t="shared" si="14"/>
        <v>0</v>
      </c>
      <c r="BD14" s="257">
        <f t="shared" si="15"/>
        <v>0</v>
      </c>
      <c r="BE14" s="257">
        <f t="shared" si="16"/>
        <v>0</v>
      </c>
      <c r="BF14" s="257">
        <f t="shared" si="17"/>
        <v>0</v>
      </c>
      <c r="BG14" s="23">
        <f t="shared" si="18"/>
        <v>0</v>
      </c>
      <c r="BH14" s="257">
        <f t="shared" si="19"/>
        <v>0</v>
      </c>
      <c r="BI14" s="23">
        <f t="shared" si="20"/>
        <v>0</v>
      </c>
      <c r="BJ14" s="23">
        <f t="shared" si="21"/>
        <v>0</v>
      </c>
      <c r="BK14" s="257">
        <f t="shared" si="22"/>
        <v>0</v>
      </c>
      <c r="BL14" s="23">
        <f t="shared" si="23"/>
        <v>0</v>
      </c>
      <c r="BM14" s="23">
        <f t="shared" si="24"/>
        <v>0</v>
      </c>
      <c r="BN14" s="257">
        <f t="shared" si="25"/>
        <v>0</v>
      </c>
      <c r="BO14" s="466">
        <f t="shared" si="26"/>
        <v>0</v>
      </c>
      <c r="BP14" s="474"/>
      <c r="BQ14" s="23">
        <f t="shared" si="4"/>
        <v>0</v>
      </c>
      <c r="BR14" s="23">
        <f t="shared" si="5"/>
        <v>0</v>
      </c>
      <c r="BS14" s="23"/>
      <c r="BT14" s="23"/>
      <c r="BU14" s="466">
        <f t="shared" si="27"/>
        <v>0</v>
      </c>
      <c r="CA14" s="23">
        <f t="shared" si="6"/>
        <v>0</v>
      </c>
      <c r="CB14" s="23">
        <f t="shared" si="7"/>
        <v>0</v>
      </c>
      <c r="CC14" s="466">
        <f t="shared" si="28"/>
        <v>0</v>
      </c>
      <c r="CD14" s="509">
        <f t="shared" si="9"/>
        <v>0</v>
      </c>
      <c r="CE14" s="466">
        <f t="shared" si="10"/>
        <v>0</v>
      </c>
    </row>
    <row r="15" spans="1:83" ht="12.6" customHeight="1">
      <c r="A15" s="254" t="s">
        <v>47</v>
      </c>
      <c r="B15" s="129">
        <v>288</v>
      </c>
      <c r="C15" s="23">
        <v>149.1</v>
      </c>
      <c r="D15" s="129">
        <v>18</v>
      </c>
      <c r="E15" s="129">
        <v>31</v>
      </c>
      <c r="F15" s="129">
        <v>1509.7</v>
      </c>
      <c r="G15" s="509">
        <f t="shared" si="37"/>
        <v>0.28036115420000002</v>
      </c>
      <c r="H15" s="129">
        <v>18</v>
      </c>
      <c r="I15" s="129">
        <v>110</v>
      </c>
      <c r="J15" s="129">
        <v>1402.3</v>
      </c>
      <c r="K15" s="509">
        <f t="shared" si="38"/>
        <v>0.922367732</v>
      </c>
      <c r="L15" s="129">
        <v>18</v>
      </c>
      <c r="M15" s="129">
        <v>78</v>
      </c>
      <c r="N15" s="129">
        <v>1490</v>
      </c>
      <c r="O15" s="509">
        <f t="shared" si="39"/>
        <v>0.70368286560000015</v>
      </c>
      <c r="P15" s="129">
        <v>18</v>
      </c>
      <c r="Q15" s="129">
        <v>52</v>
      </c>
      <c r="R15" s="129">
        <v>1491</v>
      </c>
      <c r="S15" s="509">
        <f t="shared" ref="S15" si="41">Q15*(R15-G15)*67.28/10^7</f>
        <v>0.52153720996803632</v>
      </c>
      <c r="T15" s="129">
        <v>23</v>
      </c>
      <c r="U15" s="129">
        <v>49</v>
      </c>
      <c r="V15" s="129">
        <v>1493</v>
      </c>
      <c r="W15" s="509">
        <f t="shared" si="31"/>
        <v>0.44074141230000008</v>
      </c>
      <c r="X15" s="129">
        <v>23</v>
      </c>
      <c r="Y15" s="129">
        <v>49</v>
      </c>
      <c r="Z15" s="129">
        <v>1511</v>
      </c>
      <c r="AA15" s="509">
        <f t="shared" si="35"/>
        <v>0.44504304390000005</v>
      </c>
      <c r="AB15" s="129">
        <v>25</v>
      </c>
      <c r="AC15" s="129">
        <v>53</v>
      </c>
      <c r="AD15" s="129">
        <v>1471</v>
      </c>
      <c r="AE15" s="509">
        <f>AC15*(AD15-G15)*66.73/10^7</f>
        <v>0.52014794395095532</v>
      </c>
      <c r="AF15" s="129">
        <v>25</v>
      </c>
      <c r="AG15" s="129">
        <v>25</v>
      </c>
      <c r="AH15" s="129">
        <v>1460</v>
      </c>
      <c r="AI15" s="509">
        <f>AG15*(AH15-K15)*67.58/10^7</f>
        <v>0.24651116597167858</v>
      </c>
      <c r="AJ15" s="129">
        <v>30</v>
      </c>
      <c r="AK15" s="129">
        <v>46</v>
      </c>
      <c r="AL15" s="129">
        <v>1486</v>
      </c>
      <c r="AM15" s="509">
        <f>AK15*(AL15-O15)*67.91/10^7</f>
        <v>0.46398577532434659</v>
      </c>
      <c r="AN15" s="129">
        <v>30</v>
      </c>
      <c r="AO15" s="129">
        <v>52</v>
      </c>
      <c r="AP15" s="129">
        <v>1475</v>
      </c>
      <c r="AQ15" s="509">
        <f>AO15*(AP15-S15)*68.01/10^7</f>
        <v>0.52145225732262046</v>
      </c>
      <c r="AR15" s="129">
        <v>30</v>
      </c>
      <c r="AS15" s="129">
        <v>23</v>
      </c>
      <c r="AT15" s="129">
        <v>1467</v>
      </c>
      <c r="AU15" s="509">
        <f>AS15*(AT15-W15)*67.01/10^7</f>
        <v>0.22603051261131213</v>
      </c>
      <c r="AV15" s="129">
        <v>30</v>
      </c>
      <c r="AW15" s="129"/>
      <c r="AX15" s="129"/>
      <c r="AY15" s="509">
        <f t="shared" si="40"/>
        <v>0</v>
      </c>
      <c r="AZ15" s="23">
        <f t="shared" si="11"/>
        <v>54</v>
      </c>
      <c r="BA15" s="23">
        <f t="shared" si="12"/>
        <v>219</v>
      </c>
      <c r="BB15" s="509">
        <f t="shared" si="13"/>
        <v>1.9064117518000003</v>
      </c>
      <c r="BC15" s="23">
        <f t="shared" si="14"/>
        <v>64</v>
      </c>
      <c r="BD15" s="257">
        <f t="shared" si="15"/>
        <v>150</v>
      </c>
      <c r="BE15" s="257">
        <f t="shared" si="16"/>
        <v>1.4073216661680363</v>
      </c>
      <c r="BF15" s="257">
        <f t="shared" si="17"/>
        <v>80</v>
      </c>
      <c r="BG15" s="23">
        <f t="shared" si="18"/>
        <v>124</v>
      </c>
      <c r="BH15" s="257">
        <f t="shared" si="19"/>
        <v>1.2306448852469805</v>
      </c>
      <c r="BI15" s="23">
        <f t="shared" si="20"/>
        <v>90</v>
      </c>
      <c r="BJ15" s="23">
        <f t="shared" si="21"/>
        <v>75</v>
      </c>
      <c r="BK15" s="257">
        <f t="shared" si="22"/>
        <v>0.74748276993393259</v>
      </c>
      <c r="BL15" s="23">
        <f t="shared" si="23"/>
        <v>288</v>
      </c>
      <c r="BM15" s="23">
        <f t="shared" si="24"/>
        <v>568</v>
      </c>
      <c r="BN15" s="257">
        <f t="shared" si="25"/>
        <v>5.2918610731489499</v>
      </c>
      <c r="BO15" s="466">
        <f t="shared" si="26"/>
        <v>1.9722222222222223</v>
      </c>
      <c r="BP15" s="474"/>
      <c r="BQ15" s="23">
        <f t="shared" si="4"/>
        <v>118</v>
      </c>
      <c r="BR15" s="23">
        <f t="shared" si="5"/>
        <v>369</v>
      </c>
      <c r="BS15" s="23"/>
      <c r="BT15" s="23"/>
      <c r="BU15" s="466">
        <f t="shared" si="27"/>
        <v>3.1271186440677967</v>
      </c>
      <c r="CA15" s="23">
        <f t="shared" si="6"/>
        <v>118</v>
      </c>
      <c r="CB15" s="23">
        <f t="shared" si="7"/>
        <v>369</v>
      </c>
      <c r="CC15" s="466">
        <f t="shared" si="28"/>
        <v>3.1271186440677967</v>
      </c>
      <c r="CD15" s="509">
        <f t="shared" si="9"/>
        <v>3.3137334179680367</v>
      </c>
      <c r="CE15" s="466">
        <f t="shared" si="10"/>
        <v>1.28125</v>
      </c>
    </row>
    <row r="16" spans="1:83" ht="12.6" customHeight="1">
      <c r="A16" s="254" t="s">
        <v>51</v>
      </c>
      <c r="B16" s="129">
        <v>780</v>
      </c>
      <c r="C16" s="23"/>
      <c r="D16" s="202">
        <v>55</v>
      </c>
      <c r="E16" s="202">
        <v>6</v>
      </c>
      <c r="F16" s="202">
        <v>1510.4</v>
      </c>
      <c r="G16" s="509">
        <f t="shared" si="37"/>
        <v>6.0237772800000013E-2</v>
      </c>
      <c r="H16" s="202">
        <v>55</v>
      </c>
      <c r="I16" s="202">
        <v>0</v>
      </c>
      <c r="J16" s="202"/>
      <c r="K16" s="509">
        <f t="shared" si="38"/>
        <v>0</v>
      </c>
      <c r="L16" s="202">
        <v>55</v>
      </c>
      <c r="M16" s="202">
        <v>0</v>
      </c>
      <c r="N16" s="202"/>
      <c r="O16" s="509">
        <f t="shared" si="39"/>
        <v>0</v>
      </c>
      <c r="P16" s="202">
        <v>65</v>
      </c>
      <c r="Q16" s="202">
        <v>18</v>
      </c>
      <c r="R16" s="202">
        <v>1517</v>
      </c>
      <c r="S16" s="509">
        <f>Q16*(R16-1436)*67.28/10^7</f>
        <v>9.8094240000000006E-3</v>
      </c>
      <c r="T16" s="202">
        <v>65</v>
      </c>
      <c r="U16" s="202">
        <v>30</v>
      </c>
      <c r="V16" s="202">
        <v>1496</v>
      </c>
      <c r="W16" s="509">
        <f t="shared" si="31"/>
        <v>0.30038184000000001</v>
      </c>
      <c r="X16" s="202">
        <v>65</v>
      </c>
      <c r="Y16" s="202">
        <v>39</v>
      </c>
      <c r="Z16" s="202">
        <v>1482</v>
      </c>
      <c r="AA16" s="509">
        <f t="shared" si="35"/>
        <v>0.38545486199999995</v>
      </c>
      <c r="AB16" s="202">
        <v>70</v>
      </c>
      <c r="AC16" s="202">
        <v>31</v>
      </c>
      <c r="AD16" s="202">
        <v>1463</v>
      </c>
      <c r="AE16" s="509">
        <f>AC16*(AD16-G16)*66.73/10^7</f>
        <v>0.30262810803360529</v>
      </c>
      <c r="AF16" s="202">
        <v>70</v>
      </c>
      <c r="AG16" s="202">
        <v>22</v>
      </c>
      <c r="AH16" s="202">
        <v>1448</v>
      </c>
      <c r="AI16" s="509">
        <f>AG16*(AH16-K16)*67.58/10^7</f>
        <v>0.215282848</v>
      </c>
      <c r="AJ16" s="202">
        <v>70</v>
      </c>
      <c r="AK16" s="202">
        <v>33</v>
      </c>
      <c r="AL16" s="202">
        <v>1438</v>
      </c>
      <c r="AM16" s="509">
        <f>AK16*(AL16-O16)*67.91/10^7</f>
        <v>0.32226011399999999</v>
      </c>
      <c r="AN16" s="202">
        <v>70</v>
      </c>
      <c r="AO16" s="202">
        <v>14</v>
      </c>
      <c r="AP16" s="202">
        <v>1475</v>
      </c>
      <c r="AQ16" s="509">
        <f>AO16*(AP16-S16)*68.01/10^7</f>
        <v>0.14043971600550326</v>
      </c>
      <c r="AR16" s="202">
        <v>70</v>
      </c>
      <c r="AS16" s="202">
        <v>40</v>
      </c>
      <c r="AT16" s="202">
        <v>1527</v>
      </c>
      <c r="AU16" s="509">
        <f>AS16*(AT16-W16)*67.01/10^7</f>
        <v>0.40921656565160641</v>
      </c>
      <c r="AV16" s="202">
        <v>70</v>
      </c>
      <c r="AW16" s="202"/>
      <c r="AX16" s="202"/>
      <c r="AY16" s="509">
        <f t="shared" si="40"/>
        <v>0</v>
      </c>
      <c r="AZ16" s="23">
        <f t="shared" si="11"/>
        <v>165</v>
      </c>
      <c r="BA16" s="23">
        <f t="shared" si="12"/>
        <v>6</v>
      </c>
      <c r="BB16" s="509">
        <f t="shared" si="13"/>
        <v>6.0237772800000013E-2</v>
      </c>
      <c r="BC16" s="23">
        <f t="shared" si="14"/>
        <v>195</v>
      </c>
      <c r="BD16" s="257">
        <f t="shared" si="15"/>
        <v>87</v>
      </c>
      <c r="BE16" s="257">
        <f t="shared" si="16"/>
        <v>0.69564612599999998</v>
      </c>
      <c r="BF16" s="257">
        <f t="shared" si="17"/>
        <v>210</v>
      </c>
      <c r="BG16" s="23">
        <f t="shared" si="18"/>
        <v>86</v>
      </c>
      <c r="BH16" s="257">
        <f t="shared" si="19"/>
        <v>0.84017107003360525</v>
      </c>
      <c r="BI16" s="23">
        <f t="shared" si="20"/>
        <v>210</v>
      </c>
      <c r="BJ16" s="23">
        <f t="shared" si="21"/>
        <v>54</v>
      </c>
      <c r="BK16" s="257">
        <f t="shared" si="22"/>
        <v>0.54965628165710967</v>
      </c>
      <c r="BL16" s="23">
        <f t="shared" si="23"/>
        <v>780</v>
      </c>
      <c r="BM16" s="23">
        <f t="shared" si="24"/>
        <v>233</v>
      </c>
      <c r="BN16" s="257">
        <f t="shared" si="25"/>
        <v>2.1457112504907148</v>
      </c>
      <c r="BO16" s="466">
        <f t="shared" si="26"/>
        <v>0.29871794871794871</v>
      </c>
      <c r="BP16" s="474"/>
      <c r="BQ16" s="23">
        <f t="shared" si="4"/>
        <v>360</v>
      </c>
      <c r="BR16" s="23">
        <f t="shared" si="5"/>
        <v>93</v>
      </c>
      <c r="BS16" s="23"/>
      <c r="BT16" s="23"/>
      <c r="BU16" s="466">
        <f t="shared" si="27"/>
        <v>0.25833333333333336</v>
      </c>
      <c r="CA16" s="23">
        <f t="shared" si="6"/>
        <v>360</v>
      </c>
      <c r="CB16" s="23">
        <f t="shared" si="7"/>
        <v>93</v>
      </c>
      <c r="CC16" s="466">
        <f t="shared" si="28"/>
        <v>0.25833333333333336</v>
      </c>
      <c r="CD16" s="509">
        <f t="shared" si="9"/>
        <v>0.75588389880000006</v>
      </c>
      <c r="CE16" s="466">
        <f t="shared" si="10"/>
        <v>0.11923076923076924</v>
      </c>
    </row>
    <row r="17" spans="1:83" ht="12.6" customHeight="1">
      <c r="A17" s="503" t="s">
        <v>54</v>
      </c>
      <c r="B17" s="129">
        <v>510</v>
      </c>
      <c r="C17" s="23"/>
      <c r="D17" s="129">
        <v>50</v>
      </c>
      <c r="E17" s="129">
        <v>6</v>
      </c>
      <c r="F17" s="129">
        <v>3450.1</v>
      </c>
      <c r="G17" s="509">
        <f>E17*(F17-2189)*66.47/10^7</f>
        <v>5.0295190199999992E-2</v>
      </c>
      <c r="H17" s="129">
        <v>80</v>
      </c>
      <c r="I17" s="129">
        <v>115</v>
      </c>
      <c r="J17" s="129">
        <v>3614.4</v>
      </c>
      <c r="K17" s="509">
        <f>I17*(J17-2432)*66.91/10^7</f>
        <v>0.90981541600000004</v>
      </c>
      <c r="L17" s="129">
        <v>80</v>
      </c>
      <c r="M17" s="129">
        <v>91</v>
      </c>
      <c r="N17" s="129">
        <v>3614.1</v>
      </c>
      <c r="O17" s="509">
        <f>M17*(N17-2422)*67.28/10^7</f>
        <v>0.72986084080000002</v>
      </c>
      <c r="P17" s="129">
        <v>50</v>
      </c>
      <c r="Q17" s="129">
        <v>86</v>
      </c>
      <c r="R17" s="129">
        <v>3617</v>
      </c>
      <c r="S17" s="509">
        <f>Q17*(R17-2488)*67.28/10^7</f>
        <v>0.65324843200000005</v>
      </c>
      <c r="T17" s="129">
        <v>80</v>
      </c>
      <c r="U17" s="129">
        <v>20</v>
      </c>
      <c r="V17" s="129">
        <v>3632</v>
      </c>
      <c r="W17" s="509">
        <f>18*(V17-2429)*66.93/10^7</f>
        <v>0.14493022200000003</v>
      </c>
      <c r="X17" s="129">
        <v>80</v>
      </c>
      <c r="Y17" s="129">
        <v>59</v>
      </c>
      <c r="Z17" s="129">
        <v>3644</v>
      </c>
      <c r="AA17" s="509">
        <f>Y17*(Z17-2466)*66.69/10^7</f>
        <v>0.46350883799999998</v>
      </c>
      <c r="AB17" s="129">
        <v>50</v>
      </c>
      <c r="AC17" s="129">
        <v>60</v>
      </c>
      <c r="AD17" s="129">
        <v>3642</v>
      </c>
      <c r="AE17" s="509">
        <f>AC17*(AD17-2659)*66.73/10^7</f>
        <v>0.39357354000000006</v>
      </c>
      <c r="AF17" s="129">
        <v>40</v>
      </c>
      <c r="AG17" s="129">
        <v>40</v>
      </c>
      <c r="AH17" s="129">
        <v>3596</v>
      </c>
      <c r="AI17" s="509">
        <f>AG17*(AH17-2606)*67.58/10^7</f>
        <v>0.26761679999999999</v>
      </c>
      <c r="AJ17" s="129"/>
      <c r="AK17" s="129">
        <v>54</v>
      </c>
      <c r="AL17" s="129">
        <v>3581</v>
      </c>
      <c r="AM17" s="509">
        <f>AK17*(AL17-2379)*67.91/10^7</f>
        <v>0.44079022799999995</v>
      </c>
      <c r="AN17" s="129"/>
      <c r="AO17" s="129">
        <v>68</v>
      </c>
      <c r="AP17" s="129">
        <v>3571</v>
      </c>
      <c r="AQ17" s="509">
        <f>AO17*(AP17-2543)*68.01/10^7</f>
        <v>0.47541710399999998</v>
      </c>
      <c r="AR17" s="129"/>
      <c r="AS17" s="129">
        <v>68</v>
      </c>
      <c r="AT17" s="129">
        <v>3626</v>
      </c>
      <c r="AU17" s="509">
        <f>AS17*(AT17-2549)*67.01/10^7</f>
        <v>0.49075443600000002</v>
      </c>
      <c r="AV17" s="129"/>
      <c r="AW17" s="129"/>
      <c r="AX17" s="129"/>
      <c r="AY17" s="509">
        <f>AW17*(AX17-2466)*66.69/10^7</f>
        <v>0</v>
      </c>
      <c r="AZ17" s="23">
        <f t="shared" si="11"/>
        <v>210</v>
      </c>
      <c r="BA17" s="23">
        <f t="shared" si="12"/>
        <v>212</v>
      </c>
      <c r="BB17" s="509">
        <f t="shared" si="13"/>
        <v>1.689971447</v>
      </c>
      <c r="BC17" s="23">
        <f t="shared" si="14"/>
        <v>210</v>
      </c>
      <c r="BD17" s="257">
        <f t="shared" si="15"/>
        <v>165</v>
      </c>
      <c r="BE17" s="257">
        <f t="shared" si="16"/>
        <v>1.2616874920000001</v>
      </c>
      <c r="BF17" s="257">
        <f t="shared" si="17"/>
        <v>90</v>
      </c>
      <c r="BG17" s="23">
        <f t="shared" si="18"/>
        <v>154</v>
      </c>
      <c r="BH17" s="257">
        <f t="shared" si="19"/>
        <v>1.1019805680000001</v>
      </c>
      <c r="BI17" s="23">
        <f t="shared" si="20"/>
        <v>0</v>
      </c>
      <c r="BJ17" s="23">
        <f t="shared" si="21"/>
        <v>136</v>
      </c>
      <c r="BK17" s="257">
        <f t="shared" si="22"/>
        <v>0.96617153999999994</v>
      </c>
      <c r="BL17" s="23">
        <f t="shared" si="23"/>
        <v>510</v>
      </c>
      <c r="BM17" s="23">
        <f t="shared" si="24"/>
        <v>667</v>
      </c>
      <c r="BN17" s="257">
        <f t="shared" si="25"/>
        <v>5.0198110469999992</v>
      </c>
      <c r="BO17" s="466">
        <f t="shared" si="26"/>
        <v>1.307843137254902</v>
      </c>
      <c r="BP17" s="474"/>
      <c r="BQ17" s="23">
        <f t="shared" si="4"/>
        <v>420</v>
      </c>
      <c r="BR17" s="23">
        <f t="shared" si="5"/>
        <v>377</v>
      </c>
      <c r="BS17" s="23"/>
      <c r="BT17" s="23"/>
      <c r="BU17" s="466">
        <f t="shared" si="27"/>
        <v>0.89761904761904765</v>
      </c>
      <c r="CA17" s="23">
        <f t="shared" si="6"/>
        <v>420</v>
      </c>
      <c r="CB17" s="23">
        <f t="shared" si="7"/>
        <v>377</v>
      </c>
      <c r="CC17" s="466">
        <f t="shared" si="28"/>
        <v>0.89761904761904765</v>
      </c>
      <c r="CD17" s="509">
        <f t="shared" si="9"/>
        <v>2.9516589390000005</v>
      </c>
      <c r="CE17" s="466">
        <f t="shared" si="10"/>
        <v>0.73921568627450984</v>
      </c>
    </row>
    <row r="18" spans="1:83" ht="12.6" customHeight="1">
      <c r="A18" s="503" t="s">
        <v>55</v>
      </c>
      <c r="B18" s="129">
        <v>0</v>
      </c>
      <c r="C18" s="23"/>
      <c r="D18" s="129"/>
      <c r="E18" s="129">
        <v>20</v>
      </c>
      <c r="F18" s="129">
        <v>3445</v>
      </c>
      <c r="G18" s="509">
        <f>E18*(F18-2297)*66.47/10^7</f>
        <v>0.15261511999999999</v>
      </c>
      <c r="H18" s="129"/>
      <c r="I18" s="129"/>
      <c r="J18" s="129"/>
      <c r="K18" s="509">
        <f t="shared" si="38"/>
        <v>0</v>
      </c>
      <c r="L18" s="129"/>
      <c r="M18" s="129"/>
      <c r="N18" s="129"/>
      <c r="O18" s="509">
        <f t="shared" si="39"/>
        <v>0</v>
      </c>
      <c r="P18" s="129"/>
      <c r="Q18" s="129"/>
      <c r="R18" s="129"/>
      <c r="S18" s="509">
        <f>Q18*(R18-C18)*67.28/10^7</f>
        <v>0</v>
      </c>
      <c r="T18" s="129"/>
      <c r="U18" s="129">
        <v>16</v>
      </c>
      <c r="V18" s="129">
        <v>3631</v>
      </c>
      <c r="W18" s="509">
        <f>U18*(V18-2564)*66.93/10^7</f>
        <v>0.11426289600000002</v>
      </c>
      <c r="X18" s="129"/>
      <c r="Y18" s="129"/>
      <c r="Z18" s="129"/>
      <c r="AA18" s="509">
        <f t="shared" si="35"/>
        <v>0</v>
      </c>
      <c r="AB18" s="129"/>
      <c r="AC18" s="129"/>
      <c r="AD18" s="129"/>
      <c r="AE18" s="509">
        <f>AC18*(AD18-G18)*66.73/10^7</f>
        <v>0</v>
      </c>
      <c r="AF18" s="129"/>
      <c r="AG18" s="129"/>
      <c r="AH18" s="129"/>
      <c r="AI18" s="509">
        <f>AG18*(AH18-K18)*67.58/10^7</f>
        <v>0</v>
      </c>
      <c r="AJ18" s="129"/>
      <c r="AK18" s="129">
        <v>10</v>
      </c>
      <c r="AL18" s="129">
        <v>3578</v>
      </c>
      <c r="AM18" s="509">
        <f>AK18*(AL18-2514)*67.91/10^7</f>
        <v>7.2256239999999985E-2</v>
      </c>
      <c r="AN18" s="129"/>
      <c r="AO18" s="129">
        <v>-6</v>
      </c>
      <c r="AP18" s="129">
        <v>3570</v>
      </c>
      <c r="AQ18" s="509">
        <f>AO18*(AP18-S18)*68.01/10^7</f>
        <v>-0.14567742000000003</v>
      </c>
      <c r="AR18" s="129"/>
      <c r="AS18" s="129"/>
      <c r="AT18" s="129"/>
      <c r="AU18" s="509">
        <f>AS18*(AT18-W18)*67.01/10^7</f>
        <v>0</v>
      </c>
      <c r="AV18" s="129"/>
      <c r="AW18" s="129"/>
      <c r="AX18" s="129"/>
      <c r="AY18" s="509">
        <f t="shared" ref="AY18" si="42">AW18*(AX18-AA18)*66.69/10^7</f>
        <v>0</v>
      </c>
      <c r="AZ18" s="23">
        <f t="shared" si="11"/>
        <v>0</v>
      </c>
      <c r="BA18" s="23">
        <f t="shared" si="12"/>
        <v>20</v>
      </c>
      <c r="BB18" s="509">
        <f t="shared" si="13"/>
        <v>0.15261511999999999</v>
      </c>
      <c r="BC18" s="23">
        <f t="shared" si="14"/>
        <v>0</v>
      </c>
      <c r="BD18" s="257">
        <f t="shared" si="15"/>
        <v>16</v>
      </c>
      <c r="BE18" s="257">
        <f t="shared" si="16"/>
        <v>0.11426289600000002</v>
      </c>
      <c r="BF18" s="257">
        <f t="shared" si="17"/>
        <v>0</v>
      </c>
      <c r="BG18" s="23">
        <f t="shared" si="18"/>
        <v>10</v>
      </c>
      <c r="BH18" s="257">
        <f t="shared" si="19"/>
        <v>7.2256239999999985E-2</v>
      </c>
      <c r="BI18" s="23">
        <f t="shared" si="20"/>
        <v>0</v>
      </c>
      <c r="BJ18" s="23">
        <f t="shared" si="21"/>
        <v>-6</v>
      </c>
      <c r="BK18" s="257">
        <f t="shared" si="22"/>
        <v>-0.14567742000000003</v>
      </c>
      <c r="BL18" s="23">
        <f t="shared" si="23"/>
        <v>0</v>
      </c>
      <c r="BM18" s="23">
        <f t="shared" si="24"/>
        <v>40</v>
      </c>
      <c r="BN18" s="257">
        <f t="shared" si="25"/>
        <v>0.19345683599999994</v>
      </c>
      <c r="BO18" s="466">
        <f t="shared" si="26"/>
        <v>0</v>
      </c>
      <c r="BP18" s="474"/>
      <c r="BQ18" s="23">
        <f t="shared" si="4"/>
        <v>0</v>
      </c>
      <c r="BR18" s="23">
        <f t="shared" si="5"/>
        <v>36</v>
      </c>
      <c r="BS18" s="23"/>
      <c r="BT18" s="23"/>
      <c r="BU18" s="466">
        <f t="shared" si="27"/>
        <v>0</v>
      </c>
      <c r="CA18" s="23">
        <f t="shared" si="6"/>
        <v>0</v>
      </c>
      <c r="CB18" s="23">
        <f t="shared" si="7"/>
        <v>36</v>
      </c>
      <c r="CC18" s="466">
        <f t="shared" si="28"/>
        <v>0</v>
      </c>
      <c r="CD18" s="509">
        <f t="shared" si="9"/>
        <v>0.266878016</v>
      </c>
      <c r="CE18" s="466">
        <f t="shared" si="10"/>
        <v>0</v>
      </c>
    </row>
    <row r="19" spans="1:83" ht="12.6" customHeight="1">
      <c r="A19" s="503" t="s">
        <v>50</v>
      </c>
      <c r="B19" s="129">
        <v>504</v>
      </c>
      <c r="C19" s="23"/>
      <c r="D19" s="129">
        <v>52</v>
      </c>
      <c r="E19" s="129">
        <v>47</v>
      </c>
      <c r="F19" s="129">
        <v>3385</v>
      </c>
      <c r="G19" s="509">
        <f>E19*(F19-1819)*66.47/10^7</f>
        <v>0.48923249399999996</v>
      </c>
      <c r="H19" s="129">
        <v>42</v>
      </c>
      <c r="I19" s="129">
        <v>74</v>
      </c>
      <c r="J19" s="129">
        <v>3348.6</v>
      </c>
      <c r="K19" s="509">
        <f>I19*(J19-2216)*66.91/10^7</f>
        <v>0.56078876839999992</v>
      </c>
      <c r="L19" s="129">
        <v>64</v>
      </c>
      <c r="M19" s="129">
        <v>66</v>
      </c>
      <c r="N19" s="129">
        <v>3334.1</v>
      </c>
      <c r="O19" s="509">
        <f>M19*(N19-1968)*67.28/10^7</f>
        <v>0.60661397279999996</v>
      </c>
      <c r="P19" s="129">
        <v>52</v>
      </c>
      <c r="Q19" s="129">
        <v>66</v>
      </c>
      <c r="R19" s="129">
        <v>3329</v>
      </c>
      <c r="S19" s="509">
        <f>Q19*(R19-2023)*67.28/10^7</f>
        <v>0.57992668800000002</v>
      </c>
      <c r="T19" s="129">
        <v>62</v>
      </c>
      <c r="U19" s="129">
        <v>10</v>
      </c>
      <c r="V19" s="129">
        <v>3332</v>
      </c>
      <c r="W19" s="509">
        <f>U19*(V19-1881)*66.93/10^7</f>
        <v>9.7115430000000003E-2</v>
      </c>
      <c r="X19" s="129">
        <v>52</v>
      </c>
      <c r="Y19" s="129">
        <v>50</v>
      </c>
      <c r="Z19" s="129">
        <v>3344</v>
      </c>
      <c r="AA19" s="509">
        <f>Y19*(Z19-1954)*66.69/10^7</f>
        <v>0.4634955</v>
      </c>
      <c r="AB19" s="129">
        <v>52</v>
      </c>
      <c r="AC19" s="129">
        <v>10</v>
      </c>
      <c r="AD19" s="129">
        <v>3342</v>
      </c>
      <c r="AE19" s="509">
        <f>AC19*(AD19-2044)*66.73/10^7</f>
        <v>8.6615540000000005E-2</v>
      </c>
      <c r="AF19" s="129">
        <v>32</v>
      </c>
      <c r="AG19" s="129">
        <v>40</v>
      </c>
      <c r="AH19" s="129">
        <v>3300</v>
      </c>
      <c r="AI19" s="509">
        <f>AG19*(AH19-2007)*67.58/10^7</f>
        <v>0.34952376000000002</v>
      </c>
      <c r="AJ19" s="129">
        <v>32</v>
      </c>
      <c r="AK19" s="129"/>
      <c r="AL19" s="129"/>
      <c r="AM19" s="509">
        <f>AK19*(AL19-1954)*67.91/10^7</f>
        <v>0</v>
      </c>
      <c r="AN19" s="129">
        <v>32</v>
      </c>
      <c r="AO19" s="129"/>
      <c r="AP19" s="129"/>
      <c r="AQ19" s="509">
        <f>AO19*(AP19-1954)*68.01/10^7</f>
        <v>0</v>
      </c>
      <c r="AR19" s="129">
        <v>32</v>
      </c>
      <c r="AS19" s="129">
        <v>10</v>
      </c>
      <c r="AT19" s="129">
        <v>3328</v>
      </c>
      <c r="AU19" s="509">
        <f>AS19*(AT19-2047)*67.01/10^7</f>
        <v>8.5839810000000002E-2</v>
      </c>
      <c r="AV19" s="129"/>
      <c r="AW19" s="129"/>
      <c r="AX19" s="129"/>
      <c r="AY19" s="509">
        <f>AW19*(AX19-1954)*66.69/10^7</f>
        <v>0</v>
      </c>
      <c r="AZ19" s="23">
        <f t="shared" si="11"/>
        <v>158</v>
      </c>
      <c r="BA19" s="23">
        <f t="shared" si="12"/>
        <v>187</v>
      </c>
      <c r="BB19" s="509">
        <f t="shared" si="13"/>
        <v>1.6566352351999998</v>
      </c>
      <c r="BC19" s="23">
        <f t="shared" si="14"/>
        <v>166</v>
      </c>
      <c r="BD19" s="257">
        <f t="shared" si="15"/>
        <v>126</v>
      </c>
      <c r="BE19" s="257">
        <f t="shared" si="16"/>
        <v>1.140537618</v>
      </c>
      <c r="BF19" s="257">
        <f t="shared" si="17"/>
        <v>116</v>
      </c>
      <c r="BG19" s="23">
        <f t="shared" si="18"/>
        <v>50</v>
      </c>
      <c r="BH19" s="257">
        <f t="shared" si="19"/>
        <v>0.43613930000000001</v>
      </c>
      <c r="BI19" s="23">
        <f t="shared" si="20"/>
        <v>64</v>
      </c>
      <c r="BJ19" s="23">
        <f t="shared" si="21"/>
        <v>10</v>
      </c>
      <c r="BK19" s="257">
        <f t="shared" si="22"/>
        <v>8.5839810000000002E-2</v>
      </c>
      <c r="BL19" s="23">
        <f t="shared" si="23"/>
        <v>504</v>
      </c>
      <c r="BM19" s="23">
        <f t="shared" si="24"/>
        <v>373</v>
      </c>
      <c r="BN19" s="257">
        <f t="shared" si="25"/>
        <v>3.3191519631999999</v>
      </c>
      <c r="BO19" s="466">
        <f t="shared" si="26"/>
        <v>0.74007936507936511</v>
      </c>
      <c r="BP19" s="474"/>
      <c r="BQ19" s="23">
        <f t="shared" si="4"/>
        <v>324</v>
      </c>
      <c r="BR19" s="23">
        <f t="shared" si="5"/>
        <v>313</v>
      </c>
      <c r="BS19" s="23"/>
      <c r="BT19" s="23"/>
      <c r="BU19" s="466">
        <f t="shared" si="27"/>
        <v>0.96604938271604934</v>
      </c>
      <c r="CA19" s="23">
        <f t="shared" si="6"/>
        <v>324</v>
      </c>
      <c r="CB19" s="23">
        <f t="shared" si="7"/>
        <v>313</v>
      </c>
      <c r="CC19" s="466">
        <f t="shared" si="28"/>
        <v>0.96604938271604934</v>
      </c>
      <c r="CD19" s="509">
        <f t="shared" si="9"/>
        <v>2.7971728532000002</v>
      </c>
      <c r="CE19" s="466">
        <f t="shared" si="10"/>
        <v>0.62103174603174605</v>
      </c>
    </row>
    <row r="20" spans="1:83" ht="12.6" customHeight="1">
      <c r="A20" s="503" t="s">
        <v>84</v>
      </c>
      <c r="B20" s="129">
        <v>0</v>
      </c>
      <c r="C20" s="23"/>
      <c r="D20" s="129"/>
      <c r="E20" s="129"/>
      <c r="F20" s="129"/>
      <c r="G20" s="509"/>
      <c r="H20" s="129"/>
      <c r="I20" s="129"/>
      <c r="J20" s="129"/>
      <c r="K20" s="509"/>
      <c r="L20" s="129"/>
      <c r="M20" s="129"/>
      <c r="N20" s="129"/>
      <c r="O20" s="509"/>
      <c r="P20" s="129"/>
      <c r="Q20" s="129"/>
      <c r="R20" s="129"/>
      <c r="S20" s="509">
        <f t="shared" ref="S20:S22" si="43">Q20*(R20-C20)*67.28/10^7</f>
        <v>0</v>
      </c>
      <c r="T20" s="129"/>
      <c r="U20" s="129"/>
      <c r="V20" s="129"/>
      <c r="W20" s="509">
        <f t="shared" si="31"/>
        <v>0</v>
      </c>
      <c r="X20" s="129"/>
      <c r="Y20" s="129"/>
      <c r="Z20" s="129"/>
      <c r="AA20" s="509">
        <f t="shared" si="35"/>
        <v>0</v>
      </c>
      <c r="AB20" s="129"/>
      <c r="AC20" s="129"/>
      <c r="AD20" s="129"/>
      <c r="AE20" s="509">
        <f>AC20*(AD20-G20)*66.73/10^7</f>
        <v>0</v>
      </c>
      <c r="AF20" s="129"/>
      <c r="AG20" s="129"/>
      <c r="AH20" s="129"/>
      <c r="AI20" s="509">
        <f>AG20*(AH20-K20)*67.58/10^7</f>
        <v>0</v>
      </c>
      <c r="AJ20" s="129"/>
      <c r="AK20" s="129"/>
      <c r="AL20" s="129"/>
      <c r="AM20" s="509">
        <f>AK20*(AL20-O20)*67.91/10^7</f>
        <v>0</v>
      </c>
      <c r="AN20" s="129"/>
      <c r="AO20" s="129"/>
      <c r="AP20" s="129"/>
      <c r="AQ20" s="509">
        <f>AO20*(AP20-S20)*68.01/10^7</f>
        <v>0</v>
      </c>
      <c r="AR20" s="129"/>
      <c r="AS20" s="129"/>
      <c r="AT20" s="129"/>
      <c r="AU20" s="509">
        <f>AS20*(AT20-W20)*67.01/10^7</f>
        <v>0</v>
      </c>
      <c r="AV20" s="129"/>
      <c r="AW20" s="129"/>
      <c r="AX20" s="129"/>
      <c r="AY20" s="509">
        <f t="shared" ref="AY20:AY23" si="44">AW20*(AX20-AA20)*66.69/10^7</f>
        <v>0</v>
      </c>
      <c r="AZ20" s="23">
        <f t="shared" si="11"/>
        <v>0</v>
      </c>
      <c r="BA20" s="23">
        <f t="shared" si="12"/>
        <v>0</v>
      </c>
      <c r="BB20" s="509">
        <f t="shared" si="13"/>
        <v>0</v>
      </c>
      <c r="BC20" s="23">
        <f t="shared" si="14"/>
        <v>0</v>
      </c>
      <c r="BD20" s="257">
        <f t="shared" si="15"/>
        <v>0</v>
      </c>
      <c r="BE20" s="257">
        <f t="shared" si="16"/>
        <v>0</v>
      </c>
      <c r="BF20" s="257">
        <f t="shared" si="17"/>
        <v>0</v>
      </c>
      <c r="BG20" s="23">
        <f t="shared" si="18"/>
        <v>0</v>
      </c>
      <c r="BH20" s="257">
        <f t="shared" si="19"/>
        <v>0</v>
      </c>
      <c r="BI20" s="23">
        <f t="shared" si="20"/>
        <v>0</v>
      </c>
      <c r="BJ20" s="23">
        <f t="shared" si="21"/>
        <v>0</v>
      </c>
      <c r="BK20" s="257">
        <f t="shared" si="22"/>
        <v>0</v>
      </c>
      <c r="BL20" s="23">
        <f t="shared" si="23"/>
        <v>0</v>
      </c>
      <c r="BM20" s="23">
        <f t="shared" si="24"/>
        <v>0</v>
      </c>
      <c r="BN20" s="257">
        <f t="shared" si="25"/>
        <v>0</v>
      </c>
      <c r="BO20" s="466">
        <f t="shared" si="26"/>
        <v>0</v>
      </c>
      <c r="BP20" s="474"/>
      <c r="BQ20" s="23">
        <f t="shared" si="4"/>
        <v>0</v>
      </c>
      <c r="BR20" s="23">
        <f t="shared" si="5"/>
        <v>0</v>
      </c>
      <c r="BS20" s="23"/>
      <c r="BT20" s="23"/>
      <c r="BU20" s="466">
        <f t="shared" si="27"/>
        <v>0</v>
      </c>
      <c r="CA20" s="23">
        <f t="shared" si="6"/>
        <v>0</v>
      </c>
      <c r="CB20" s="23">
        <f t="shared" si="7"/>
        <v>0</v>
      </c>
      <c r="CC20" s="466">
        <f t="shared" si="28"/>
        <v>0</v>
      </c>
      <c r="CD20" s="509">
        <f t="shared" si="9"/>
        <v>0</v>
      </c>
      <c r="CE20" s="466">
        <f t="shared" si="10"/>
        <v>0</v>
      </c>
    </row>
    <row r="21" spans="1:83" ht="12.6" customHeight="1">
      <c r="A21" s="503" t="s">
        <v>111</v>
      </c>
      <c r="B21" s="129">
        <v>0</v>
      </c>
      <c r="C21" s="23"/>
      <c r="D21" s="129"/>
      <c r="E21" s="129"/>
      <c r="F21" s="129"/>
      <c r="G21" s="509"/>
      <c r="H21" s="129"/>
      <c r="I21" s="129"/>
      <c r="J21" s="129"/>
      <c r="K21" s="509"/>
      <c r="L21" s="129"/>
      <c r="M21" s="129"/>
      <c r="N21" s="129"/>
      <c r="O21" s="509"/>
      <c r="P21" s="129"/>
      <c r="Q21" s="129"/>
      <c r="R21" s="129"/>
      <c r="S21" s="509">
        <f t="shared" si="43"/>
        <v>0</v>
      </c>
      <c r="T21" s="129"/>
      <c r="U21" s="129"/>
      <c r="V21" s="129"/>
      <c r="W21" s="509">
        <f t="shared" si="31"/>
        <v>0</v>
      </c>
      <c r="X21" s="129"/>
      <c r="Y21" s="129"/>
      <c r="Z21" s="129"/>
      <c r="AA21" s="509">
        <f t="shared" si="35"/>
        <v>0</v>
      </c>
      <c r="AB21" s="129"/>
      <c r="AC21" s="129"/>
      <c r="AD21" s="129"/>
      <c r="AE21" s="509">
        <f>AC21*(AD21-G21)*66.73/10^7</f>
        <v>0</v>
      </c>
      <c r="AF21" s="129"/>
      <c r="AG21" s="129"/>
      <c r="AH21" s="129"/>
      <c r="AI21" s="509">
        <f>AG21*(AH21-K21)*67.58/10^7</f>
        <v>0</v>
      </c>
      <c r="AJ21" s="129"/>
      <c r="AK21" s="129"/>
      <c r="AL21" s="129"/>
      <c r="AM21" s="509">
        <f>AK21*(AL21-O21)*67.91/10^7</f>
        <v>0</v>
      </c>
      <c r="AN21" s="129"/>
      <c r="AO21" s="129"/>
      <c r="AP21" s="129"/>
      <c r="AQ21" s="509">
        <f>AO21*(AP21-S21)*68.01/10^7</f>
        <v>0</v>
      </c>
      <c r="AR21" s="129"/>
      <c r="AS21" s="129"/>
      <c r="AT21" s="129"/>
      <c r="AU21" s="509">
        <f>AS21*(AT21-W21)*67.01/10^7</f>
        <v>0</v>
      </c>
      <c r="AV21" s="129"/>
      <c r="AW21" s="129"/>
      <c r="AX21" s="129"/>
      <c r="AY21" s="509">
        <f t="shared" si="44"/>
        <v>0</v>
      </c>
      <c r="AZ21" s="23">
        <f t="shared" si="11"/>
        <v>0</v>
      </c>
      <c r="BA21" s="23">
        <f t="shared" si="12"/>
        <v>0</v>
      </c>
      <c r="BB21" s="509">
        <f t="shared" si="13"/>
        <v>0</v>
      </c>
      <c r="BC21" s="23">
        <f t="shared" si="14"/>
        <v>0</v>
      </c>
      <c r="BD21" s="257">
        <f t="shared" si="15"/>
        <v>0</v>
      </c>
      <c r="BE21" s="257">
        <f t="shared" si="16"/>
        <v>0</v>
      </c>
      <c r="BF21" s="257">
        <f t="shared" si="17"/>
        <v>0</v>
      </c>
      <c r="BG21" s="23">
        <f t="shared" si="18"/>
        <v>0</v>
      </c>
      <c r="BH21" s="257">
        <f t="shared" si="19"/>
        <v>0</v>
      </c>
      <c r="BI21" s="23">
        <f t="shared" si="20"/>
        <v>0</v>
      </c>
      <c r="BJ21" s="23">
        <f t="shared" si="21"/>
        <v>0</v>
      </c>
      <c r="BK21" s="257">
        <f t="shared" si="22"/>
        <v>0</v>
      </c>
      <c r="BL21" s="23">
        <f t="shared" si="23"/>
        <v>0</v>
      </c>
      <c r="BM21" s="23">
        <f t="shared" si="24"/>
        <v>0</v>
      </c>
      <c r="BN21" s="257">
        <f t="shared" si="25"/>
        <v>0</v>
      </c>
      <c r="BO21" s="466">
        <f t="shared" si="26"/>
        <v>0</v>
      </c>
      <c r="BP21" s="474"/>
      <c r="BQ21" s="23">
        <f t="shared" si="4"/>
        <v>0</v>
      </c>
      <c r="BR21" s="23">
        <f t="shared" si="5"/>
        <v>0</v>
      </c>
      <c r="BS21" s="23"/>
      <c r="BT21" s="23"/>
      <c r="BU21" s="466">
        <f t="shared" si="27"/>
        <v>0</v>
      </c>
      <c r="CA21" s="23">
        <f t="shared" si="6"/>
        <v>0</v>
      </c>
      <c r="CB21" s="23">
        <f t="shared" si="7"/>
        <v>0</v>
      </c>
      <c r="CC21" s="466">
        <f t="shared" si="28"/>
        <v>0</v>
      </c>
      <c r="CD21" s="509">
        <f t="shared" si="9"/>
        <v>0</v>
      </c>
      <c r="CE21" s="466">
        <f t="shared" si="10"/>
        <v>0</v>
      </c>
    </row>
    <row r="22" spans="1:83" ht="12.6" customHeight="1">
      <c r="A22" s="254" t="s">
        <v>106</v>
      </c>
      <c r="B22" s="129">
        <v>0</v>
      </c>
      <c r="C22" s="23"/>
      <c r="D22" s="129"/>
      <c r="E22" s="129"/>
      <c r="F22" s="129"/>
      <c r="G22" s="509"/>
      <c r="H22" s="129"/>
      <c r="I22" s="129"/>
      <c r="J22" s="129"/>
      <c r="K22" s="509"/>
      <c r="L22" s="129"/>
      <c r="M22" s="129"/>
      <c r="N22" s="129"/>
      <c r="O22" s="509"/>
      <c r="P22" s="129"/>
      <c r="Q22" s="129"/>
      <c r="R22" s="129"/>
      <c r="S22" s="509">
        <f t="shared" si="43"/>
        <v>0</v>
      </c>
      <c r="T22" s="129"/>
      <c r="U22" s="129"/>
      <c r="V22" s="129"/>
      <c r="W22" s="509">
        <f t="shared" si="31"/>
        <v>0</v>
      </c>
      <c r="X22" s="129"/>
      <c r="Y22" s="129">
        <v>11</v>
      </c>
      <c r="Z22" s="129">
        <v>2699</v>
      </c>
      <c r="AA22" s="509">
        <f t="shared" si="35"/>
        <v>0.19799594099999998</v>
      </c>
      <c r="AB22" s="129"/>
      <c r="AC22" s="129"/>
      <c r="AD22" s="129"/>
      <c r="AE22" s="509">
        <f>AC22*(AD22-G22)*66.73/10^7</f>
        <v>0</v>
      </c>
      <c r="AF22" s="129"/>
      <c r="AG22" s="129"/>
      <c r="AH22" s="129"/>
      <c r="AI22" s="509">
        <f>AG22*(AH22-K22)*67.58/10^7</f>
        <v>0</v>
      </c>
      <c r="AJ22" s="129"/>
      <c r="AK22" s="129"/>
      <c r="AL22" s="129"/>
      <c r="AM22" s="509">
        <f>AK22*(AL22-O22)*67.91/10^7</f>
        <v>0</v>
      </c>
      <c r="AN22" s="129"/>
      <c r="AO22" s="129"/>
      <c r="AP22" s="129"/>
      <c r="AQ22" s="509">
        <f>AO22*(AP22-S22)*68.01/10^7</f>
        <v>0</v>
      </c>
      <c r="AR22" s="129"/>
      <c r="AS22" s="129"/>
      <c r="AT22" s="129"/>
      <c r="AU22" s="509">
        <f>AS22*(AT22-W22)*67.01/10^7</f>
        <v>0</v>
      </c>
      <c r="AV22" s="129"/>
      <c r="AW22" s="129"/>
      <c r="AX22" s="129"/>
      <c r="AY22" s="509">
        <f t="shared" si="44"/>
        <v>0</v>
      </c>
      <c r="AZ22" s="23">
        <f t="shared" si="11"/>
        <v>0</v>
      </c>
      <c r="BA22" s="23">
        <f t="shared" si="12"/>
        <v>0</v>
      </c>
      <c r="BB22" s="509">
        <f t="shared" si="13"/>
        <v>0</v>
      </c>
      <c r="BC22" s="23">
        <f t="shared" si="14"/>
        <v>0</v>
      </c>
      <c r="BD22" s="257">
        <f t="shared" si="15"/>
        <v>11</v>
      </c>
      <c r="BE22" s="257">
        <f t="shared" si="16"/>
        <v>0.19799594099999998</v>
      </c>
      <c r="BF22" s="257">
        <f t="shared" si="17"/>
        <v>0</v>
      </c>
      <c r="BG22" s="23">
        <f t="shared" si="18"/>
        <v>0</v>
      </c>
      <c r="BH22" s="257">
        <f t="shared" si="19"/>
        <v>0</v>
      </c>
      <c r="BI22" s="23">
        <f t="shared" si="20"/>
        <v>0</v>
      </c>
      <c r="BJ22" s="23">
        <f t="shared" si="21"/>
        <v>0</v>
      </c>
      <c r="BK22" s="257">
        <f t="shared" si="22"/>
        <v>0</v>
      </c>
      <c r="BL22" s="23">
        <f t="shared" si="23"/>
        <v>0</v>
      </c>
      <c r="BM22" s="23">
        <f t="shared" si="24"/>
        <v>11</v>
      </c>
      <c r="BN22" s="257">
        <f t="shared" si="25"/>
        <v>0.19799594099999998</v>
      </c>
      <c r="BO22" s="466">
        <f t="shared" si="26"/>
        <v>0</v>
      </c>
      <c r="BP22" s="474"/>
      <c r="BQ22" s="23">
        <f t="shared" si="4"/>
        <v>0</v>
      </c>
      <c r="BR22" s="23">
        <f t="shared" si="5"/>
        <v>11</v>
      </c>
      <c r="BS22" s="23"/>
      <c r="BT22" s="23"/>
      <c r="BU22" s="466">
        <f t="shared" si="27"/>
        <v>0</v>
      </c>
      <c r="CA22" s="23">
        <f t="shared" si="6"/>
        <v>0</v>
      </c>
      <c r="CB22" s="23">
        <f t="shared" si="7"/>
        <v>11</v>
      </c>
      <c r="CC22" s="466">
        <f t="shared" si="28"/>
        <v>0</v>
      </c>
      <c r="CD22" s="509">
        <f t="shared" si="9"/>
        <v>0.19799594099999998</v>
      </c>
      <c r="CE22" s="466">
        <f t="shared" si="10"/>
        <v>0</v>
      </c>
    </row>
    <row r="23" spans="1:83" ht="12.6" customHeight="1">
      <c r="A23" s="503" t="s">
        <v>243</v>
      </c>
      <c r="B23" s="129">
        <v>0</v>
      </c>
      <c r="C23" s="23">
        <v>143.1</v>
      </c>
      <c r="D23" s="129"/>
      <c r="E23" s="129"/>
      <c r="F23" s="129"/>
      <c r="G23" s="509"/>
      <c r="H23" s="129"/>
      <c r="I23" s="129"/>
      <c r="J23" s="129"/>
      <c r="K23" s="509"/>
      <c r="L23" s="129"/>
      <c r="M23" s="129">
        <f>358-91-22</f>
        <v>245</v>
      </c>
      <c r="N23" s="129">
        <v>1446</v>
      </c>
      <c r="O23" s="509">
        <f>M23*(N23-C23)*67.28/10^7</f>
        <v>2.147648244</v>
      </c>
      <c r="P23" s="129"/>
      <c r="Q23" s="129">
        <f>252-176</f>
        <v>76</v>
      </c>
      <c r="R23" s="129">
        <v>1461</v>
      </c>
      <c r="S23" s="509">
        <f>Q23*(R23-C23)*67.28/10^7</f>
        <v>0.67387917120000007</v>
      </c>
      <c r="T23" s="129"/>
      <c r="U23" s="129">
        <f>245-164</f>
        <v>81</v>
      </c>
      <c r="V23" s="129">
        <v>1460</v>
      </c>
      <c r="W23" s="509">
        <f t="shared" si="31"/>
        <v>0.7139349477000001</v>
      </c>
      <c r="X23" s="129"/>
      <c r="Y23" s="129">
        <f>275-97</f>
        <v>178</v>
      </c>
      <c r="Z23" s="129">
        <v>1447</v>
      </c>
      <c r="AA23" s="509">
        <f t="shared" si="35"/>
        <v>1.5478362198</v>
      </c>
      <c r="AB23" s="129"/>
      <c r="AC23" s="129"/>
      <c r="AD23" s="129"/>
      <c r="AE23" s="509">
        <f>AC23*(AD23-G23)*66.73/10^7</f>
        <v>0</v>
      </c>
      <c r="AF23" s="129"/>
      <c r="AG23" s="129"/>
      <c r="AH23" s="129"/>
      <c r="AI23" s="509">
        <f>AG23*(AH23-K23)*67.58/10^7</f>
        <v>0</v>
      </c>
      <c r="AJ23" s="129"/>
      <c r="AK23" s="129"/>
      <c r="AL23" s="129"/>
      <c r="AM23" s="509">
        <f>AK23*(AL23-O23)*67.91/10^7</f>
        <v>0</v>
      </c>
      <c r="AN23" s="129"/>
      <c r="AO23" s="129"/>
      <c r="AP23" s="129"/>
      <c r="AQ23" s="509">
        <f>AO23*(AP23-S23)*68.01/10^7</f>
        <v>0</v>
      </c>
      <c r="AR23" s="129"/>
      <c r="AS23" s="129"/>
      <c r="AT23" s="129"/>
      <c r="AU23" s="509">
        <f>AS23*(AT23-W23)*67.01/10^7</f>
        <v>0</v>
      </c>
      <c r="AV23" s="129"/>
      <c r="AW23" s="129"/>
      <c r="AX23" s="129"/>
      <c r="AY23" s="509">
        <f t="shared" si="44"/>
        <v>0</v>
      </c>
      <c r="AZ23" s="23">
        <f t="shared" si="11"/>
        <v>0</v>
      </c>
      <c r="BA23" s="23">
        <f t="shared" si="12"/>
        <v>245</v>
      </c>
      <c r="BB23" s="509">
        <f t="shared" si="13"/>
        <v>2.147648244</v>
      </c>
      <c r="BC23" s="23">
        <f t="shared" si="14"/>
        <v>0</v>
      </c>
      <c r="BD23" s="257">
        <f t="shared" si="15"/>
        <v>335</v>
      </c>
      <c r="BE23" s="257">
        <f t="shared" si="16"/>
        <v>2.9356503387000004</v>
      </c>
      <c r="BF23" s="257">
        <f t="shared" si="17"/>
        <v>0</v>
      </c>
      <c r="BG23" s="23">
        <f t="shared" si="18"/>
        <v>0</v>
      </c>
      <c r="BH23" s="257">
        <f t="shared" si="19"/>
        <v>0</v>
      </c>
      <c r="BI23" s="23">
        <f t="shared" si="20"/>
        <v>0</v>
      </c>
      <c r="BJ23" s="23">
        <f t="shared" si="21"/>
        <v>0</v>
      </c>
      <c r="BK23" s="257">
        <f t="shared" si="22"/>
        <v>0</v>
      </c>
      <c r="BL23" s="23">
        <f t="shared" si="23"/>
        <v>0</v>
      </c>
      <c r="BM23" s="23">
        <f t="shared" si="24"/>
        <v>580</v>
      </c>
      <c r="BN23" s="257">
        <f t="shared" si="25"/>
        <v>5.0832985827000003</v>
      </c>
      <c r="BO23" s="466">
        <f t="shared" si="26"/>
        <v>0</v>
      </c>
      <c r="BP23" s="474"/>
      <c r="BQ23" s="23">
        <f t="shared" si="4"/>
        <v>0</v>
      </c>
      <c r="BR23" s="23">
        <f t="shared" si="5"/>
        <v>580</v>
      </c>
      <c r="BS23" s="23"/>
      <c r="BT23" s="23"/>
      <c r="BU23" s="466">
        <f t="shared" si="27"/>
        <v>0</v>
      </c>
      <c r="CA23" s="23">
        <f t="shared" si="6"/>
        <v>0</v>
      </c>
      <c r="CB23" s="23">
        <f t="shared" si="7"/>
        <v>580</v>
      </c>
      <c r="CC23" s="466">
        <f t="shared" si="28"/>
        <v>0</v>
      </c>
      <c r="CD23" s="509">
        <f t="shared" si="9"/>
        <v>5.0832985827000003</v>
      </c>
      <c r="CE23" s="466">
        <f t="shared" si="10"/>
        <v>0</v>
      </c>
    </row>
    <row r="24" spans="1:83" ht="12.6" customHeight="1">
      <c r="A24" s="482" t="s">
        <v>73</v>
      </c>
      <c r="B24" s="457">
        <v>45058</v>
      </c>
      <c r="C24" s="457"/>
      <c r="D24" s="457">
        <f>SUM(D6:D23)</f>
        <v>3003</v>
      </c>
      <c r="E24" s="457">
        <f>SUM(E6:E23)</f>
        <v>1861</v>
      </c>
      <c r="F24" s="457"/>
      <c r="G24" s="511">
        <f>SUM(G6:G23)</f>
        <v>6.3851892934000007</v>
      </c>
      <c r="H24" s="457">
        <f>SUM(H6:H23)</f>
        <v>3415</v>
      </c>
      <c r="I24" s="457">
        <f>SUM(I6:I23)</f>
        <v>2606</v>
      </c>
      <c r="J24" s="457"/>
      <c r="K24" s="511">
        <f>SUM(K6:K23)</f>
        <v>10.026803402800001</v>
      </c>
      <c r="L24" s="457">
        <f>SUM(L6:L23)</f>
        <v>3483</v>
      </c>
      <c r="M24" s="457">
        <f>SUM(M6:M23)</f>
        <v>3911</v>
      </c>
      <c r="N24" s="457"/>
      <c r="O24" s="511">
        <f>SUM(O6:O23)</f>
        <v>15.3600784968</v>
      </c>
      <c r="P24" s="457">
        <f>SUM(P6:P23)</f>
        <v>3904</v>
      </c>
      <c r="Q24" s="457">
        <f>SUM(Q6:Q23)</f>
        <v>4365</v>
      </c>
      <c r="R24" s="457"/>
      <c r="S24" s="511">
        <f>SUM(S6:S23)</f>
        <v>17.866283533168037</v>
      </c>
      <c r="T24" s="457">
        <f>SUM(T6:T23)</f>
        <v>3974</v>
      </c>
      <c r="U24" s="457">
        <f>SUM(U6:U23)</f>
        <v>3234</v>
      </c>
      <c r="V24" s="457"/>
      <c r="W24" s="457">
        <f>SUM(W6:W23)</f>
        <v>12.326819364</v>
      </c>
      <c r="X24" s="457">
        <f t="shared" ref="X24:AW24" si="45">SUM(X6:X23)</f>
        <v>4012</v>
      </c>
      <c r="Y24" s="457">
        <f t="shared" si="45"/>
        <v>3270</v>
      </c>
      <c r="Z24" s="457"/>
      <c r="AA24" s="457">
        <f>SUM(AA6:AA23)</f>
        <v>12.325068931500001</v>
      </c>
      <c r="AB24" s="457">
        <f t="shared" si="45"/>
        <v>4019</v>
      </c>
      <c r="AC24" s="457">
        <f t="shared" ref="AC24" si="46">SUM(AC6:AC23)</f>
        <v>3081</v>
      </c>
      <c r="AD24" s="457"/>
      <c r="AE24" s="457">
        <f>SUM(AE6:AE23)</f>
        <v>9.9906372539845609</v>
      </c>
      <c r="AF24" s="457">
        <f t="shared" si="45"/>
        <v>3890</v>
      </c>
      <c r="AG24" s="457">
        <f t="shared" si="45"/>
        <v>2549</v>
      </c>
      <c r="AH24" s="457"/>
      <c r="AI24" s="457">
        <f>SUM(AI6:AI23)</f>
        <v>7.4921076239716795</v>
      </c>
      <c r="AJ24" s="457">
        <f t="shared" si="45"/>
        <v>4040</v>
      </c>
      <c r="AK24" s="457">
        <f t="shared" ref="AK24" si="47">SUM(AK6:AK23)</f>
        <v>2347</v>
      </c>
      <c r="AL24" s="457"/>
      <c r="AM24" s="457">
        <f>SUM(AM6:AM23)</f>
        <v>10.421730940324345</v>
      </c>
      <c r="AN24" s="457">
        <f t="shared" si="45"/>
        <v>3933</v>
      </c>
      <c r="AO24" s="457">
        <f t="shared" si="45"/>
        <v>2755</v>
      </c>
      <c r="AP24" s="457"/>
      <c r="AQ24" s="457">
        <f>SUM(AQ6:AQ23)</f>
        <v>8.6126282273281234</v>
      </c>
      <c r="AR24" s="457">
        <f t="shared" si="45"/>
        <v>3898</v>
      </c>
      <c r="AS24" s="457">
        <f t="shared" ref="AS24" si="48">SUM(AS6:AS23)</f>
        <v>2741</v>
      </c>
      <c r="AT24" s="457"/>
      <c r="AU24" s="457">
        <f>SUM(AU6:AU23)</f>
        <v>8.7131819602629204</v>
      </c>
      <c r="AV24" s="457">
        <f t="shared" si="45"/>
        <v>3487</v>
      </c>
      <c r="AW24" s="457">
        <f t="shared" si="45"/>
        <v>0</v>
      </c>
      <c r="AX24" s="457"/>
      <c r="AY24" s="457">
        <f>SUM(AY6:AY23)</f>
        <v>0</v>
      </c>
      <c r="AZ24" s="457">
        <f t="shared" ref="AZ24:BN24" si="49">SUM(AZ6:AZ23)</f>
        <v>9901</v>
      </c>
      <c r="BA24" s="458">
        <f t="shared" si="49"/>
        <v>8378</v>
      </c>
      <c r="BB24" s="511">
        <f t="shared" si="49"/>
        <v>31.772071193000002</v>
      </c>
      <c r="BC24" s="457">
        <f t="shared" si="49"/>
        <v>11890</v>
      </c>
      <c r="BD24" s="458">
        <f t="shared" si="49"/>
        <v>10869</v>
      </c>
      <c r="BE24" s="457">
        <f t="shared" si="49"/>
        <v>42.518171828668038</v>
      </c>
      <c r="BF24" s="457">
        <f t="shared" si="49"/>
        <v>11949</v>
      </c>
      <c r="BG24" s="457">
        <f t="shared" si="49"/>
        <v>7977</v>
      </c>
      <c r="BH24" s="458">
        <f t="shared" si="49"/>
        <v>27.904475818280588</v>
      </c>
      <c r="BI24" s="457">
        <f t="shared" si="49"/>
        <v>11318</v>
      </c>
      <c r="BJ24" s="457">
        <f t="shared" si="49"/>
        <v>5496</v>
      </c>
      <c r="BK24" s="458">
        <f t="shared" si="49"/>
        <v>17.325810187591049</v>
      </c>
      <c r="BL24" s="457">
        <f t="shared" si="49"/>
        <v>45058</v>
      </c>
      <c r="BM24" s="457">
        <f t="shared" si="49"/>
        <v>32720</v>
      </c>
      <c r="BN24" s="457">
        <f t="shared" si="49"/>
        <v>119.52052902753967</v>
      </c>
      <c r="BO24" s="525">
        <f>IFERROR(BM24/BL24,0)</f>
        <v>0.72617515202627725</v>
      </c>
      <c r="BP24" s="474"/>
      <c r="BQ24" s="457">
        <f t="shared" ref="BQ24:BR24" si="50">SUM(BQ6:BQ23)</f>
        <v>21791</v>
      </c>
      <c r="BR24" s="458">
        <f t="shared" si="50"/>
        <v>19247</v>
      </c>
      <c r="BS24" s="458"/>
      <c r="BT24" s="458"/>
      <c r="BU24" s="467">
        <f t="shared" si="27"/>
        <v>0.88325455463264646</v>
      </c>
      <c r="CA24" s="457">
        <f t="shared" ref="CA24:CB24" si="51">SUM(CA6:CA23)</f>
        <v>21791</v>
      </c>
      <c r="CB24" s="457">
        <f t="shared" si="51"/>
        <v>19247</v>
      </c>
      <c r="CC24" s="467">
        <f t="shared" si="8"/>
        <v>0.88325455463264646</v>
      </c>
      <c r="CD24" s="511">
        <f t="shared" ref="CD24" si="52">SUM(CD6:CD23)</f>
        <v>74.290243021668033</v>
      </c>
      <c r="CE24" s="525">
        <f t="shared" si="10"/>
        <v>0.42716054862621511</v>
      </c>
    </row>
    <row r="25" spans="1:83" s="31" customFormat="1" ht="12.6" customHeight="1">
      <c r="A25" s="504"/>
      <c r="B25" s="459"/>
      <c r="C25" s="492"/>
      <c r="D25" s="459"/>
      <c r="E25" s="459"/>
      <c r="F25" s="459"/>
      <c r="G25" s="512"/>
      <c r="H25" s="459"/>
      <c r="I25" s="459"/>
      <c r="J25" s="459"/>
      <c r="K25" s="512"/>
      <c r="L25" s="459"/>
      <c r="M25" s="459"/>
      <c r="N25" s="459"/>
      <c r="O25" s="512"/>
      <c r="P25" s="459"/>
      <c r="Q25" s="459"/>
      <c r="R25" s="459"/>
      <c r="S25" s="512"/>
      <c r="T25" s="459"/>
      <c r="U25" s="459"/>
      <c r="V25" s="459"/>
      <c r="W25" s="459"/>
      <c r="X25" s="459"/>
      <c r="Y25" s="459"/>
      <c r="Z25" s="459"/>
      <c r="AA25" s="459"/>
      <c r="AB25" s="459"/>
      <c r="AC25" s="459"/>
      <c r="AD25" s="459"/>
      <c r="AE25" s="459"/>
      <c r="AF25" s="459"/>
      <c r="AG25" s="459"/>
      <c r="AH25" s="459"/>
      <c r="AI25" s="459"/>
      <c r="AJ25" s="459"/>
      <c r="AK25" s="459"/>
      <c r="AL25" s="459"/>
      <c r="AM25" s="459"/>
      <c r="AN25" s="459"/>
      <c r="AO25" s="459"/>
      <c r="AP25" s="459"/>
      <c r="AQ25" s="459"/>
      <c r="AR25" s="459"/>
      <c r="AS25" s="459"/>
      <c r="AT25" s="459"/>
      <c r="AU25" s="459"/>
      <c r="AV25" s="459"/>
      <c r="AW25" s="459"/>
      <c r="AX25" s="459"/>
      <c r="AY25" s="459"/>
      <c r="AZ25" s="459"/>
      <c r="BA25" s="460"/>
      <c r="BB25" s="512"/>
      <c r="BC25" s="459"/>
      <c r="BD25" s="460"/>
      <c r="BE25" s="460"/>
      <c r="BF25" s="460"/>
      <c r="BG25" s="459"/>
      <c r="BH25" s="460"/>
      <c r="BI25" s="459"/>
      <c r="BJ25" s="459"/>
      <c r="BK25" s="460"/>
      <c r="BL25" s="459"/>
      <c r="BM25" s="459"/>
      <c r="BN25" s="460"/>
      <c r="BO25" s="526">
        <f t="shared" ref="BO25:BO62" si="53">IFERROR(BL25/BK25,0)</f>
        <v>0</v>
      </c>
      <c r="BP25" s="491"/>
      <c r="BQ25" s="459"/>
      <c r="BR25" s="460"/>
      <c r="BS25" s="460"/>
      <c r="BT25" s="460"/>
      <c r="BU25" s="468">
        <f t="shared" si="27"/>
        <v>0</v>
      </c>
      <c r="CA25" s="522"/>
      <c r="CB25" s="492"/>
      <c r="CC25" s="468">
        <f t="shared" si="8"/>
        <v>0</v>
      </c>
      <c r="CD25" s="528"/>
      <c r="CE25" s="526">
        <f t="shared" si="10"/>
        <v>0</v>
      </c>
    </row>
    <row r="26" spans="1:83" ht="12.6" customHeight="1">
      <c r="A26" s="254" t="s">
        <v>33</v>
      </c>
      <c r="B26" s="129">
        <v>120</v>
      </c>
      <c r="C26" s="23">
        <v>48.428571428571431</v>
      </c>
      <c r="D26" s="129">
        <v>40</v>
      </c>
      <c r="E26" s="129">
        <v>43</v>
      </c>
      <c r="F26" s="129">
        <v>5248</v>
      </c>
      <c r="G26" s="509">
        <f t="shared" ref="G26:G53" si="54">E26*(F26-C26)*66.47/10^7</f>
        <v>1.4861467052857142</v>
      </c>
      <c r="H26" s="129"/>
      <c r="I26" s="129">
        <v>40</v>
      </c>
      <c r="J26" s="129">
        <v>5163</v>
      </c>
      <c r="K26" s="509">
        <f t="shared" ref="K26:K53" si="55">I26*(J26-C26)*66.91/10^7</f>
        <v>1.3688638971428568</v>
      </c>
      <c r="L26" s="129">
        <v>40</v>
      </c>
      <c r="M26" s="129">
        <v>1</v>
      </c>
      <c r="N26" s="129">
        <v>5871</v>
      </c>
      <c r="O26" s="509">
        <f t="shared" ref="O26:O53" si="56">M26*(N26-C26)*67.28/10^7</f>
        <v>3.9174260571428567E-2</v>
      </c>
      <c r="P26" s="129"/>
      <c r="Q26" s="129">
        <v>22</v>
      </c>
      <c r="R26" s="129">
        <v>5127</v>
      </c>
      <c r="S26" s="509">
        <f t="shared" ref="S26:S30" si="57">Q26*(R26-C26)*67.28/10^7</f>
        <v>0.75170982857142854</v>
      </c>
      <c r="T26" s="129">
        <v>40</v>
      </c>
      <c r="U26" s="129">
        <v>1</v>
      </c>
      <c r="V26" s="129">
        <v>5902</v>
      </c>
      <c r="W26" s="509">
        <f t="shared" ref="W26:W53" si="58">U26*(V26-C26)*66.93/10^7</f>
        <v>3.9177953571428573E-2</v>
      </c>
      <c r="X26" s="129"/>
      <c r="Y26" s="129">
        <v>2</v>
      </c>
      <c r="Z26" s="129">
        <v>5923</v>
      </c>
      <c r="AA26" s="509">
        <f t="shared" ref="AA26:AA53" si="59">Y26*(Z26-C26)*66.69/10^7</f>
        <v>7.8355033714285718E-2</v>
      </c>
      <c r="AB26" s="129"/>
      <c r="AC26" s="129">
        <v>64</v>
      </c>
      <c r="AD26" s="129">
        <v>5001</v>
      </c>
      <c r="AE26" s="509">
        <f>AC26*(AD26-G26)*66.73/10^7</f>
        <v>2.1351523803542802</v>
      </c>
      <c r="AF26" s="129"/>
      <c r="AG26" s="129">
        <v>32</v>
      </c>
      <c r="AH26" s="129">
        <v>5359</v>
      </c>
      <c r="AI26" s="509">
        <f>AG26*(AH26-K26)*67.58/10^7</f>
        <v>1.1586198789690596</v>
      </c>
      <c r="AJ26" s="129"/>
      <c r="AK26" s="129">
        <v>68</v>
      </c>
      <c r="AL26" s="129">
        <v>5011</v>
      </c>
      <c r="AM26" s="509">
        <f>AK26*(AL26-O26)*67.91/10^7</f>
        <v>2.3140015777965592</v>
      </c>
      <c r="AN26" s="129"/>
      <c r="AO26" s="129">
        <v>52</v>
      </c>
      <c r="AP26" s="129">
        <v>5011</v>
      </c>
      <c r="AQ26" s="509">
        <f>AO26*(AP26-S26)*68.01/10^7</f>
        <v>1.7718843283157062</v>
      </c>
      <c r="AR26" s="129"/>
      <c r="AS26" s="129">
        <v>12</v>
      </c>
      <c r="AT26" s="129">
        <v>5686</v>
      </c>
      <c r="AU26" s="509">
        <f>AS26*(AT26-W26)*67.01/10^7</f>
        <v>0.45721948162239745</v>
      </c>
      <c r="AV26" s="129"/>
      <c r="AW26" s="129"/>
      <c r="AX26" s="129"/>
      <c r="AY26" s="509">
        <f t="shared" ref="AY26:AY30" si="60">AW26*(AX26-AA26)*66.69/10^7</f>
        <v>0</v>
      </c>
      <c r="AZ26" s="23">
        <f t="shared" ref="AZ26:AZ53" si="61">+D26+H26+L26</f>
        <v>80</v>
      </c>
      <c r="BA26" s="23">
        <f t="shared" ref="BA26:BA53" si="62">+E26+I26+M26</f>
        <v>84</v>
      </c>
      <c r="BB26" s="509">
        <f t="shared" ref="BB26:BB53" si="63">+G26+K26+O26</f>
        <v>2.8941848629999996</v>
      </c>
      <c r="BC26" s="23">
        <f t="shared" ref="BC26:BC53" si="64">+P26+T26+X26</f>
        <v>40</v>
      </c>
      <c r="BD26" s="257">
        <f t="shared" ref="BD26:BD53" si="65">+Q26+U26+Y26</f>
        <v>25</v>
      </c>
      <c r="BE26" s="257">
        <f t="shared" ref="BE26:BE53" si="66">S26+W26+AA26</f>
        <v>0.86924281585714291</v>
      </c>
      <c r="BF26" s="257">
        <f t="shared" ref="BF26:BF53" si="67">AB26+AF26+AJ26</f>
        <v>0</v>
      </c>
      <c r="BG26" s="23">
        <f t="shared" ref="BG26:BG53" si="68">AC26+AG26+AK26</f>
        <v>164</v>
      </c>
      <c r="BH26" s="257">
        <f t="shared" ref="BH26:BH53" si="69">AE26+AI26+AM26</f>
        <v>5.6077738371198986</v>
      </c>
      <c r="BI26" s="23">
        <f t="shared" ref="BI26:BI53" si="70">+AN26+AR26+AV26</f>
        <v>0</v>
      </c>
      <c r="BJ26" s="23">
        <f t="shared" ref="BJ26:BJ53" si="71">+AO26+AS26+AW26</f>
        <v>64</v>
      </c>
      <c r="BK26" s="257">
        <f t="shared" ref="BK26:BK53" si="72">AQ26+AU26+AY26</f>
        <v>2.2291038099381035</v>
      </c>
      <c r="BL26" s="23">
        <f t="shared" ref="BL26:BL53" si="73">AZ26+BC26+BF26+BI26</f>
        <v>120</v>
      </c>
      <c r="BM26" s="23">
        <f t="shared" ref="BM26:BM53" si="74">BA26+BD26+BG26+BJ26</f>
        <v>337</v>
      </c>
      <c r="BN26" s="257">
        <f t="shared" ref="BN26:BN53" si="75">BB26+BE26+BH26+BK26</f>
        <v>11.600305325915144</v>
      </c>
      <c r="BO26" s="466">
        <f t="shared" ref="BO26:BO53" si="76">IFERROR(BM26/BL26,0)</f>
        <v>2.8083333333333331</v>
      </c>
      <c r="BP26" s="474"/>
      <c r="BQ26" s="23">
        <f t="shared" ref="BQ26:BQ53" si="77">AZ26+BC26</f>
        <v>120</v>
      </c>
      <c r="BR26" s="23">
        <f t="shared" ref="BR26:BR53" si="78">BA26+BD26</f>
        <v>109</v>
      </c>
      <c r="BS26" s="23"/>
      <c r="BT26" s="23"/>
      <c r="BU26" s="466">
        <f t="shared" si="27"/>
        <v>0.90833333333333333</v>
      </c>
      <c r="CA26" s="23">
        <f t="shared" ref="CA26:CA53" si="79">D26+H26+L26+P26+T26+X26</f>
        <v>120</v>
      </c>
      <c r="CB26" s="23">
        <f t="shared" ref="CB26:CB53" si="80">E26+I26+M26+Q26+U26+Y26</f>
        <v>109</v>
      </c>
      <c r="CC26" s="466">
        <f t="shared" ref="CC26:CC53" si="81">IFERROR(CB26/CA26,0)</f>
        <v>0.90833333333333333</v>
      </c>
      <c r="CD26" s="509">
        <f t="shared" ref="CD26:CD53" si="82">G26+K26+O26+S26+W26+AA26</f>
        <v>3.7634276788571421</v>
      </c>
      <c r="CE26" s="466">
        <f t="shared" si="10"/>
        <v>0.90833333333333333</v>
      </c>
    </row>
    <row r="27" spans="1:83" ht="12.6" customHeight="1">
      <c r="A27" s="254" t="s">
        <v>34</v>
      </c>
      <c r="B27" s="129">
        <v>0</v>
      </c>
      <c r="C27" s="23">
        <v>66.828571428571422</v>
      </c>
      <c r="D27" s="129"/>
      <c r="E27" s="129"/>
      <c r="F27" s="129"/>
      <c r="G27" s="509">
        <f t="shared" si="54"/>
        <v>0</v>
      </c>
      <c r="H27" s="129"/>
      <c r="I27" s="129"/>
      <c r="J27" s="129"/>
      <c r="K27" s="509">
        <f t="shared" si="55"/>
        <v>0</v>
      </c>
      <c r="L27" s="129"/>
      <c r="M27" s="129"/>
      <c r="N27" s="129"/>
      <c r="O27" s="509">
        <f t="shared" si="56"/>
        <v>0</v>
      </c>
      <c r="P27" s="129"/>
      <c r="Q27" s="129"/>
      <c r="R27" s="129"/>
      <c r="S27" s="509">
        <f t="shared" si="57"/>
        <v>0</v>
      </c>
      <c r="T27" s="129"/>
      <c r="U27" s="129">
        <v>1</v>
      </c>
      <c r="V27" s="129">
        <v>5229</v>
      </c>
      <c r="W27" s="509">
        <f t="shared" si="58"/>
        <v>3.455041337142857E-2</v>
      </c>
      <c r="X27" s="129"/>
      <c r="Y27" s="129">
        <v>5</v>
      </c>
      <c r="Z27" s="129">
        <v>5237</v>
      </c>
      <c r="AA27" s="509">
        <f t="shared" si="59"/>
        <v>0.17239936628571428</v>
      </c>
      <c r="AB27" s="129"/>
      <c r="AC27" s="129">
        <v>20</v>
      </c>
      <c r="AD27" s="129">
        <v>4428</v>
      </c>
      <c r="AE27" s="509">
        <f>AC27*(AD27-G27)*66.73/10^7</f>
        <v>0.59096088000000002</v>
      </c>
      <c r="AF27" s="129"/>
      <c r="AG27" s="129">
        <v>12</v>
      </c>
      <c r="AH27" s="129">
        <v>4500</v>
      </c>
      <c r="AI27" s="509">
        <f>AG27*(AH27-K27)*67.58/10^7</f>
        <v>0.36493199999999998</v>
      </c>
      <c r="AJ27" s="129"/>
      <c r="AK27" s="129">
        <v>12</v>
      </c>
      <c r="AL27" s="129">
        <v>4634</v>
      </c>
      <c r="AM27" s="509">
        <f>AK27*(AL27-O27)*67.91/10^7</f>
        <v>0.37763392799999995</v>
      </c>
      <c r="AN27" s="129"/>
      <c r="AO27" s="129">
        <v>16</v>
      </c>
      <c r="AP27" s="129">
        <v>4491</v>
      </c>
      <c r="AQ27" s="509">
        <f>AO27*(AP27-S27)*68.01/10^7</f>
        <v>0.48869265600000006</v>
      </c>
      <c r="AR27" s="129"/>
      <c r="AS27" s="129">
        <v>32</v>
      </c>
      <c r="AT27" s="129">
        <v>4508</v>
      </c>
      <c r="AU27" s="509">
        <f>AS27*(AT27-W27)*67.01/10^7</f>
        <v>0.96665204728576004</v>
      </c>
      <c r="AV27" s="129"/>
      <c r="AW27" s="129"/>
      <c r="AX27" s="129"/>
      <c r="AY27" s="509">
        <f t="shared" si="60"/>
        <v>0</v>
      </c>
      <c r="AZ27" s="23">
        <f t="shared" si="61"/>
        <v>0</v>
      </c>
      <c r="BA27" s="23">
        <f t="shared" si="62"/>
        <v>0</v>
      </c>
      <c r="BB27" s="509">
        <f t="shared" si="63"/>
        <v>0</v>
      </c>
      <c r="BC27" s="23">
        <f t="shared" si="64"/>
        <v>0</v>
      </c>
      <c r="BD27" s="257">
        <f t="shared" si="65"/>
        <v>6</v>
      </c>
      <c r="BE27" s="257">
        <f t="shared" si="66"/>
        <v>0.20694977965714284</v>
      </c>
      <c r="BF27" s="257">
        <f t="shared" si="67"/>
        <v>0</v>
      </c>
      <c r="BG27" s="23">
        <f t="shared" si="68"/>
        <v>44</v>
      </c>
      <c r="BH27" s="257">
        <f t="shared" si="69"/>
        <v>1.3335268079999998</v>
      </c>
      <c r="BI27" s="23">
        <f t="shared" si="70"/>
        <v>0</v>
      </c>
      <c r="BJ27" s="23">
        <f t="shared" si="71"/>
        <v>48</v>
      </c>
      <c r="BK27" s="257">
        <f t="shared" si="72"/>
        <v>1.45534470328576</v>
      </c>
      <c r="BL27" s="23">
        <f t="shared" si="73"/>
        <v>0</v>
      </c>
      <c r="BM27" s="23">
        <f t="shared" si="74"/>
        <v>98</v>
      </c>
      <c r="BN27" s="257">
        <f t="shared" si="75"/>
        <v>2.9958212909429029</v>
      </c>
      <c r="BO27" s="466">
        <f t="shared" si="76"/>
        <v>0</v>
      </c>
      <c r="BP27" s="474"/>
      <c r="BQ27" s="23">
        <f t="shared" si="77"/>
        <v>0</v>
      </c>
      <c r="BR27" s="23">
        <f t="shared" si="78"/>
        <v>6</v>
      </c>
      <c r="BS27" s="23"/>
      <c r="BT27" s="23"/>
      <c r="BU27" s="466">
        <f t="shared" si="27"/>
        <v>0</v>
      </c>
      <c r="CA27" s="23">
        <f t="shared" si="79"/>
        <v>0</v>
      </c>
      <c r="CB27" s="23">
        <f t="shared" si="80"/>
        <v>6</v>
      </c>
      <c r="CC27" s="466">
        <f t="shared" si="81"/>
        <v>0</v>
      </c>
      <c r="CD27" s="509">
        <f t="shared" si="82"/>
        <v>0.20694977965714284</v>
      </c>
      <c r="CE27" s="466">
        <f t="shared" si="10"/>
        <v>0</v>
      </c>
    </row>
    <row r="28" spans="1:83" ht="12.6" customHeight="1">
      <c r="A28" s="254" t="s">
        <v>62</v>
      </c>
      <c r="B28" s="129">
        <v>0</v>
      </c>
      <c r="C28" s="23">
        <v>0</v>
      </c>
      <c r="D28" s="129"/>
      <c r="E28" s="129"/>
      <c r="F28" s="129"/>
      <c r="G28" s="509">
        <f t="shared" si="54"/>
        <v>0</v>
      </c>
      <c r="H28" s="129"/>
      <c r="I28" s="129"/>
      <c r="J28" s="129"/>
      <c r="K28" s="509">
        <f t="shared" si="55"/>
        <v>0</v>
      </c>
      <c r="L28" s="129"/>
      <c r="M28" s="129"/>
      <c r="N28" s="129"/>
      <c r="O28" s="509">
        <f t="shared" si="56"/>
        <v>0</v>
      </c>
      <c r="P28" s="129"/>
      <c r="Q28" s="129"/>
      <c r="R28" s="129"/>
      <c r="S28" s="509">
        <f t="shared" si="57"/>
        <v>0</v>
      </c>
      <c r="T28" s="129"/>
      <c r="U28" s="129"/>
      <c r="V28" s="129"/>
      <c r="W28" s="509">
        <f t="shared" si="58"/>
        <v>0</v>
      </c>
      <c r="X28" s="129"/>
      <c r="Y28" s="129"/>
      <c r="Z28" s="129"/>
      <c r="AA28" s="509">
        <f t="shared" si="59"/>
        <v>0</v>
      </c>
      <c r="AB28" s="129"/>
      <c r="AC28" s="129"/>
      <c r="AD28" s="129"/>
      <c r="AE28" s="509">
        <f>AC28*(AD28-G28)*66.73/10^7</f>
        <v>0</v>
      </c>
      <c r="AF28" s="129"/>
      <c r="AG28" s="129"/>
      <c r="AH28" s="129"/>
      <c r="AI28" s="509">
        <f>AG28*(AH28-K28)*67.58/10^7</f>
        <v>0</v>
      </c>
      <c r="AJ28" s="129"/>
      <c r="AK28" s="129"/>
      <c r="AL28" s="129"/>
      <c r="AM28" s="509">
        <f>AK28*(AL28-O28)*67.91/10^7</f>
        <v>0</v>
      </c>
      <c r="AN28" s="129"/>
      <c r="AO28" s="129"/>
      <c r="AP28" s="129"/>
      <c r="AQ28" s="509">
        <f>AO28*(AP28-S28)*68.01/10^7</f>
        <v>0</v>
      </c>
      <c r="AR28" s="129"/>
      <c r="AS28" s="129"/>
      <c r="AT28" s="129"/>
      <c r="AU28" s="509">
        <f>AS28*(AT28-W28)*67.01/10^7</f>
        <v>0</v>
      </c>
      <c r="AV28" s="129"/>
      <c r="AW28" s="129"/>
      <c r="AX28" s="129"/>
      <c r="AY28" s="509">
        <f t="shared" si="60"/>
        <v>0</v>
      </c>
      <c r="AZ28" s="23">
        <f t="shared" si="61"/>
        <v>0</v>
      </c>
      <c r="BA28" s="23">
        <f t="shared" si="62"/>
        <v>0</v>
      </c>
      <c r="BB28" s="509">
        <f t="shared" si="63"/>
        <v>0</v>
      </c>
      <c r="BC28" s="23">
        <f t="shared" si="64"/>
        <v>0</v>
      </c>
      <c r="BD28" s="257">
        <f t="shared" si="65"/>
        <v>0</v>
      </c>
      <c r="BE28" s="257">
        <f t="shared" si="66"/>
        <v>0</v>
      </c>
      <c r="BF28" s="257">
        <f t="shared" si="67"/>
        <v>0</v>
      </c>
      <c r="BG28" s="23">
        <f t="shared" si="68"/>
        <v>0</v>
      </c>
      <c r="BH28" s="257">
        <f t="shared" si="69"/>
        <v>0</v>
      </c>
      <c r="BI28" s="23">
        <f t="shared" si="70"/>
        <v>0</v>
      </c>
      <c r="BJ28" s="23">
        <f t="shared" si="71"/>
        <v>0</v>
      </c>
      <c r="BK28" s="257">
        <f t="shared" si="72"/>
        <v>0</v>
      </c>
      <c r="BL28" s="23">
        <f t="shared" si="73"/>
        <v>0</v>
      </c>
      <c r="BM28" s="23">
        <f t="shared" si="74"/>
        <v>0</v>
      </c>
      <c r="BN28" s="257">
        <f t="shared" si="75"/>
        <v>0</v>
      </c>
      <c r="BO28" s="466">
        <f t="shared" si="76"/>
        <v>0</v>
      </c>
      <c r="BP28" s="474"/>
      <c r="BQ28" s="23">
        <f t="shared" si="77"/>
        <v>0</v>
      </c>
      <c r="BR28" s="23">
        <f t="shared" si="78"/>
        <v>0</v>
      </c>
      <c r="BS28" s="23"/>
      <c r="BT28" s="23"/>
      <c r="BU28" s="466">
        <f t="shared" si="27"/>
        <v>0</v>
      </c>
      <c r="CA28" s="23">
        <f t="shared" si="79"/>
        <v>0</v>
      </c>
      <c r="CB28" s="23">
        <f t="shared" si="80"/>
        <v>0</v>
      </c>
      <c r="CC28" s="466">
        <f t="shared" si="81"/>
        <v>0</v>
      </c>
      <c r="CD28" s="509">
        <f t="shared" si="82"/>
        <v>0</v>
      </c>
      <c r="CE28" s="466">
        <f t="shared" si="10"/>
        <v>0</v>
      </c>
    </row>
    <row r="29" spans="1:83" ht="12.6" customHeight="1">
      <c r="A29" s="254" t="s">
        <v>32</v>
      </c>
      <c r="B29" s="129">
        <v>0</v>
      </c>
      <c r="C29" s="23">
        <v>48.428571428571431</v>
      </c>
      <c r="D29" s="129"/>
      <c r="E29" s="129"/>
      <c r="F29" s="129"/>
      <c r="G29" s="509">
        <f t="shared" si="54"/>
        <v>0</v>
      </c>
      <c r="H29" s="129"/>
      <c r="I29" s="129"/>
      <c r="J29" s="129"/>
      <c r="K29" s="509">
        <f t="shared" si="55"/>
        <v>0</v>
      </c>
      <c r="L29" s="129"/>
      <c r="M29" s="129"/>
      <c r="N29" s="129"/>
      <c r="O29" s="509">
        <f t="shared" si="56"/>
        <v>0</v>
      </c>
      <c r="P29" s="129"/>
      <c r="Q29" s="129"/>
      <c r="R29" s="129"/>
      <c r="S29" s="509">
        <f t="shared" si="57"/>
        <v>0</v>
      </c>
      <c r="T29" s="129"/>
      <c r="U29" s="129"/>
      <c r="V29" s="129"/>
      <c r="W29" s="509">
        <f t="shared" si="58"/>
        <v>0</v>
      </c>
      <c r="X29" s="129"/>
      <c r="Y29" s="129"/>
      <c r="Z29" s="129"/>
      <c r="AA29" s="509">
        <f t="shared" si="59"/>
        <v>0</v>
      </c>
      <c r="AB29" s="129"/>
      <c r="AC29" s="129"/>
      <c r="AD29" s="129"/>
      <c r="AE29" s="509">
        <f>AC29*(AD29-G29)*66.73/10^7</f>
        <v>0</v>
      </c>
      <c r="AF29" s="129"/>
      <c r="AG29" s="129"/>
      <c r="AH29" s="129"/>
      <c r="AI29" s="509">
        <f>AG29*(AH29-K29)*67.58/10^7</f>
        <v>0</v>
      </c>
      <c r="AJ29" s="129"/>
      <c r="AK29" s="129"/>
      <c r="AL29" s="129"/>
      <c r="AM29" s="509">
        <f>AK29*(AL29-O29)*67.91/10^7</f>
        <v>0</v>
      </c>
      <c r="AN29" s="129"/>
      <c r="AO29" s="129"/>
      <c r="AP29" s="129"/>
      <c r="AQ29" s="509">
        <f>AO29*(AP29-S29)*68.01/10^7</f>
        <v>0</v>
      </c>
      <c r="AR29" s="129"/>
      <c r="AS29" s="129"/>
      <c r="AT29" s="129"/>
      <c r="AU29" s="509">
        <f>AS29*(AT29-W29)*67.01/10^7</f>
        <v>0</v>
      </c>
      <c r="AV29" s="129"/>
      <c r="AW29" s="129"/>
      <c r="AX29" s="129"/>
      <c r="AY29" s="509">
        <f t="shared" si="60"/>
        <v>0</v>
      </c>
      <c r="AZ29" s="23">
        <f t="shared" si="61"/>
        <v>0</v>
      </c>
      <c r="BA29" s="23">
        <f t="shared" si="62"/>
        <v>0</v>
      </c>
      <c r="BB29" s="509">
        <f t="shared" si="63"/>
        <v>0</v>
      </c>
      <c r="BC29" s="23">
        <f t="shared" si="64"/>
        <v>0</v>
      </c>
      <c r="BD29" s="257">
        <f t="shared" si="65"/>
        <v>0</v>
      </c>
      <c r="BE29" s="257">
        <f t="shared" si="66"/>
        <v>0</v>
      </c>
      <c r="BF29" s="257">
        <f t="shared" si="67"/>
        <v>0</v>
      </c>
      <c r="BG29" s="23">
        <f t="shared" si="68"/>
        <v>0</v>
      </c>
      <c r="BH29" s="257">
        <f t="shared" si="69"/>
        <v>0</v>
      </c>
      <c r="BI29" s="23">
        <f t="shared" si="70"/>
        <v>0</v>
      </c>
      <c r="BJ29" s="23">
        <f t="shared" si="71"/>
        <v>0</v>
      </c>
      <c r="BK29" s="257">
        <f t="shared" si="72"/>
        <v>0</v>
      </c>
      <c r="BL29" s="23">
        <f t="shared" si="73"/>
        <v>0</v>
      </c>
      <c r="BM29" s="23">
        <f t="shared" si="74"/>
        <v>0</v>
      </c>
      <c r="BN29" s="257">
        <f t="shared" si="75"/>
        <v>0</v>
      </c>
      <c r="BO29" s="466">
        <f t="shared" si="76"/>
        <v>0</v>
      </c>
      <c r="BP29" s="474"/>
      <c r="BQ29" s="23">
        <f t="shared" si="77"/>
        <v>0</v>
      </c>
      <c r="BR29" s="23">
        <f t="shared" si="78"/>
        <v>0</v>
      </c>
      <c r="BS29" s="23"/>
      <c r="BT29" s="23"/>
      <c r="BU29" s="466">
        <f t="shared" si="27"/>
        <v>0</v>
      </c>
      <c r="CA29" s="23">
        <f t="shared" si="79"/>
        <v>0</v>
      </c>
      <c r="CB29" s="23">
        <f t="shared" si="80"/>
        <v>0</v>
      </c>
      <c r="CC29" s="466">
        <f t="shared" si="81"/>
        <v>0</v>
      </c>
      <c r="CD29" s="509">
        <f t="shared" si="82"/>
        <v>0</v>
      </c>
      <c r="CE29" s="466">
        <f t="shared" si="10"/>
        <v>0</v>
      </c>
    </row>
    <row r="30" spans="1:83" ht="12.6" customHeight="1">
      <c r="A30" s="254" t="s">
        <v>31</v>
      </c>
      <c r="B30" s="129">
        <v>0</v>
      </c>
      <c r="C30" s="23">
        <v>66.828571428571422</v>
      </c>
      <c r="D30" s="129"/>
      <c r="E30" s="129">
        <v>1</v>
      </c>
      <c r="F30" s="129">
        <v>4137</v>
      </c>
      <c r="G30" s="509">
        <f t="shared" si="54"/>
        <v>2.7054429485714283E-2</v>
      </c>
      <c r="H30" s="129"/>
      <c r="I30" s="129"/>
      <c r="J30" s="129"/>
      <c r="K30" s="509">
        <f t="shared" si="55"/>
        <v>0</v>
      </c>
      <c r="L30" s="129"/>
      <c r="M30" s="129">
        <v>1</v>
      </c>
      <c r="N30" s="129">
        <v>4310</v>
      </c>
      <c r="O30" s="509">
        <f t="shared" si="56"/>
        <v>2.8548057371428574E-2</v>
      </c>
      <c r="P30" s="129"/>
      <c r="Q30" s="129">
        <v>1</v>
      </c>
      <c r="R30" s="129">
        <v>3125</v>
      </c>
      <c r="S30" s="509">
        <f t="shared" si="57"/>
        <v>2.0575377371428571E-2</v>
      </c>
      <c r="T30" s="129"/>
      <c r="U30" s="129"/>
      <c r="V30" s="129"/>
      <c r="W30" s="509">
        <f t="shared" si="58"/>
        <v>0</v>
      </c>
      <c r="X30" s="129"/>
      <c r="Y30" s="129"/>
      <c r="Z30" s="129"/>
      <c r="AA30" s="509">
        <f t="shared" si="59"/>
        <v>0</v>
      </c>
      <c r="AB30" s="129"/>
      <c r="AC30" s="129"/>
      <c r="AD30" s="129"/>
      <c r="AE30" s="509">
        <f>AC30*(AD30-G30)*66.73/10^7</f>
        <v>0</v>
      </c>
      <c r="AF30" s="129"/>
      <c r="AG30" s="129">
        <v>1</v>
      </c>
      <c r="AH30" s="129">
        <v>3107</v>
      </c>
      <c r="AI30" s="509">
        <f>AG30*(AH30-K30)*67.58/10^7</f>
        <v>2.0997106000000001E-2</v>
      </c>
      <c r="AJ30" s="129"/>
      <c r="AK30" s="129"/>
      <c r="AL30" s="129"/>
      <c r="AM30" s="509">
        <f>AK30*(AL30-O30)*67.91/10^7</f>
        <v>0</v>
      </c>
      <c r="AN30" s="129"/>
      <c r="AO30" s="129"/>
      <c r="AP30" s="129"/>
      <c r="AQ30" s="509">
        <f>AO30*(AP30-S30)*68.01/10^7</f>
        <v>0</v>
      </c>
      <c r="AR30" s="129"/>
      <c r="AS30" s="129"/>
      <c r="AT30" s="129"/>
      <c r="AU30" s="509">
        <f>AS30*(AT30-W30)*67.01/10^7</f>
        <v>0</v>
      </c>
      <c r="AV30" s="129"/>
      <c r="AW30" s="129"/>
      <c r="AX30" s="129"/>
      <c r="AY30" s="509">
        <f t="shared" si="60"/>
        <v>0</v>
      </c>
      <c r="AZ30" s="23">
        <f t="shared" si="61"/>
        <v>0</v>
      </c>
      <c r="BA30" s="23">
        <f t="shared" si="62"/>
        <v>2</v>
      </c>
      <c r="BB30" s="509">
        <f t="shared" si="63"/>
        <v>5.5602486857142856E-2</v>
      </c>
      <c r="BC30" s="23">
        <f t="shared" si="64"/>
        <v>0</v>
      </c>
      <c r="BD30" s="257">
        <f t="shared" si="65"/>
        <v>1</v>
      </c>
      <c r="BE30" s="257">
        <f t="shared" si="66"/>
        <v>2.0575377371428571E-2</v>
      </c>
      <c r="BF30" s="257">
        <f t="shared" si="67"/>
        <v>0</v>
      </c>
      <c r="BG30" s="23">
        <f t="shared" si="68"/>
        <v>1</v>
      </c>
      <c r="BH30" s="257">
        <f t="shared" si="69"/>
        <v>2.0997106000000001E-2</v>
      </c>
      <c r="BI30" s="23">
        <f t="shared" si="70"/>
        <v>0</v>
      </c>
      <c r="BJ30" s="23">
        <f t="shared" si="71"/>
        <v>0</v>
      </c>
      <c r="BK30" s="257">
        <f t="shared" si="72"/>
        <v>0</v>
      </c>
      <c r="BL30" s="23">
        <f t="shared" si="73"/>
        <v>0</v>
      </c>
      <c r="BM30" s="23">
        <f t="shared" si="74"/>
        <v>4</v>
      </c>
      <c r="BN30" s="257">
        <f t="shared" si="75"/>
        <v>9.7174970228571425E-2</v>
      </c>
      <c r="BO30" s="466">
        <f t="shared" si="76"/>
        <v>0</v>
      </c>
      <c r="BP30" s="474"/>
      <c r="BQ30" s="23">
        <f t="shared" si="77"/>
        <v>0</v>
      </c>
      <c r="BR30" s="23">
        <f t="shared" si="78"/>
        <v>3</v>
      </c>
      <c r="BS30" s="23"/>
      <c r="BT30" s="23"/>
      <c r="BU30" s="466">
        <f t="shared" si="27"/>
        <v>0</v>
      </c>
      <c r="CA30" s="23">
        <f t="shared" si="79"/>
        <v>0</v>
      </c>
      <c r="CB30" s="23">
        <f t="shared" si="80"/>
        <v>3</v>
      </c>
      <c r="CC30" s="466">
        <f t="shared" si="81"/>
        <v>0</v>
      </c>
      <c r="CD30" s="509">
        <f t="shared" si="82"/>
        <v>7.6177864228571424E-2</v>
      </c>
      <c r="CE30" s="466">
        <f t="shared" si="10"/>
        <v>0</v>
      </c>
    </row>
    <row r="31" spans="1:83" ht="12.6" customHeight="1">
      <c r="A31" s="254" t="s">
        <v>35</v>
      </c>
      <c r="B31" s="129">
        <v>2000</v>
      </c>
      <c r="C31" s="23"/>
      <c r="D31" s="129">
        <v>124</v>
      </c>
      <c r="E31" s="129">
        <v>0</v>
      </c>
      <c r="F31" s="129">
        <v>0</v>
      </c>
      <c r="G31" s="509">
        <f t="shared" si="54"/>
        <v>0</v>
      </c>
      <c r="H31" s="129">
        <v>124</v>
      </c>
      <c r="I31" s="129">
        <v>78</v>
      </c>
      <c r="J31" s="129">
        <v>1402.4</v>
      </c>
      <c r="K31" s="509">
        <f>I31*(J31-925)*66.91/10^7</f>
        <v>0.2491541052</v>
      </c>
      <c r="L31" s="129">
        <v>128</v>
      </c>
      <c r="M31" s="129">
        <v>60</v>
      </c>
      <c r="N31" s="129">
        <v>1276</v>
      </c>
      <c r="O31" s="509">
        <f>M31*(N31-1202)*67.28/10^7</f>
        <v>2.9872320000000001E-2</v>
      </c>
      <c r="P31" s="129">
        <v>148</v>
      </c>
      <c r="Q31" s="129">
        <v>1</v>
      </c>
      <c r="R31" s="129">
        <v>1864</v>
      </c>
      <c r="S31" s="509">
        <f>Q31*(R31-1108)*67.28/10^7</f>
        <v>5.086368E-3</v>
      </c>
      <c r="T31" s="129">
        <v>158</v>
      </c>
      <c r="U31" s="129">
        <v>32</v>
      </c>
      <c r="V31" s="129">
        <v>1796</v>
      </c>
      <c r="W31" s="509">
        <f>U31*(V31-1179)*66.93/10^7</f>
        <v>0.13214659200000001</v>
      </c>
      <c r="X31" s="129">
        <v>168</v>
      </c>
      <c r="Y31" s="129">
        <v>42</v>
      </c>
      <c r="Z31" s="129">
        <v>2111</v>
      </c>
      <c r="AA31" s="509">
        <f>Y31*(Z31-1306)*66.69/10^7</f>
        <v>0.22547888999999999</v>
      </c>
      <c r="AB31" s="129">
        <v>193</v>
      </c>
      <c r="AC31" s="129">
        <v>40</v>
      </c>
      <c r="AD31" s="129">
        <v>2116</v>
      </c>
      <c r="AE31" s="509">
        <f>AC31*(AD31-1329)*66.73/10^7</f>
        <v>0.21006603999999998</v>
      </c>
      <c r="AF31" s="129">
        <v>193</v>
      </c>
      <c r="AG31" s="129">
        <v>34</v>
      </c>
      <c r="AH31" s="129">
        <v>2142</v>
      </c>
      <c r="AI31" s="509">
        <f>AG31*(AH31-1329)*67.58/10^7</f>
        <v>0.186804636</v>
      </c>
      <c r="AJ31" s="129">
        <v>189</v>
      </c>
      <c r="AK31" s="129">
        <v>10</v>
      </c>
      <c r="AL31" s="129">
        <v>2327</v>
      </c>
      <c r="AM31" s="509">
        <f>AK31*(AL31-1493)*67.91/10^7</f>
        <v>5.6636940000000004E-2</v>
      </c>
      <c r="AN31" s="129">
        <v>199</v>
      </c>
      <c r="AO31" s="129">
        <v>29</v>
      </c>
      <c r="AP31" s="129">
        <v>2006</v>
      </c>
      <c r="AQ31" s="509">
        <f>AO31*(AP31-1595)*68.01/10^7</f>
        <v>8.1061119000000001E-2</v>
      </c>
      <c r="AR31" s="129">
        <v>173</v>
      </c>
      <c r="AS31" s="129">
        <v>10</v>
      </c>
      <c r="AT31" s="129">
        <v>2157</v>
      </c>
      <c r="AU31" s="509">
        <f>AS31*(AT31-1786)*67.01/10^7</f>
        <v>2.4860710000000001E-2</v>
      </c>
      <c r="AV31" s="129">
        <v>203</v>
      </c>
      <c r="AW31" s="129"/>
      <c r="AX31" s="129"/>
      <c r="AY31" s="509">
        <f>AW31*(AX31-1306)*66.69/10^7</f>
        <v>0</v>
      </c>
      <c r="AZ31" s="23">
        <f t="shared" si="61"/>
        <v>376</v>
      </c>
      <c r="BA31" s="23">
        <f t="shared" si="62"/>
        <v>138</v>
      </c>
      <c r="BB31" s="509">
        <f t="shared" si="63"/>
        <v>0.27902642519999998</v>
      </c>
      <c r="BC31" s="23">
        <f t="shared" si="64"/>
        <v>474</v>
      </c>
      <c r="BD31" s="257">
        <f t="shared" si="65"/>
        <v>75</v>
      </c>
      <c r="BE31" s="257">
        <f t="shared" si="66"/>
        <v>0.36271185</v>
      </c>
      <c r="BF31" s="257">
        <f t="shared" si="67"/>
        <v>575</v>
      </c>
      <c r="BG31" s="23">
        <f t="shared" si="68"/>
        <v>84</v>
      </c>
      <c r="BH31" s="257">
        <f t="shared" si="69"/>
        <v>0.453507616</v>
      </c>
      <c r="BI31" s="23">
        <f t="shared" si="70"/>
        <v>575</v>
      </c>
      <c r="BJ31" s="23">
        <f t="shared" si="71"/>
        <v>39</v>
      </c>
      <c r="BK31" s="257">
        <f t="shared" si="72"/>
        <v>0.105921829</v>
      </c>
      <c r="BL31" s="23">
        <f t="shared" si="73"/>
        <v>2000</v>
      </c>
      <c r="BM31" s="23">
        <f t="shared" si="74"/>
        <v>336</v>
      </c>
      <c r="BN31" s="257">
        <f t="shared" si="75"/>
        <v>1.2011677202</v>
      </c>
      <c r="BO31" s="466">
        <f t="shared" si="76"/>
        <v>0.16800000000000001</v>
      </c>
      <c r="BP31" s="474"/>
      <c r="BQ31" s="23">
        <f t="shared" si="77"/>
        <v>850</v>
      </c>
      <c r="BR31" s="23">
        <f t="shared" si="78"/>
        <v>213</v>
      </c>
      <c r="BS31" s="23"/>
      <c r="BT31" s="23"/>
      <c r="BU31" s="466">
        <f t="shared" si="27"/>
        <v>0.25058823529411767</v>
      </c>
      <c r="CA31" s="23">
        <f t="shared" si="79"/>
        <v>850</v>
      </c>
      <c r="CB31" s="23">
        <f t="shared" si="80"/>
        <v>213</v>
      </c>
      <c r="CC31" s="466">
        <f t="shared" si="81"/>
        <v>0.25058823529411767</v>
      </c>
      <c r="CD31" s="509">
        <f t="shared" si="82"/>
        <v>0.64173827520000004</v>
      </c>
      <c r="CE31" s="466">
        <f t="shared" si="10"/>
        <v>0.1065</v>
      </c>
    </row>
    <row r="32" spans="1:83" ht="12.6" customHeight="1">
      <c r="A32" s="254" t="s">
        <v>83</v>
      </c>
      <c r="B32" s="129">
        <v>7311</v>
      </c>
      <c r="C32" s="23">
        <v>57.985714285714288</v>
      </c>
      <c r="D32" s="129">
        <v>984</v>
      </c>
      <c r="E32" s="129">
        <v>442</v>
      </c>
      <c r="F32" s="129">
        <v>730</v>
      </c>
      <c r="G32" s="509">
        <f t="shared" si="54"/>
        <v>1.9743604990571428</v>
      </c>
      <c r="H32" s="129">
        <v>787</v>
      </c>
      <c r="I32" s="129">
        <v>335</v>
      </c>
      <c r="J32" s="129">
        <v>715.6</v>
      </c>
      <c r="K32" s="509">
        <f t="shared" si="55"/>
        <v>1.4740325572142858</v>
      </c>
      <c r="L32" s="129">
        <v>816</v>
      </c>
      <c r="M32" s="129">
        <v>384</v>
      </c>
      <c r="N32" s="129">
        <v>715.2</v>
      </c>
      <c r="O32" s="509">
        <f t="shared" si="56"/>
        <v>1.6979472822857145</v>
      </c>
      <c r="P32" s="129">
        <v>532</v>
      </c>
      <c r="Q32" s="129">
        <v>328</v>
      </c>
      <c r="R32" s="129">
        <v>807</v>
      </c>
      <c r="S32" s="509">
        <f>Q32*(R32-C32)*67.28/10^7</f>
        <v>1.6529127414857143</v>
      </c>
      <c r="T32" s="129">
        <v>496</v>
      </c>
      <c r="U32" s="129">
        <v>381</v>
      </c>
      <c r="V32" s="129">
        <v>831</v>
      </c>
      <c r="W32" s="509">
        <f t="shared" si="58"/>
        <v>1.9712119380428574</v>
      </c>
      <c r="X32" s="129">
        <v>512</v>
      </c>
      <c r="Y32" s="129">
        <v>269</v>
      </c>
      <c r="Z32" s="129">
        <v>843</v>
      </c>
      <c r="AA32" s="509">
        <f t="shared" si="59"/>
        <v>1.4082850130142857</v>
      </c>
      <c r="AB32" s="129">
        <v>502</v>
      </c>
      <c r="AC32" s="129">
        <v>567</v>
      </c>
      <c r="AD32" s="129">
        <v>838</v>
      </c>
      <c r="AE32" s="509">
        <f t="shared" ref="AE32:AE38" si="83">AC32*(AD32-G32)*66.73/10^7</f>
        <v>3.1631790853850119</v>
      </c>
      <c r="AF32" s="129">
        <v>530</v>
      </c>
      <c r="AG32" s="129">
        <v>455</v>
      </c>
      <c r="AH32" s="129">
        <v>827</v>
      </c>
      <c r="AI32" s="509">
        <f t="shared" ref="AI32:AI38" si="84">AG32*(AH32-K32)*67.58/10^7</f>
        <v>2.5384015420301469</v>
      </c>
      <c r="AJ32" s="129">
        <v>502</v>
      </c>
      <c r="AK32" s="129">
        <v>451</v>
      </c>
      <c r="AL32" s="129">
        <v>849</v>
      </c>
      <c r="AM32" s="509">
        <f t="shared" ref="AM32:AM38" si="85">AK32*(AL32-O32)*67.91/10^7</f>
        <v>2.5950667362427051</v>
      </c>
      <c r="AN32" s="129">
        <v>542</v>
      </c>
      <c r="AO32" s="129">
        <v>316</v>
      </c>
      <c r="AP32" s="129">
        <v>909</v>
      </c>
      <c r="AQ32" s="509">
        <f t="shared" ref="AQ32:AQ38" si="86">AO32*(AP32-S32)*68.01/10^7</f>
        <v>1.9499941427806695</v>
      </c>
      <c r="AR32" s="129">
        <v>586</v>
      </c>
      <c r="AS32" s="129">
        <v>326</v>
      </c>
      <c r="AT32" s="129">
        <v>925</v>
      </c>
      <c r="AU32" s="509">
        <f t="shared" ref="AU32:AU38" si="87">AS32*(AT32-W32)*67.01/10^7</f>
        <v>2.0163803862698351</v>
      </c>
      <c r="AV32" s="129">
        <v>522</v>
      </c>
      <c r="AW32" s="129"/>
      <c r="AX32" s="129"/>
      <c r="AY32" s="509">
        <f t="shared" ref="AY32:AY38" si="88">AW32*(AX32-AA32)*66.69/10^7</f>
        <v>0</v>
      </c>
      <c r="AZ32" s="23">
        <f t="shared" si="61"/>
        <v>2587</v>
      </c>
      <c r="BA32" s="23">
        <f t="shared" si="62"/>
        <v>1161</v>
      </c>
      <c r="BB32" s="509">
        <f t="shared" si="63"/>
        <v>5.1463403385571436</v>
      </c>
      <c r="BC32" s="23">
        <f t="shared" si="64"/>
        <v>1540</v>
      </c>
      <c r="BD32" s="257">
        <f t="shared" si="65"/>
        <v>978</v>
      </c>
      <c r="BE32" s="257">
        <f t="shared" si="66"/>
        <v>5.0324096925428572</v>
      </c>
      <c r="BF32" s="257">
        <f t="shared" si="67"/>
        <v>1534</v>
      </c>
      <c r="BG32" s="23">
        <f t="shared" si="68"/>
        <v>1473</v>
      </c>
      <c r="BH32" s="257">
        <f t="shared" si="69"/>
        <v>8.2966473636578648</v>
      </c>
      <c r="BI32" s="23">
        <f t="shared" si="70"/>
        <v>1650</v>
      </c>
      <c r="BJ32" s="23">
        <f t="shared" si="71"/>
        <v>642</v>
      </c>
      <c r="BK32" s="257">
        <f t="shared" si="72"/>
        <v>3.9663745290505048</v>
      </c>
      <c r="BL32" s="23">
        <f t="shared" si="73"/>
        <v>7311</v>
      </c>
      <c r="BM32" s="23">
        <f t="shared" si="74"/>
        <v>4254</v>
      </c>
      <c r="BN32" s="257">
        <f t="shared" si="75"/>
        <v>22.441771923808371</v>
      </c>
      <c r="BO32" s="466">
        <f t="shared" si="76"/>
        <v>0.58186294624538371</v>
      </c>
      <c r="BP32" s="474"/>
      <c r="BQ32" s="23">
        <f t="shared" si="77"/>
        <v>4127</v>
      </c>
      <c r="BR32" s="23">
        <f t="shared" si="78"/>
        <v>2139</v>
      </c>
      <c r="BS32" s="23"/>
      <c r="BT32" s="23"/>
      <c r="BU32" s="466">
        <f t="shared" si="27"/>
        <v>0.51829416040707532</v>
      </c>
      <c r="CA32" s="23">
        <f t="shared" si="79"/>
        <v>4127</v>
      </c>
      <c r="CB32" s="23">
        <f t="shared" si="80"/>
        <v>2139</v>
      </c>
      <c r="CC32" s="466">
        <f t="shared" si="81"/>
        <v>0.51829416040707532</v>
      </c>
      <c r="CD32" s="509">
        <f t="shared" si="82"/>
        <v>10.178750031100002</v>
      </c>
      <c r="CE32" s="466">
        <f t="shared" si="10"/>
        <v>0.29257283545342633</v>
      </c>
    </row>
    <row r="33" spans="1:83" ht="12.6" customHeight="1">
      <c r="A33" s="254" t="s">
        <v>37</v>
      </c>
      <c r="B33" s="129">
        <v>1200</v>
      </c>
      <c r="C33" s="23"/>
      <c r="D33" s="129">
        <v>96</v>
      </c>
      <c r="E33" s="129">
        <v>40</v>
      </c>
      <c r="F33" s="129">
        <v>745.4</v>
      </c>
      <c r="G33" s="509">
        <f>E33*(F33-555)*66.47/10^7</f>
        <v>5.0623551999999988E-2</v>
      </c>
      <c r="H33" s="129">
        <v>96</v>
      </c>
      <c r="I33" s="129">
        <v>36</v>
      </c>
      <c r="J33" s="129">
        <v>753.3</v>
      </c>
      <c r="K33" s="509">
        <f>I33*(J33-783)*66.91/10^7</f>
        <v>-7.1540172000000108E-3</v>
      </c>
      <c r="L33" s="129">
        <v>96</v>
      </c>
      <c r="M33" s="129">
        <v>9</v>
      </c>
      <c r="N33" s="129">
        <v>891.8</v>
      </c>
      <c r="O33" s="509">
        <f>M33*(N33-782)*67.28/10^7</f>
        <v>6.6486095999999974E-3</v>
      </c>
      <c r="P33" s="129">
        <v>98</v>
      </c>
      <c r="Q33" s="129">
        <v>10</v>
      </c>
      <c r="R33" s="129">
        <v>893</v>
      </c>
      <c r="S33" s="509">
        <f>Q33*(R33-810)*67.28/10^7</f>
        <v>5.5842399999999999E-3</v>
      </c>
      <c r="T33" s="129">
        <v>96</v>
      </c>
      <c r="U33" s="129">
        <v>16</v>
      </c>
      <c r="V33" s="129">
        <v>896</v>
      </c>
      <c r="W33" s="509">
        <f>U33*(V33-798)*66.93/10^7</f>
        <v>1.0494624000000001E-2</v>
      </c>
      <c r="X33" s="129">
        <v>96</v>
      </c>
      <c r="Y33" s="129"/>
      <c r="Z33" s="129"/>
      <c r="AA33" s="509">
        <f t="shared" si="59"/>
        <v>0</v>
      </c>
      <c r="AB33" s="129">
        <v>98</v>
      </c>
      <c r="AC33" s="129"/>
      <c r="AD33" s="129"/>
      <c r="AE33" s="509">
        <f t="shared" si="83"/>
        <v>0</v>
      </c>
      <c r="AF33" s="129">
        <v>96</v>
      </c>
      <c r="AG33" s="129"/>
      <c r="AH33" s="129"/>
      <c r="AI33" s="509">
        <f t="shared" si="84"/>
        <v>0</v>
      </c>
      <c r="AJ33" s="129">
        <v>106</v>
      </c>
      <c r="AK33" s="129"/>
      <c r="AL33" s="129"/>
      <c r="AM33" s="509">
        <f t="shared" si="85"/>
        <v>0</v>
      </c>
      <c r="AN33" s="129">
        <v>108</v>
      </c>
      <c r="AO33" s="129"/>
      <c r="AP33" s="129"/>
      <c r="AQ33" s="509">
        <f t="shared" si="86"/>
        <v>0</v>
      </c>
      <c r="AR33" s="129">
        <v>106</v>
      </c>
      <c r="AS33" s="129"/>
      <c r="AT33" s="129"/>
      <c r="AU33" s="509">
        <f t="shared" si="87"/>
        <v>0</v>
      </c>
      <c r="AV33" s="129">
        <v>108</v>
      </c>
      <c r="AW33" s="129"/>
      <c r="AX33" s="129"/>
      <c r="AY33" s="509">
        <f t="shared" si="88"/>
        <v>0</v>
      </c>
      <c r="AZ33" s="23">
        <f t="shared" si="61"/>
        <v>288</v>
      </c>
      <c r="BA33" s="23">
        <f t="shared" si="62"/>
        <v>85</v>
      </c>
      <c r="BB33" s="509">
        <f t="shared" si="63"/>
        <v>5.0118144399999981E-2</v>
      </c>
      <c r="BC33" s="23">
        <f t="shared" si="64"/>
        <v>290</v>
      </c>
      <c r="BD33" s="257">
        <f t="shared" si="65"/>
        <v>26</v>
      </c>
      <c r="BE33" s="257">
        <f t="shared" si="66"/>
        <v>1.6078864000000002E-2</v>
      </c>
      <c r="BF33" s="257">
        <f t="shared" si="67"/>
        <v>300</v>
      </c>
      <c r="BG33" s="23">
        <f t="shared" si="68"/>
        <v>0</v>
      </c>
      <c r="BH33" s="257">
        <f t="shared" si="69"/>
        <v>0</v>
      </c>
      <c r="BI33" s="23">
        <f t="shared" si="70"/>
        <v>322</v>
      </c>
      <c r="BJ33" s="23">
        <f t="shared" si="71"/>
        <v>0</v>
      </c>
      <c r="BK33" s="257">
        <f t="shared" si="72"/>
        <v>0</v>
      </c>
      <c r="BL33" s="23">
        <f t="shared" si="73"/>
        <v>1200</v>
      </c>
      <c r="BM33" s="23">
        <f t="shared" si="74"/>
        <v>111</v>
      </c>
      <c r="BN33" s="257">
        <f t="shared" si="75"/>
        <v>6.6197008399999979E-2</v>
      </c>
      <c r="BO33" s="466">
        <f t="shared" si="76"/>
        <v>9.2499999999999999E-2</v>
      </c>
      <c r="BP33" s="474"/>
      <c r="BQ33" s="23">
        <f t="shared" si="77"/>
        <v>578</v>
      </c>
      <c r="BR33" s="23">
        <f t="shared" si="78"/>
        <v>111</v>
      </c>
      <c r="BS33" s="23"/>
      <c r="BT33" s="23"/>
      <c r="BU33" s="466">
        <f t="shared" si="27"/>
        <v>0.19204152249134948</v>
      </c>
      <c r="CA33" s="23">
        <f t="shared" si="79"/>
        <v>578</v>
      </c>
      <c r="CB33" s="23">
        <f t="shared" si="80"/>
        <v>111</v>
      </c>
      <c r="CC33" s="466">
        <f t="shared" si="81"/>
        <v>0.19204152249134948</v>
      </c>
      <c r="CD33" s="509">
        <f t="shared" si="82"/>
        <v>6.6197008399999979E-2</v>
      </c>
      <c r="CE33" s="466">
        <f t="shared" si="10"/>
        <v>9.2499999999999999E-2</v>
      </c>
    </row>
    <row r="34" spans="1:83" ht="12.6" customHeight="1">
      <c r="A34" s="254" t="s">
        <v>38</v>
      </c>
      <c r="B34" s="129">
        <v>0</v>
      </c>
      <c r="C34" s="23"/>
      <c r="D34" s="129"/>
      <c r="E34" s="129"/>
      <c r="F34" s="129"/>
      <c r="G34" s="509">
        <f t="shared" si="54"/>
        <v>0</v>
      </c>
      <c r="H34" s="129"/>
      <c r="I34" s="129"/>
      <c r="J34" s="129"/>
      <c r="K34" s="509">
        <f t="shared" si="55"/>
        <v>0</v>
      </c>
      <c r="L34" s="129"/>
      <c r="M34" s="129"/>
      <c r="N34" s="129"/>
      <c r="O34" s="509">
        <f t="shared" si="56"/>
        <v>0</v>
      </c>
      <c r="P34" s="129"/>
      <c r="Q34" s="129"/>
      <c r="R34" s="129"/>
      <c r="S34" s="509">
        <f>Q34*(R34-C34)*67.28/10^7</f>
        <v>0</v>
      </c>
      <c r="T34" s="129"/>
      <c r="U34" s="129"/>
      <c r="V34" s="129"/>
      <c r="W34" s="509">
        <f t="shared" si="58"/>
        <v>0</v>
      </c>
      <c r="X34" s="129"/>
      <c r="Y34" s="129"/>
      <c r="Z34" s="129"/>
      <c r="AA34" s="509">
        <f t="shared" si="59"/>
        <v>0</v>
      </c>
      <c r="AB34" s="129"/>
      <c r="AC34" s="129"/>
      <c r="AD34" s="129"/>
      <c r="AE34" s="509">
        <f t="shared" si="83"/>
        <v>0</v>
      </c>
      <c r="AF34" s="129"/>
      <c r="AG34" s="129"/>
      <c r="AH34" s="129"/>
      <c r="AI34" s="509">
        <f t="shared" si="84"/>
        <v>0</v>
      </c>
      <c r="AJ34" s="129"/>
      <c r="AK34" s="129"/>
      <c r="AL34" s="129"/>
      <c r="AM34" s="509">
        <f t="shared" si="85"/>
        <v>0</v>
      </c>
      <c r="AN34" s="129"/>
      <c r="AO34" s="129"/>
      <c r="AP34" s="129"/>
      <c r="AQ34" s="509">
        <f t="shared" si="86"/>
        <v>0</v>
      </c>
      <c r="AR34" s="129"/>
      <c r="AS34" s="129"/>
      <c r="AT34" s="129"/>
      <c r="AU34" s="509">
        <f t="shared" si="87"/>
        <v>0</v>
      </c>
      <c r="AV34" s="129"/>
      <c r="AW34" s="129"/>
      <c r="AX34" s="129"/>
      <c r="AY34" s="509">
        <f t="shared" si="88"/>
        <v>0</v>
      </c>
      <c r="AZ34" s="23">
        <f t="shared" si="61"/>
        <v>0</v>
      </c>
      <c r="BA34" s="23">
        <f t="shared" si="62"/>
        <v>0</v>
      </c>
      <c r="BB34" s="509">
        <f t="shared" si="63"/>
        <v>0</v>
      </c>
      <c r="BC34" s="23">
        <f t="shared" si="64"/>
        <v>0</v>
      </c>
      <c r="BD34" s="257">
        <f t="shared" si="65"/>
        <v>0</v>
      </c>
      <c r="BE34" s="257">
        <f t="shared" si="66"/>
        <v>0</v>
      </c>
      <c r="BF34" s="257">
        <f t="shared" si="67"/>
        <v>0</v>
      </c>
      <c r="BG34" s="23">
        <f t="shared" si="68"/>
        <v>0</v>
      </c>
      <c r="BH34" s="257">
        <f t="shared" si="69"/>
        <v>0</v>
      </c>
      <c r="BI34" s="23">
        <f t="shared" si="70"/>
        <v>0</v>
      </c>
      <c r="BJ34" s="23">
        <f t="shared" si="71"/>
        <v>0</v>
      </c>
      <c r="BK34" s="257">
        <f t="shared" si="72"/>
        <v>0</v>
      </c>
      <c r="BL34" s="23">
        <f t="shared" si="73"/>
        <v>0</v>
      </c>
      <c r="BM34" s="23">
        <f t="shared" si="74"/>
        <v>0</v>
      </c>
      <c r="BN34" s="257">
        <f t="shared" si="75"/>
        <v>0</v>
      </c>
      <c r="BO34" s="466">
        <f t="shared" si="76"/>
        <v>0</v>
      </c>
      <c r="BP34" s="474"/>
      <c r="BQ34" s="23">
        <f t="shared" si="77"/>
        <v>0</v>
      </c>
      <c r="BR34" s="23">
        <f t="shared" si="78"/>
        <v>0</v>
      </c>
      <c r="BS34" s="23"/>
      <c r="BT34" s="23"/>
      <c r="BU34" s="466">
        <f t="shared" si="27"/>
        <v>0</v>
      </c>
      <c r="CA34" s="23">
        <f t="shared" si="79"/>
        <v>0</v>
      </c>
      <c r="CB34" s="23">
        <f t="shared" si="80"/>
        <v>0</v>
      </c>
      <c r="CC34" s="466">
        <f t="shared" si="81"/>
        <v>0</v>
      </c>
      <c r="CD34" s="509">
        <f t="shared" si="82"/>
        <v>0</v>
      </c>
      <c r="CE34" s="466">
        <f t="shared" si="10"/>
        <v>0</v>
      </c>
    </row>
    <row r="35" spans="1:83" ht="12.6" customHeight="1">
      <c r="A35" s="254" t="s">
        <v>39</v>
      </c>
      <c r="B35" s="129">
        <v>780</v>
      </c>
      <c r="C35" s="23"/>
      <c r="D35" s="129">
        <v>65</v>
      </c>
      <c r="E35" s="129">
        <v>3</v>
      </c>
      <c r="F35" s="129">
        <v>963.7</v>
      </c>
      <c r="G35" s="509">
        <f t="shared" si="54"/>
        <v>1.9217141700000002E-2</v>
      </c>
      <c r="H35" s="129">
        <v>65</v>
      </c>
      <c r="I35" s="129"/>
      <c r="J35" s="129"/>
      <c r="K35" s="509">
        <f t="shared" si="55"/>
        <v>0</v>
      </c>
      <c r="L35" s="129">
        <v>65</v>
      </c>
      <c r="M35" s="129"/>
      <c r="N35" s="129"/>
      <c r="O35" s="509">
        <f t="shared" si="56"/>
        <v>0</v>
      </c>
      <c r="P35" s="129">
        <v>65</v>
      </c>
      <c r="Q35" s="129">
        <v>48</v>
      </c>
      <c r="R35" s="129">
        <v>822</v>
      </c>
      <c r="S35" s="509">
        <f>Q35*(R35-C35)*67.28/10^7</f>
        <v>0.26545996799999999</v>
      </c>
      <c r="T35" s="129">
        <v>65</v>
      </c>
      <c r="U35" s="129"/>
      <c r="V35" s="129"/>
      <c r="W35" s="509">
        <f t="shared" si="58"/>
        <v>0</v>
      </c>
      <c r="X35" s="129">
        <v>65</v>
      </c>
      <c r="Y35" s="129">
        <v>12</v>
      </c>
      <c r="Z35" s="129">
        <v>1173</v>
      </c>
      <c r="AA35" s="509">
        <f t="shared" si="59"/>
        <v>9.3872843999999997E-2</v>
      </c>
      <c r="AB35" s="129">
        <v>65</v>
      </c>
      <c r="AC35" s="129">
        <v>12</v>
      </c>
      <c r="AD35" s="129">
        <v>1074</v>
      </c>
      <c r="AE35" s="509">
        <f t="shared" si="83"/>
        <v>8.6000085168161239E-2</v>
      </c>
      <c r="AF35" s="129">
        <v>65</v>
      </c>
      <c r="AG35" s="129">
        <v>34</v>
      </c>
      <c r="AH35" s="129">
        <v>1028</v>
      </c>
      <c r="AI35" s="509">
        <f t="shared" si="84"/>
        <v>0.23620561600000001</v>
      </c>
      <c r="AJ35" s="129">
        <v>65</v>
      </c>
      <c r="AK35" s="129">
        <v>1</v>
      </c>
      <c r="AL35" s="129">
        <v>1060</v>
      </c>
      <c r="AM35" s="509">
        <f t="shared" si="85"/>
        <v>7.1984599999999994E-3</v>
      </c>
      <c r="AN35" s="129">
        <v>65</v>
      </c>
      <c r="AO35" s="129"/>
      <c r="AP35" s="129"/>
      <c r="AQ35" s="509">
        <f t="shared" si="86"/>
        <v>0</v>
      </c>
      <c r="AR35" s="129">
        <v>65</v>
      </c>
      <c r="AS35" s="129"/>
      <c r="AT35" s="129"/>
      <c r="AU35" s="509">
        <f t="shared" si="87"/>
        <v>0</v>
      </c>
      <c r="AV35" s="129">
        <v>65</v>
      </c>
      <c r="AW35" s="129"/>
      <c r="AX35" s="129"/>
      <c r="AY35" s="509">
        <f t="shared" si="88"/>
        <v>0</v>
      </c>
      <c r="AZ35" s="23">
        <f t="shared" si="61"/>
        <v>195</v>
      </c>
      <c r="BA35" s="23">
        <f t="shared" si="62"/>
        <v>3</v>
      </c>
      <c r="BB35" s="509">
        <f t="shared" si="63"/>
        <v>1.9217141700000002E-2</v>
      </c>
      <c r="BC35" s="23">
        <f t="shared" si="64"/>
        <v>195</v>
      </c>
      <c r="BD35" s="257">
        <f t="shared" si="65"/>
        <v>60</v>
      </c>
      <c r="BE35" s="257">
        <f t="shared" si="66"/>
        <v>0.359332812</v>
      </c>
      <c r="BF35" s="257">
        <f t="shared" si="67"/>
        <v>195</v>
      </c>
      <c r="BG35" s="23">
        <f t="shared" si="68"/>
        <v>47</v>
      </c>
      <c r="BH35" s="257">
        <f t="shared" si="69"/>
        <v>0.32940416116816129</v>
      </c>
      <c r="BI35" s="23">
        <f t="shared" si="70"/>
        <v>195</v>
      </c>
      <c r="BJ35" s="23">
        <f t="shared" si="71"/>
        <v>0</v>
      </c>
      <c r="BK35" s="257">
        <f t="shared" si="72"/>
        <v>0</v>
      </c>
      <c r="BL35" s="23">
        <f t="shared" si="73"/>
        <v>780</v>
      </c>
      <c r="BM35" s="23">
        <f t="shared" si="74"/>
        <v>110</v>
      </c>
      <c r="BN35" s="257">
        <f t="shared" si="75"/>
        <v>0.70795411486816129</v>
      </c>
      <c r="BO35" s="466">
        <f t="shared" si="76"/>
        <v>0.14102564102564102</v>
      </c>
      <c r="BP35" s="474"/>
      <c r="BQ35" s="23">
        <f t="shared" si="77"/>
        <v>390</v>
      </c>
      <c r="BR35" s="23">
        <f t="shared" si="78"/>
        <v>63</v>
      </c>
      <c r="BS35" s="23"/>
      <c r="BT35" s="23"/>
      <c r="BU35" s="466">
        <f t="shared" si="27"/>
        <v>0.16153846153846155</v>
      </c>
      <c r="CA35" s="23">
        <f t="shared" si="79"/>
        <v>390</v>
      </c>
      <c r="CB35" s="23">
        <f t="shared" si="80"/>
        <v>63</v>
      </c>
      <c r="CC35" s="466">
        <f t="shared" si="81"/>
        <v>0.16153846153846155</v>
      </c>
      <c r="CD35" s="509">
        <f t="shared" si="82"/>
        <v>0.3785499537</v>
      </c>
      <c r="CE35" s="466">
        <f t="shared" si="10"/>
        <v>8.0769230769230774E-2</v>
      </c>
    </row>
    <row r="36" spans="1:83" ht="12.6" customHeight="1">
      <c r="A36" s="254" t="s">
        <v>11</v>
      </c>
      <c r="B36" s="129">
        <v>3600</v>
      </c>
      <c r="C36" s="23">
        <v>18.399999999999999</v>
      </c>
      <c r="D36" s="129">
        <v>300</v>
      </c>
      <c r="E36" s="129">
        <v>263</v>
      </c>
      <c r="F36" s="129">
        <v>830.4</v>
      </c>
      <c r="G36" s="509">
        <f t="shared" si="54"/>
        <v>1.4195067320000001</v>
      </c>
      <c r="H36" s="129">
        <v>300</v>
      </c>
      <c r="I36" s="129">
        <v>309</v>
      </c>
      <c r="J36" s="129">
        <v>805.4</v>
      </c>
      <c r="K36" s="509">
        <f t="shared" si="55"/>
        <v>1.627137453</v>
      </c>
      <c r="L36" s="129">
        <v>300</v>
      </c>
      <c r="M36" s="129">
        <v>342</v>
      </c>
      <c r="N36" s="129">
        <v>818.3</v>
      </c>
      <c r="O36" s="509">
        <f t="shared" si="56"/>
        <v>1.8405507024000001</v>
      </c>
      <c r="P36" s="129">
        <v>300</v>
      </c>
      <c r="Q36" s="129"/>
      <c r="R36" s="129"/>
      <c r="S36" s="509">
        <f>Q36*(R36-C36)*67.28/10^7</f>
        <v>0</v>
      </c>
      <c r="T36" s="129">
        <v>300</v>
      </c>
      <c r="U36" s="129">
        <v>227</v>
      </c>
      <c r="V36" s="129">
        <v>1140</v>
      </c>
      <c r="W36" s="509">
        <f t="shared" si="58"/>
        <v>1.7040592176</v>
      </c>
      <c r="X36" s="129">
        <v>300</v>
      </c>
      <c r="Y36" s="129">
        <v>245</v>
      </c>
      <c r="Z36" s="129">
        <v>1115</v>
      </c>
      <c r="AA36" s="509">
        <f t="shared" si="59"/>
        <v>1.7917402230000001</v>
      </c>
      <c r="AB36" s="129">
        <v>300</v>
      </c>
      <c r="AC36" s="129"/>
      <c r="AD36" s="129"/>
      <c r="AE36" s="509">
        <f t="shared" si="83"/>
        <v>0</v>
      </c>
      <c r="AF36" s="129">
        <v>300</v>
      </c>
      <c r="AG36" s="129">
        <v>23</v>
      </c>
      <c r="AH36" s="129">
        <v>1095</v>
      </c>
      <c r="AI36" s="509">
        <f t="shared" si="84"/>
        <v>0.16994731751713041</v>
      </c>
      <c r="AJ36" s="129">
        <v>300</v>
      </c>
      <c r="AK36" s="129">
        <v>179</v>
      </c>
      <c r="AL36" s="129">
        <v>1090</v>
      </c>
      <c r="AM36" s="509">
        <f t="shared" si="85"/>
        <v>1.3227546568122204</v>
      </c>
      <c r="AN36" s="129">
        <v>300</v>
      </c>
      <c r="AO36" s="129">
        <v>169</v>
      </c>
      <c r="AP36" s="129">
        <v>1087</v>
      </c>
      <c r="AQ36" s="509">
        <f t="shared" si="86"/>
        <v>1.2493641030000002</v>
      </c>
      <c r="AR36" s="129">
        <v>300</v>
      </c>
      <c r="AS36" s="129">
        <v>1</v>
      </c>
      <c r="AT36" s="129">
        <v>1440</v>
      </c>
      <c r="AU36" s="509">
        <f t="shared" si="87"/>
        <v>9.6380210991828634E-3</v>
      </c>
      <c r="AV36" s="129">
        <v>300</v>
      </c>
      <c r="AW36" s="129"/>
      <c r="AX36" s="129"/>
      <c r="AY36" s="509">
        <f t="shared" si="88"/>
        <v>0</v>
      </c>
      <c r="AZ36" s="23">
        <f t="shared" si="61"/>
        <v>900</v>
      </c>
      <c r="BA36" s="23">
        <f t="shared" si="62"/>
        <v>914</v>
      </c>
      <c r="BB36" s="509">
        <f t="shared" si="63"/>
        <v>4.8871948873999997</v>
      </c>
      <c r="BC36" s="23">
        <f t="shared" si="64"/>
        <v>900</v>
      </c>
      <c r="BD36" s="257">
        <f t="shared" si="65"/>
        <v>472</v>
      </c>
      <c r="BE36" s="257">
        <f t="shared" si="66"/>
        <v>3.4957994405999999</v>
      </c>
      <c r="BF36" s="257">
        <f t="shared" si="67"/>
        <v>900</v>
      </c>
      <c r="BG36" s="23">
        <f t="shared" si="68"/>
        <v>202</v>
      </c>
      <c r="BH36" s="257">
        <f t="shared" si="69"/>
        <v>1.4927019743293508</v>
      </c>
      <c r="BI36" s="23">
        <f t="shared" si="70"/>
        <v>900</v>
      </c>
      <c r="BJ36" s="23">
        <f t="shared" si="71"/>
        <v>170</v>
      </c>
      <c r="BK36" s="257">
        <f t="shared" si="72"/>
        <v>1.2590021240991831</v>
      </c>
      <c r="BL36" s="23">
        <f t="shared" si="73"/>
        <v>3600</v>
      </c>
      <c r="BM36" s="23">
        <f t="shared" si="74"/>
        <v>1758</v>
      </c>
      <c r="BN36" s="257">
        <f t="shared" si="75"/>
        <v>11.134698426428532</v>
      </c>
      <c r="BO36" s="466">
        <f t="shared" si="76"/>
        <v>0.48833333333333334</v>
      </c>
      <c r="BP36" s="474"/>
      <c r="BQ36" s="23">
        <f t="shared" si="77"/>
        <v>1800</v>
      </c>
      <c r="BR36" s="23">
        <f t="shared" si="78"/>
        <v>1386</v>
      </c>
      <c r="BS36" s="23"/>
      <c r="BT36" s="23"/>
      <c r="BU36" s="466">
        <f t="shared" si="27"/>
        <v>0.77</v>
      </c>
      <c r="CA36" s="23">
        <f t="shared" si="79"/>
        <v>1800</v>
      </c>
      <c r="CB36" s="23">
        <f t="shared" si="80"/>
        <v>1386</v>
      </c>
      <c r="CC36" s="466">
        <f t="shared" si="81"/>
        <v>0.77</v>
      </c>
      <c r="CD36" s="509">
        <f t="shared" si="82"/>
        <v>8.3829943280000006</v>
      </c>
      <c r="CE36" s="466">
        <f t="shared" si="10"/>
        <v>0.38500000000000001</v>
      </c>
    </row>
    <row r="37" spans="1:83" ht="12.6" customHeight="1">
      <c r="A37" s="503" t="s">
        <v>87</v>
      </c>
      <c r="B37" s="129">
        <v>1914</v>
      </c>
      <c r="C37" s="23"/>
      <c r="D37" s="129">
        <v>0</v>
      </c>
      <c r="E37" s="129">
        <v>0</v>
      </c>
      <c r="F37" s="129"/>
      <c r="G37" s="509">
        <f t="shared" si="54"/>
        <v>0</v>
      </c>
      <c r="H37" s="129">
        <v>114</v>
      </c>
      <c r="I37" s="129">
        <v>21</v>
      </c>
      <c r="J37" s="129">
        <v>1085</v>
      </c>
      <c r="K37" s="509">
        <f t="shared" si="55"/>
        <v>0.152454435</v>
      </c>
      <c r="L37" s="129">
        <v>200</v>
      </c>
      <c r="M37" s="129"/>
      <c r="N37" s="129"/>
      <c r="O37" s="509">
        <f t="shared" si="56"/>
        <v>0</v>
      </c>
      <c r="P37" s="129">
        <v>200</v>
      </c>
      <c r="Q37" s="129"/>
      <c r="R37" s="129"/>
      <c r="S37" s="509">
        <f>Q37*(R37-C37)*67.28/10^7</f>
        <v>0</v>
      </c>
      <c r="T37" s="129">
        <v>200</v>
      </c>
      <c r="U37" s="129">
        <v>10</v>
      </c>
      <c r="V37" s="129">
        <v>1279</v>
      </c>
      <c r="W37" s="509">
        <f t="shared" si="58"/>
        <v>8.5603470000000001E-2</v>
      </c>
      <c r="X37" s="129">
        <v>100</v>
      </c>
      <c r="Y37" s="129">
        <v>1</v>
      </c>
      <c r="Z37" s="129">
        <v>1230</v>
      </c>
      <c r="AA37" s="509">
        <f t="shared" si="59"/>
        <v>8.2028699999999993E-3</v>
      </c>
      <c r="AB37" s="129">
        <v>200</v>
      </c>
      <c r="AC37" s="129"/>
      <c r="AD37" s="129"/>
      <c r="AE37" s="509">
        <f t="shared" si="83"/>
        <v>0</v>
      </c>
      <c r="AF37" s="129">
        <v>200</v>
      </c>
      <c r="AG37" s="129">
        <v>2</v>
      </c>
      <c r="AH37" s="129">
        <v>1213</v>
      </c>
      <c r="AI37" s="509">
        <f t="shared" si="84"/>
        <v>1.639284742585654E-2</v>
      </c>
      <c r="AJ37" s="129">
        <v>150</v>
      </c>
      <c r="AK37" s="129"/>
      <c r="AL37" s="129"/>
      <c r="AM37" s="509">
        <f t="shared" si="85"/>
        <v>0</v>
      </c>
      <c r="AN37" s="129">
        <v>200</v>
      </c>
      <c r="AO37" s="129"/>
      <c r="AP37" s="129"/>
      <c r="AQ37" s="509">
        <f t="shared" si="86"/>
        <v>0</v>
      </c>
      <c r="AR37" s="129">
        <v>200</v>
      </c>
      <c r="AS37" s="129">
        <v>1</v>
      </c>
      <c r="AT37" s="129">
        <v>1224</v>
      </c>
      <c r="AU37" s="509">
        <f t="shared" si="87"/>
        <v>8.2014503711475301E-3</v>
      </c>
      <c r="AV37" s="129">
        <v>150</v>
      </c>
      <c r="AW37" s="129"/>
      <c r="AX37" s="129"/>
      <c r="AY37" s="509">
        <f t="shared" si="88"/>
        <v>0</v>
      </c>
      <c r="AZ37" s="23">
        <f t="shared" si="61"/>
        <v>314</v>
      </c>
      <c r="BA37" s="23">
        <f t="shared" si="62"/>
        <v>21</v>
      </c>
      <c r="BB37" s="509">
        <f t="shared" si="63"/>
        <v>0.152454435</v>
      </c>
      <c r="BC37" s="23">
        <f t="shared" si="64"/>
        <v>500</v>
      </c>
      <c r="BD37" s="257">
        <f t="shared" si="65"/>
        <v>11</v>
      </c>
      <c r="BE37" s="257">
        <f t="shared" si="66"/>
        <v>9.3806340000000002E-2</v>
      </c>
      <c r="BF37" s="257">
        <f t="shared" si="67"/>
        <v>550</v>
      </c>
      <c r="BG37" s="23">
        <f t="shared" si="68"/>
        <v>2</v>
      </c>
      <c r="BH37" s="257">
        <f t="shared" si="69"/>
        <v>1.639284742585654E-2</v>
      </c>
      <c r="BI37" s="23">
        <f t="shared" si="70"/>
        <v>550</v>
      </c>
      <c r="BJ37" s="23">
        <f t="shared" si="71"/>
        <v>1</v>
      </c>
      <c r="BK37" s="257">
        <f t="shared" si="72"/>
        <v>8.2014503711475301E-3</v>
      </c>
      <c r="BL37" s="23">
        <f t="shared" si="73"/>
        <v>1914</v>
      </c>
      <c r="BM37" s="23">
        <f t="shared" si="74"/>
        <v>35</v>
      </c>
      <c r="BN37" s="257">
        <f t="shared" si="75"/>
        <v>0.2708550727970041</v>
      </c>
      <c r="BO37" s="466">
        <f t="shared" si="76"/>
        <v>1.8286311389759665E-2</v>
      </c>
      <c r="BP37" s="474"/>
      <c r="BQ37" s="23">
        <f t="shared" si="77"/>
        <v>814</v>
      </c>
      <c r="BR37" s="23">
        <f t="shared" si="78"/>
        <v>32</v>
      </c>
      <c r="BS37" s="23"/>
      <c r="BT37" s="23"/>
      <c r="BU37" s="466">
        <f t="shared" si="27"/>
        <v>3.9312039312039311E-2</v>
      </c>
      <c r="CA37" s="23">
        <f t="shared" si="79"/>
        <v>814</v>
      </c>
      <c r="CB37" s="23">
        <f t="shared" si="80"/>
        <v>32</v>
      </c>
      <c r="CC37" s="466">
        <f t="shared" si="81"/>
        <v>3.9312039312039311E-2</v>
      </c>
      <c r="CD37" s="509">
        <f t="shared" si="82"/>
        <v>0.24626077500000002</v>
      </c>
      <c r="CE37" s="466">
        <f t="shared" si="10"/>
        <v>1.671891327063741E-2</v>
      </c>
    </row>
    <row r="38" spans="1:83" ht="12.6" customHeight="1">
      <c r="A38" s="503" t="s">
        <v>86</v>
      </c>
      <c r="B38" s="129">
        <v>5233</v>
      </c>
      <c r="C38" s="23"/>
      <c r="D38" s="129">
        <v>400</v>
      </c>
      <c r="E38" s="129">
        <v>128</v>
      </c>
      <c r="F38" s="129">
        <v>1168.5999999999999</v>
      </c>
      <c r="G38" s="509">
        <f t="shared" si="54"/>
        <v>0.99426357759999984</v>
      </c>
      <c r="H38" s="129">
        <v>433</v>
      </c>
      <c r="I38" s="129">
        <v>663</v>
      </c>
      <c r="J38" s="129">
        <v>1019</v>
      </c>
      <c r="K38" s="509">
        <f t="shared" si="55"/>
        <v>4.5204195269999996</v>
      </c>
      <c r="L38" s="129">
        <v>500</v>
      </c>
      <c r="M38" s="129">
        <v>260</v>
      </c>
      <c r="N38" s="129">
        <v>997.3</v>
      </c>
      <c r="O38" s="509">
        <f t="shared" si="56"/>
        <v>1.7445569440000002</v>
      </c>
      <c r="P38" s="129">
        <v>500</v>
      </c>
      <c r="Q38" s="129">
        <v>346</v>
      </c>
      <c r="R38" s="129">
        <v>1007</v>
      </c>
      <c r="S38" s="509">
        <f>Q38*(R38-C38)*67.28/10^7</f>
        <v>2.3441832160000002</v>
      </c>
      <c r="T38" s="129">
        <v>400</v>
      </c>
      <c r="U38" s="129">
        <v>334</v>
      </c>
      <c r="V38" s="129">
        <v>991</v>
      </c>
      <c r="W38" s="509">
        <f t="shared" si="58"/>
        <v>2.2153428420000001</v>
      </c>
      <c r="X38" s="129">
        <v>500</v>
      </c>
      <c r="Y38" s="129">
        <v>502</v>
      </c>
      <c r="Z38" s="129">
        <v>1023</v>
      </c>
      <c r="AA38" s="509">
        <f t="shared" si="59"/>
        <v>3.4248382740000003</v>
      </c>
      <c r="AB38" s="129">
        <v>400</v>
      </c>
      <c r="AC38" s="129">
        <v>515</v>
      </c>
      <c r="AD38" s="129">
        <v>979</v>
      </c>
      <c r="AE38" s="509">
        <f t="shared" si="83"/>
        <v>3.361009623760538</v>
      </c>
      <c r="AF38" s="129">
        <v>400</v>
      </c>
      <c r="AG38" s="129">
        <v>227</v>
      </c>
      <c r="AH38" s="129">
        <v>1070</v>
      </c>
      <c r="AI38" s="509">
        <f t="shared" si="84"/>
        <v>1.6345159980978929</v>
      </c>
      <c r="AJ38" s="129">
        <v>500</v>
      </c>
      <c r="AK38" s="129">
        <v>238</v>
      </c>
      <c r="AL38" s="129">
        <v>1058</v>
      </c>
      <c r="AM38" s="509">
        <f t="shared" si="85"/>
        <v>1.7071813098828044</v>
      </c>
      <c r="AN38" s="129">
        <v>400</v>
      </c>
      <c r="AO38" s="129">
        <v>271</v>
      </c>
      <c r="AP38" s="129">
        <v>1056</v>
      </c>
      <c r="AQ38" s="509">
        <f t="shared" si="86"/>
        <v>1.9419624798959039</v>
      </c>
      <c r="AR38" s="129">
        <v>400</v>
      </c>
      <c r="AS38" s="129">
        <v>148</v>
      </c>
      <c r="AT38" s="129">
        <v>1105</v>
      </c>
      <c r="AU38" s="509">
        <f t="shared" si="87"/>
        <v>1.0936844781671322</v>
      </c>
      <c r="AV38" s="129">
        <v>400</v>
      </c>
      <c r="AW38" s="129"/>
      <c r="AX38" s="129"/>
      <c r="AY38" s="509">
        <f t="shared" si="88"/>
        <v>0</v>
      </c>
      <c r="AZ38" s="23">
        <f t="shared" si="61"/>
        <v>1333</v>
      </c>
      <c r="BA38" s="23">
        <f t="shared" si="62"/>
        <v>1051</v>
      </c>
      <c r="BB38" s="509">
        <f t="shared" si="63"/>
        <v>7.2592400485999997</v>
      </c>
      <c r="BC38" s="23">
        <f t="shared" si="64"/>
        <v>1400</v>
      </c>
      <c r="BD38" s="257">
        <f t="shared" si="65"/>
        <v>1182</v>
      </c>
      <c r="BE38" s="257">
        <f t="shared" si="66"/>
        <v>7.9843643320000002</v>
      </c>
      <c r="BF38" s="257">
        <f t="shared" si="67"/>
        <v>1300</v>
      </c>
      <c r="BG38" s="23">
        <f t="shared" si="68"/>
        <v>980</v>
      </c>
      <c r="BH38" s="257">
        <f t="shared" si="69"/>
        <v>6.7027069317412353</v>
      </c>
      <c r="BI38" s="23">
        <f t="shared" si="70"/>
        <v>1200</v>
      </c>
      <c r="BJ38" s="23">
        <f t="shared" si="71"/>
        <v>419</v>
      </c>
      <c r="BK38" s="257">
        <f t="shared" si="72"/>
        <v>3.0356469580630359</v>
      </c>
      <c r="BL38" s="23">
        <f t="shared" si="73"/>
        <v>5233</v>
      </c>
      <c r="BM38" s="23">
        <f t="shared" si="74"/>
        <v>3632</v>
      </c>
      <c r="BN38" s="257">
        <f t="shared" si="75"/>
        <v>24.981958270404274</v>
      </c>
      <c r="BO38" s="466">
        <f t="shared" si="76"/>
        <v>0.69405694630231229</v>
      </c>
      <c r="BP38" s="474"/>
      <c r="BQ38" s="23">
        <f t="shared" si="77"/>
        <v>2733</v>
      </c>
      <c r="BR38" s="23">
        <f t="shared" si="78"/>
        <v>2233</v>
      </c>
      <c r="BS38" s="23"/>
      <c r="BT38" s="23"/>
      <c r="BU38" s="466">
        <f t="shared" si="27"/>
        <v>0.8170508598609586</v>
      </c>
      <c r="CA38" s="23">
        <f t="shared" si="79"/>
        <v>2733</v>
      </c>
      <c r="CB38" s="23">
        <f t="shared" si="80"/>
        <v>2233</v>
      </c>
      <c r="CC38" s="466">
        <f t="shared" si="81"/>
        <v>0.8170508598609586</v>
      </c>
      <c r="CD38" s="509">
        <f t="shared" si="82"/>
        <v>15.243604380600001</v>
      </c>
      <c r="CE38" s="466">
        <f t="shared" ref="CE38:CE69" si="89">IFERROR(CB38/B38,0)</f>
        <v>0.42671507739346454</v>
      </c>
    </row>
    <row r="39" spans="1:83" ht="12.6" customHeight="1">
      <c r="A39" s="503" t="s">
        <v>107</v>
      </c>
      <c r="B39" s="129">
        <v>4800</v>
      </c>
      <c r="C39" s="23"/>
      <c r="D39" s="129">
        <v>400</v>
      </c>
      <c r="E39" s="129">
        <v>324</v>
      </c>
      <c r="F39" s="129">
        <v>1328</v>
      </c>
      <c r="G39" s="509">
        <f>E39*(F39-453)*66.47/10^7</f>
        <v>1.8844244999999999</v>
      </c>
      <c r="H39" s="129">
        <v>400</v>
      </c>
      <c r="I39" s="129">
        <v>814</v>
      </c>
      <c r="J39" s="129">
        <v>1396</v>
      </c>
      <c r="K39" s="509">
        <f>I39*(J39-840)*66.91/10^7</f>
        <v>3.0282395439999998</v>
      </c>
      <c r="L39" s="129">
        <v>400</v>
      </c>
      <c r="M39" s="129">
        <v>297</v>
      </c>
      <c r="N39" s="129">
        <v>1352.2</v>
      </c>
      <c r="O39" s="509">
        <f>M39*(N39-810)*67.28/10^7</f>
        <v>1.0834327152000003</v>
      </c>
      <c r="P39" s="129">
        <v>400</v>
      </c>
      <c r="Q39" s="129">
        <v>291</v>
      </c>
      <c r="R39" s="129">
        <v>1407</v>
      </c>
      <c r="S39" s="509">
        <f>Q39*(R39-808)*67.28/10^7</f>
        <v>1.1727509519999999</v>
      </c>
      <c r="T39" s="129">
        <v>400</v>
      </c>
      <c r="U39" s="129">
        <v>374</v>
      </c>
      <c r="V39" s="129">
        <v>1464</v>
      </c>
      <c r="W39" s="509">
        <f>U39*(V39-777)*66.93/10^7</f>
        <v>1.7196860340000004</v>
      </c>
      <c r="X39" s="129">
        <v>400</v>
      </c>
      <c r="Y39" s="129">
        <v>412</v>
      </c>
      <c r="Z39" s="129">
        <v>1445</v>
      </c>
      <c r="AA39" s="509">
        <f>Y39*(Z39-778)*66.69/10^7</f>
        <v>1.8326678759999997</v>
      </c>
      <c r="AB39" s="129">
        <v>400</v>
      </c>
      <c r="AC39" s="129">
        <v>484</v>
      </c>
      <c r="AD39" s="129">
        <v>1441</v>
      </c>
      <c r="AE39" s="509">
        <f>AC39*(AD39-683)*66.73/10^7</f>
        <v>2.4481368560000001</v>
      </c>
      <c r="AF39" s="129">
        <v>400</v>
      </c>
      <c r="AG39" s="129">
        <v>517</v>
      </c>
      <c r="AH39" s="129">
        <v>1475</v>
      </c>
      <c r="AI39" s="509">
        <f>AG39*(AH39-745)*67.58/10^7</f>
        <v>2.5505367800000003</v>
      </c>
      <c r="AJ39" s="129">
        <v>400</v>
      </c>
      <c r="AK39" s="129">
        <v>251</v>
      </c>
      <c r="AL39" s="129">
        <v>1380</v>
      </c>
      <c r="AM39" s="509">
        <f>AK39*(AL39-759)*67.91/10^7</f>
        <v>1.058519961</v>
      </c>
      <c r="AN39" s="129">
        <v>400</v>
      </c>
      <c r="AO39" s="129">
        <v>701</v>
      </c>
      <c r="AP39" s="129">
        <v>1586</v>
      </c>
      <c r="AQ39" s="509">
        <f>AO39*(AP39-788)*68.01/10^7</f>
        <v>3.8044657980000003</v>
      </c>
      <c r="AR39" s="129">
        <v>400</v>
      </c>
      <c r="AS39" s="129">
        <v>625</v>
      </c>
      <c r="AT39" s="129">
        <v>1653</v>
      </c>
      <c r="AU39" s="509">
        <f>AS39*(AT39-860)*67.01/10^7</f>
        <v>3.3211831250000006</v>
      </c>
      <c r="AV39" s="129">
        <v>400</v>
      </c>
      <c r="AW39" s="129"/>
      <c r="AX39" s="129"/>
      <c r="AY39" s="509">
        <f>AW39*(AX39-778)*66.69/10^7</f>
        <v>0</v>
      </c>
      <c r="AZ39" s="23">
        <f t="shared" si="61"/>
        <v>1200</v>
      </c>
      <c r="BA39" s="23">
        <f t="shared" si="62"/>
        <v>1435</v>
      </c>
      <c r="BB39" s="509">
        <f t="shared" si="63"/>
        <v>5.9960967592000003</v>
      </c>
      <c r="BC39" s="23">
        <f t="shared" si="64"/>
        <v>1200</v>
      </c>
      <c r="BD39" s="257">
        <f t="shared" si="65"/>
        <v>1077</v>
      </c>
      <c r="BE39" s="257">
        <f t="shared" si="66"/>
        <v>4.7251048620000002</v>
      </c>
      <c r="BF39" s="257">
        <f t="shared" si="67"/>
        <v>1200</v>
      </c>
      <c r="BG39" s="23">
        <f t="shared" si="68"/>
        <v>1252</v>
      </c>
      <c r="BH39" s="257">
        <f t="shared" si="69"/>
        <v>6.0571935970000004</v>
      </c>
      <c r="BI39" s="23">
        <f t="shared" si="70"/>
        <v>1200</v>
      </c>
      <c r="BJ39" s="23">
        <f t="shared" si="71"/>
        <v>1326</v>
      </c>
      <c r="BK39" s="257">
        <f t="shared" si="72"/>
        <v>7.1256489230000009</v>
      </c>
      <c r="BL39" s="23">
        <f t="shared" si="73"/>
        <v>4800</v>
      </c>
      <c r="BM39" s="23">
        <f t="shared" si="74"/>
        <v>5090</v>
      </c>
      <c r="BN39" s="257">
        <f t="shared" si="75"/>
        <v>23.9040441412</v>
      </c>
      <c r="BO39" s="466">
        <f t="shared" si="76"/>
        <v>1.0604166666666666</v>
      </c>
      <c r="BP39" s="474"/>
      <c r="BQ39" s="23">
        <f t="shared" si="77"/>
        <v>2400</v>
      </c>
      <c r="BR39" s="23">
        <f t="shared" si="78"/>
        <v>2512</v>
      </c>
      <c r="BS39" s="23"/>
      <c r="BT39" s="23"/>
      <c r="BU39" s="466">
        <f t="shared" si="27"/>
        <v>1.0466666666666666</v>
      </c>
      <c r="CA39" s="23">
        <f t="shared" si="79"/>
        <v>2400</v>
      </c>
      <c r="CB39" s="23">
        <f t="shared" si="80"/>
        <v>2512</v>
      </c>
      <c r="CC39" s="466">
        <f t="shared" si="81"/>
        <v>1.0466666666666666</v>
      </c>
      <c r="CD39" s="509">
        <f t="shared" si="82"/>
        <v>10.721201621200001</v>
      </c>
      <c r="CE39" s="466">
        <f t="shared" si="89"/>
        <v>0.52333333333333332</v>
      </c>
    </row>
    <row r="40" spans="1:83" ht="12.6" customHeight="1">
      <c r="A40" s="254" t="s">
        <v>40</v>
      </c>
      <c r="B40" s="129">
        <v>2700</v>
      </c>
      <c r="C40" s="23"/>
      <c r="D40" s="129">
        <v>300</v>
      </c>
      <c r="E40" s="129">
        <v>513</v>
      </c>
      <c r="F40" s="129">
        <v>2402.5</v>
      </c>
      <c r="G40" s="509">
        <f>E40*(F40-1787)*66.47/10^7</f>
        <v>2.0988002204999998</v>
      </c>
      <c r="H40" s="129">
        <v>300</v>
      </c>
      <c r="I40" s="129">
        <v>386</v>
      </c>
      <c r="J40" s="129">
        <v>2446</v>
      </c>
      <c r="K40" s="509">
        <f>I40*(J40-2036)*66.91/10^7</f>
        <v>1.0589176599999999</v>
      </c>
      <c r="L40" s="129">
        <v>300</v>
      </c>
      <c r="M40" s="129">
        <v>410</v>
      </c>
      <c r="N40" s="129">
        <v>2382.1999999999998</v>
      </c>
      <c r="O40" s="509">
        <f>M40*(N40-2222)*67.28/10^7</f>
        <v>0.44190849599999954</v>
      </c>
      <c r="P40" s="129">
        <v>200</v>
      </c>
      <c r="Q40" s="129">
        <v>410</v>
      </c>
      <c r="R40" s="129">
        <v>2664</v>
      </c>
      <c r="S40" s="509">
        <f>Q40*(R40-2295)*67.28/10^7</f>
        <v>1.0178791199999999</v>
      </c>
      <c r="T40" s="129">
        <v>200</v>
      </c>
      <c r="U40" s="129">
        <v>295</v>
      </c>
      <c r="V40" s="129">
        <v>2769</v>
      </c>
      <c r="W40" s="509">
        <f>U40*(V40-2196)*66.93/10^7</f>
        <v>1.131351255</v>
      </c>
      <c r="X40" s="129">
        <v>200</v>
      </c>
      <c r="Y40" s="129">
        <v>96</v>
      </c>
      <c r="Z40" s="129">
        <v>2783</v>
      </c>
      <c r="AA40" s="509">
        <f>Y40*(Z40-2191)*66.69/10^7</f>
        <v>0.37901260800000003</v>
      </c>
      <c r="AB40" s="129">
        <v>200</v>
      </c>
      <c r="AC40" s="129"/>
      <c r="AD40" s="129"/>
      <c r="AE40" s="509">
        <f>AC40*(AD40-2191)*66.73/10^7</f>
        <v>0</v>
      </c>
      <c r="AF40" s="129">
        <v>200</v>
      </c>
      <c r="AG40" s="129"/>
      <c r="AH40" s="129"/>
      <c r="AI40" s="509">
        <f>AG40*(AH40-2191)*67.58/10^7</f>
        <v>0</v>
      </c>
      <c r="AJ40" s="129">
        <v>200</v>
      </c>
      <c r="AK40" s="129">
        <v>1</v>
      </c>
      <c r="AL40" s="129">
        <v>3313</v>
      </c>
      <c r="AM40" s="509">
        <f>AK40*(AL40-2137)*67.91/10^7</f>
        <v>7.9862159999999991E-3</v>
      </c>
      <c r="AN40" s="129">
        <v>200</v>
      </c>
      <c r="AO40" s="129">
        <v>205</v>
      </c>
      <c r="AP40" s="129">
        <v>2675</v>
      </c>
      <c r="AQ40" s="509">
        <f>AO40*(AP40-2125)*68.01/10^7</f>
        <v>0.76681275000000004</v>
      </c>
      <c r="AR40" s="129">
        <v>200</v>
      </c>
      <c r="AS40" s="129">
        <v>77</v>
      </c>
      <c r="AT40" s="129">
        <v>2716</v>
      </c>
      <c r="AU40" s="509">
        <f>AS40*(AT40-2160)*67.01/10^7</f>
        <v>0.286883212</v>
      </c>
      <c r="AV40" s="129">
        <v>200</v>
      </c>
      <c r="AW40" s="129"/>
      <c r="AX40" s="129"/>
      <c r="AY40" s="509">
        <f>AW40*(AX40-2191)*66.69/10^7</f>
        <v>0</v>
      </c>
      <c r="AZ40" s="23">
        <f t="shared" si="61"/>
        <v>900</v>
      </c>
      <c r="BA40" s="23">
        <f t="shared" si="62"/>
        <v>1309</v>
      </c>
      <c r="BB40" s="509">
        <f t="shared" si="63"/>
        <v>3.5996263764999994</v>
      </c>
      <c r="BC40" s="23">
        <f t="shared" si="64"/>
        <v>600</v>
      </c>
      <c r="BD40" s="257">
        <f t="shared" si="65"/>
        <v>801</v>
      </c>
      <c r="BE40" s="257">
        <f t="shared" si="66"/>
        <v>2.5282429830000002</v>
      </c>
      <c r="BF40" s="257">
        <f t="shared" si="67"/>
        <v>600</v>
      </c>
      <c r="BG40" s="23">
        <f t="shared" si="68"/>
        <v>1</v>
      </c>
      <c r="BH40" s="257">
        <f t="shared" si="69"/>
        <v>7.9862159999999991E-3</v>
      </c>
      <c r="BI40" s="23">
        <f t="shared" si="70"/>
        <v>600</v>
      </c>
      <c r="BJ40" s="23">
        <f t="shared" si="71"/>
        <v>282</v>
      </c>
      <c r="BK40" s="257">
        <f t="shared" si="72"/>
        <v>1.0536959619999999</v>
      </c>
      <c r="BL40" s="23">
        <f t="shared" si="73"/>
        <v>2700</v>
      </c>
      <c r="BM40" s="23">
        <f t="shared" si="74"/>
        <v>2393</v>
      </c>
      <c r="BN40" s="257">
        <f t="shared" si="75"/>
        <v>7.1895515374999999</v>
      </c>
      <c r="BO40" s="466">
        <f t="shared" si="76"/>
        <v>0.88629629629629625</v>
      </c>
      <c r="BP40" s="494"/>
      <c r="BQ40" s="23">
        <f t="shared" si="77"/>
        <v>1500</v>
      </c>
      <c r="BR40" s="23">
        <f t="shared" si="78"/>
        <v>2110</v>
      </c>
      <c r="BS40" s="23"/>
      <c r="BT40" s="23"/>
      <c r="BU40" s="466">
        <f t="shared" si="27"/>
        <v>1.4066666666666667</v>
      </c>
      <c r="CA40" s="23">
        <f t="shared" si="79"/>
        <v>1500</v>
      </c>
      <c r="CB40" s="23">
        <f t="shared" si="80"/>
        <v>2110</v>
      </c>
      <c r="CC40" s="466">
        <f t="shared" si="81"/>
        <v>1.4066666666666667</v>
      </c>
      <c r="CD40" s="509">
        <f t="shared" si="82"/>
        <v>6.1278693595</v>
      </c>
      <c r="CE40" s="466">
        <f t="shared" si="89"/>
        <v>0.78148148148148144</v>
      </c>
    </row>
    <row r="41" spans="1:83" ht="12.6" customHeight="1">
      <c r="A41" s="254" t="s">
        <v>30</v>
      </c>
      <c r="B41" s="129">
        <v>0</v>
      </c>
      <c r="C41" s="23"/>
      <c r="D41" s="129"/>
      <c r="E41" s="129"/>
      <c r="F41" s="129"/>
      <c r="G41" s="509">
        <f t="shared" si="54"/>
        <v>0</v>
      </c>
      <c r="H41" s="129"/>
      <c r="I41" s="129"/>
      <c r="J41" s="129"/>
      <c r="K41" s="509">
        <f t="shared" si="55"/>
        <v>0</v>
      </c>
      <c r="L41" s="129"/>
      <c r="M41" s="129"/>
      <c r="N41" s="129"/>
      <c r="O41" s="509">
        <f t="shared" si="56"/>
        <v>0</v>
      </c>
      <c r="P41" s="129"/>
      <c r="Q41" s="129"/>
      <c r="R41" s="129"/>
      <c r="S41" s="509">
        <f t="shared" ref="S41:S53" si="90">Q41*(R41-C41)*67.28/10^7</f>
        <v>0</v>
      </c>
      <c r="T41" s="129"/>
      <c r="U41" s="129"/>
      <c r="V41" s="129"/>
      <c r="W41" s="509">
        <f t="shared" si="58"/>
        <v>0</v>
      </c>
      <c r="X41" s="129"/>
      <c r="Y41" s="129"/>
      <c r="Z41" s="129"/>
      <c r="AA41" s="509">
        <f t="shared" si="59"/>
        <v>0</v>
      </c>
      <c r="AB41" s="129"/>
      <c r="AC41" s="129"/>
      <c r="AD41" s="129"/>
      <c r="AE41" s="509">
        <f t="shared" ref="AE41:AE46" si="91">AC41*(AD41-G41)*66.73/10^7</f>
        <v>0</v>
      </c>
      <c r="AF41" s="129"/>
      <c r="AG41" s="129"/>
      <c r="AH41" s="129"/>
      <c r="AI41" s="509">
        <f t="shared" ref="AI41:AI46" si="92">AG41*(AH41-K41)*67.58/10^7</f>
        <v>0</v>
      </c>
      <c r="AJ41" s="129"/>
      <c r="AK41" s="129"/>
      <c r="AL41" s="129"/>
      <c r="AM41" s="509">
        <f t="shared" ref="AM41:AM46" si="93">AK41*(AL41-O41)*67.91/10^7</f>
        <v>0</v>
      </c>
      <c r="AN41" s="129"/>
      <c r="AO41" s="129">
        <v>1</v>
      </c>
      <c r="AP41" s="129">
        <v>4143</v>
      </c>
      <c r="AQ41" s="509">
        <f t="shared" ref="AQ41:AQ46" si="94">AO41*(AP41-S41)*68.01/10^7</f>
        <v>2.8176542999999998E-2</v>
      </c>
      <c r="AR41" s="129"/>
      <c r="AS41" s="129"/>
      <c r="AT41" s="129"/>
      <c r="AU41" s="509">
        <f t="shared" ref="AU41:AU46" si="95">AS41*(AT41-W41)*67.01/10^7</f>
        <v>0</v>
      </c>
      <c r="AV41" s="129"/>
      <c r="AW41" s="129"/>
      <c r="AX41" s="129"/>
      <c r="AY41" s="509">
        <f t="shared" ref="AY41:AY46" si="96">AW41*(AX41-AA41)*66.69/10^7</f>
        <v>0</v>
      </c>
      <c r="AZ41" s="23">
        <f t="shared" si="61"/>
        <v>0</v>
      </c>
      <c r="BA41" s="23">
        <f t="shared" si="62"/>
        <v>0</v>
      </c>
      <c r="BB41" s="509">
        <f t="shared" si="63"/>
        <v>0</v>
      </c>
      <c r="BC41" s="23">
        <f t="shared" si="64"/>
        <v>0</v>
      </c>
      <c r="BD41" s="257">
        <f t="shared" si="65"/>
        <v>0</v>
      </c>
      <c r="BE41" s="257">
        <f t="shared" si="66"/>
        <v>0</v>
      </c>
      <c r="BF41" s="257">
        <f t="shared" si="67"/>
        <v>0</v>
      </c>
      <c r="BG41" s="23">
        <f t="shared" si="68"/>
        <v>0</v>
      </c>
      <c r="BH41" s="257">
        <f t="shared" si="69"/>
        <v>0</v>
      </c>
      <c r="BI41" s="23">
        <f t="shared" si="70"/>
        <v>0</v>
      </c>
      <c r="BJ41" s="23">
        <f t="shared" si="71"/>
        <v>1</v>
      </c>
      <c r="BK41" s="257">
        <f t="shared" si="72"/>
        <v>2.8176542999999998E-2</v>
      </c>
      <c r="BL41" s="23">
        <f t="shared" si="73"/>
        <v>0</v>
      </c>
      <c r="BM41" s="23">
        <f t="shared" si="74"/>
        <v>1</v>
      </c>
      <c r="BN41" s="257">
        <f t="shared" si="75"/>
        <v>2.8176542999999998E-2</v>
      </c>
      <c r="BO41" s="466">
        <f t="shared" si="76"/>
        <v>0</v>
      </c>
      <c r="BP41" s="474"/>
      <c r="BQ41" s="23">
        <f t="shared" si="77"/>
        <v>0</v>
      </c>
      <c r="BR41" s="23">
        <f t="shared" si="78"/>
        <v>0</v>
      </c>
      <c r="BS41" s="23"/>
      <c r="BT41" s="23"/>
      <c r="BU41" s="466">
        <f t="shared" si="27"/>
        <v>0</v>
      </c>
      <c r="CA41" s="23">
        <f t="shared" si="79"/>
        <v>0</v>
      </c>
      <c r="CB41" s="23">
        <f t="shared" si="80"/>
        <v>0</v>
      </c>
      <c r="CC41" s="466">
        <f t="shared" si="81"/>
        <v>0</v>
      </c>
      <c r="CD41" s="509">
        <f t="shared" si="82"/>
        <v>0</v>
      </c>
      <c r="CE41" s="466">
        <f t="shared" si="89"/>
        <v>0</v>
      </c>
    </row>
    <row r="42" spans="1:83" ht="12.6" customHeight="1">
      <c r="A42" s="254" t="s">
        <v>120</v>
      </c>
      <c r="B42" s="129">
        <v>0</v>
      </c>
      <c r="C42" s="23"/>
      <c r="D42" s="129"/>
      <c r="E42" s="129"/>
      <c r="F42" s="129"/>
      <c r="G42" s="509">
        <f t="shared" si="54"/>
        <v>0</v>
      </c>
      <c r="H42" s="129"/>
      <c r="I42" s="129"/>
      <c r="J42" s="129"/>
      <c r="K42" s="509">
        <f t="shared" si="55"/>
        <v>0</v>
      </c>
      <c r="L42" s="129"/>
      <c r="M42" s="129"/>
      <c r="N42" s="129"/>
      <c r="O42" s="509">
        <f t="shared" si="56"/>
        <v>0</v>
      </c>
      <c r="P42" s="129"/>
      <c r="Q42" s="129"/>
      <c r="R42" s="129"/>
      <c r="S42" s="509">
        <f t="shared" si="90"/>
        <v>0</v>
      </c>
      <c r="T42" s="129"/>
      <c r="U42" s="129"/>
      <c r="V42" s="129"/>
      <c r="W42" s="509">
        <f t="shared" si="58"/>
        <v>0</v>
      </c>
      <c r="X42" s="129"/>
      <c r="Y42" s="129"/>
      <c r="Z42" s="129"/>
      <c r="AA42" s="509">
        <f t="shared" si="59"/>
        <v>0</v>
      </c>
      <c r="AB42" s="129"/>
      <c r="AC42" s="129"/>
      <c r="AD42" s="129"/>
      <c r="AE42" s="509">
        <f t="shared" si="91"/>
        <v>0</v>
      </c>
      <c r="AF42" s="129"/>
      <c r="AG42" s="129"/>
      <c r="AH42" s="129"/>
      <c r="AI42" s="509">
        <f t="shared" si="92"/>
        <v>0</v>
      </c>
      <c r="AJ42" s="129"/>
      <c r="AK42" s="129"/>
      <c r="AL42" s="129"/>
      <c r="AM42" s="509">
        <f t="shared" si="93"/>
        <v>0</v>
      </c>
      <c r="AN42" s="129"/>
      <c r="AO42" s="129"/>
      <c r="AP42" s="129"/>
      <c r="AQ42" s="509">
        <f t="shared" si="94"/>
        <v>0</v>
      </c>
      <c r="AR42" s="129"/>
      <c r="AS42" s="129"/>
      <c r="AT42" s="129"/>
      <c r="AU42" s="509">
        <f t="shared" si="95"/>
        <v>0</v>
      </c>
      <c r="AV42" s="129"/>
      <c r="AW42" s="129"/>
      <c r="AX42" s="129"/>
      <c r="AY42" s="509">
        <f t="shared" si="96"/>
        <v>0</v>
      </c>
      <c r="AZ42" s="23">
        <f t="shared" si="61"/>
        <v>0</v>
      </c>
      <c r="BA42" s="23">
        <f t="shared" si="62"/>
        <v>0</v>
      </c>
      <c r="BB42" s="509">
        <f t="shared" si="63"/>
        <v>0</v>
      </c>
      <c r="BC42" s="23">
        <f t="shared" si="64"/>
        <v>0</v>
      </c>
      <c r="BD42" s="257">
        <f t="shared" si="65"/>
        <v>0</v>
      </c>
      <c r="BE42" s="257">
        <f t="shared" si="66"/>
        <v>0</v>
      </c>
      <c r="BF42" s="257">
        <f t="shared" si="67"/>
        <v>0</v>
      </c>
      <c r="BG42" s="23">
        <f t="shared" si="68"/>
        <v>0</v>
      </c>
      <c r="BH42" s="257">
        <f t="shared" si="69"/>
        <v>0</v>
      </c>
      <c r="BI42" s="23">
        <f t="shared" si="70"/>
        <v>0</v>
      </c>
      <c r="BJ42" s="23">
        <f t="shared" si="71"/>
        <v>0</v>
      </c>
      <c r="BK42" s="257">
        <f t="shared" si="72"/>
        <v>0</v>
      </c>
      <c r="BL42" s="23">
        <f t="shared" si="73"/>
        <v>0</v>
      </c>
      <c r="BM42" s="23">
        <f t="shared" si="74"/>
        <v>0</v>
      </c>
      <c r="BN42" s="257">
        <f t="shared" si="75"/>
        <v>0</v>
      </c>
      <c r="BO42" s="466">
        <f t="shared" si="76"/>
        <v>0</v>
      </c>
      <c r="BP42" s="474"/>
      <c r="BQ42" s="23">
        <f t="shared" si="77"/>
        <v>0</v>
      </c>
      <c r="BR42" s="23">
        <f t="shared" si="78"/>
        <v>0</v>
      </c>
      <c r="BS42" s="23"/>
      <c r="BT42" s="23"/>
      <c r="BU42" s="466">
        <f t="shared" si="27"/>
        <v>0</v>
      </c>
      <c r="CA42" s="23">
        <f t="shared" si="79"/>
        <v>0</v>
      </c>
      <c r="CB42" s="23">
        <f t="shared" si="80"/>
        <v>0</v>
      </c>
      <c r="CC42" s="466">
        <f t="shared" si="81"/>
        <v>0</v>
      </c>
      <c r="CD42" s="509">
        <f t="shared" si="82"/>
        <v>0</v>
      </c>
      <c r="CE42" s="466">
        <f t="shared" si="89"/>
        <v>0</v>
      </c>
    </row>
    <row r="43" spans="1:83" ht="12.6" customHeight="1">
      <c r="A43" s="503" t="s">
        <v>36</v>
      </c>
      <c r="B43" s="129">
        <v>0</v>
      </c>
      <c r="C43" s="23"/>
      <c r="D43" s="129"/>
      <c r="E43" s="129"/>
      <c r="F43" s="129"/>
      <c r="G43" s="509">
        <f t="shared" si="54"/>
        <v>0</v>
      </c>
      <c r="H43" s="129"/>
      <c r="I43" s="129"/>
      <c r="J43" s="129"/>
      <c r="K43" s="509">
        <f t="shared" si="55"/>
        <v>0</v>
      </c>
      <c r="L43" s="129"/>
      <c r="M43" s="129"/>
      <c r="N43" s="129"/>
      <c r="O43" s="509">
        <f t="shared" si="56"/>
        <v>0</v>
      </c>
      <c r="P43" s="129"/>
      <c r="Q43" s="129"/>
      <c r="R43" s="129"/>
      <c r="S43" s="509">
        <f t="shared" si="90"/>
        <v>0</v>
      </c>
      <c r="T43" s="129"/>
      <c r="U43" s="129"/>
      <c r="V43" s="129"/>
      <c r="W43" s="509">
        <f t="shared" si="58"/>
        <v>0</v>
      </c>
      <c r="X43" s="129"/>
      <c r="Y43" s="129"/>
      <c r="Z43" s="129"/>
      <c r="AA43" s="509">
        <f t="shared" si="59"/>
        <v>0</v>
      </c>
      <c r="AB43" s="129"/>
      <c r="AC43" s="129"/>
      <c r="AD43" s="129"/>
      <c r="AE43" s="509">
        <f t="shared" si="91"/>
        <v>0</v>
      </c>
      <c r="AF43" s="129"/>
      <c r="AG43" s="129"/>
      <c r="AH43" s="129"/>
      <c r="AI43" s="509">
        <f t="shared" si="92"/>
        <v>0</v>
      </c>
      <c r="AJ43" s="129"/>
      <c r="AK43" s="129"/>
      <c r="AL43" s="129"/>
      <c r="AM43" s="509">
        <f t="shared" si="93"/>
        <v>0</v>
      </c>
      <c r="AN43" s="129"/>
      <c r="AO43" s="129"/>
      <c r="AP43" s="129"/>
      <c r="AQ43" s="509">
        <f t="shared" si="94"/>
        <v>0</v>
      </c>
      <c r="AR43" s="129"/>
      <c r="AS43" s="129"/>
      <c r="AT43" s="129"/>
      <c r="AU43" s="509">
        <f t="shared" si="95"/>
        <v>0</v>
      </c>
      <c r="AV43" s="129"/>
      <c r="AW43" s="129"/>
      <c r="AX43" s="129"/>
      <c r="AY43" s="509">
        <f t="shared" si="96"/>
        <v>0</v>
      </c>
      <c r="AZ43" s="23">
        <f t="shared" si="61"/>
        <v>0</v>
      </c>
      <c r="BA43" s="23">
        <f t="shared" si="62"/>
        <v>0</v>
      </c>
      <c r="BB43" s="509">
        <f t="shared" si="63"/>
        <v>0</v>
      </c>
      <c r="BC43" s="23">
        <f t="shared" si="64"/>
        <v>0</v>
      </c>
      <c r="BD43" s="257">
        <f t="shared" si="65"/>
        <v>0</v>
      </c>
      <c r="BE43" s="257">
        <f t="shared" si="66"/>
        <v>0</v>
      </c>
      <c r="BF43" s="257">
        <f t="shared" si="67"/>
        <v>0</v>
      </c>
      <c r="BG43" s="23">
        <f t="shared" si="68"/>
        <v>0</v>
      </c>
      <c r="BH43" s="257">
        <f t="shared" si="69"/>
        <v>0</v>
      </c>
      <c r="BI43" s="23">
        <f t="shared" si="70"/>
        <v>0</v>
      </c>
      <c r="BJ43" s="23">
        <f t="shared" si="71"/>
        <v>0</v>
      </c>
      <c r="BK43" s="257">
        <f t="shared" si="72"/>
        <v>0</v>
      </c>
      <c r="BL43" s="23">
        <f t="shared" si="73"/>
        <v>0</v>
      </c>
      <c r="BM43" s="23">
        <f t="shared" si="74"/>
        <v>0</v>
      </c>
      <c r="BN43" s="257">
        <f t="shared" si="75"/>
        <v>0</v>
      </c>
      <c r="BO43" s="466">
        <f t="shared" si="76"/>
        <v>0</v>
      </c>
      <c r="BP43" s="474"/>
      <c r="BQ43" s="23">
        <f t="shared" si="77"/>
        <v>0</v>
      </c>
      <c r="BR43" s="23">
        <f t="shared" si="78"/>
        <v>0</v>
      </c>
      <c r="BS43" s="23"/>
      <c r="BT43" s="23"/>
      <c r="BU43" s="466">
        <f t="shared" si="27"/>
        <v>0</v>
      </c>
      <c r="CA43" s="23">
        <f t="shared" si="79"/>
        <v>0</v>
      </c>
      <c r="CB43" s="23">
        <f t="shared" si="80"/>
        <v>0</v>
      </c>
      <c r="CC43" s="466">
        <f t="shared" si="81"/>
        <v>0</v>
      </c>
      <c r="CD43" s="509">
        <f t="shared" si="82"/>
        <v>0</v>
      </c>
      <c r="CE43" s="466">
        <f t="shared" si="89"/>
        <v>0</v>
      </c>
    </row>
    <row r="44" spans="1:83" ht="12.6" customHeight="1">
      <c r="A44" s="503" t="s">
        <v>53</v>
      </c>
      <c r="B44" s="129">
        <v>0</v>
      </c>
      <c r="C44" s="23"/>
      <c r="D44" s="129"/>
      <c r="E44" s="129"/>
      <c r="F44" s="129"/>
      <c r="G44" s="509">
        <f t="shared" si="54"/>
        <v>0</v>
      </c>
      <c r="H44" s="129"/>
      <c r="I44" s="129"/>
      <c r="J44" s="129"/>
      <c r="K44" s="509">
        <f t="shared" si="55"/>
        <v>0</v>
      </c>
      <c r="L44" s="129"/>
      <c r="M44" s="129"/>
      <c r="N44" s="129"/>
      <c r="O44" s="509">
        <f t="shared" si="56"/>
        <v>0</v>
      </c>
      <c r="P44" s="129"/>
      <c r="Q44" s="129"/>
      <c r="R44" s="129"/>
      <c r="S44" s="509">
        <f t="shared" si="90"/>
        <v>0</v>
      </c>
      <c r="T44" s="129"/>
      <c r="U44" s="129"/>
      <c r="V44" s="129"/>
      <c r="W44" s="509">
        <f t="shared" si="58"/>
        <v>0</v>
      </c>
      <c r="X44" s="129"/>
      <c r="Y44" s="129"/>
      <c r="Z44" s="129"/>
      <c r="AA44" s="509">
        <f t="shared" si="59"/>
        <v>0</v>
      </c>
      <c r="AB44" s="129"/>
      <c r="AC44" s="129"/>
      <c r="AD44" s="129"/>
      <c r="AE44" s="509">
        <f t="shared" si="91"/>
        <v>0</v>
      </c>
      <c r="AF44" s="129"/>
      <c r="AG44" s="129"/>
      <c r="AH44" s="129"/>
      <c r="AI44" s="509">
        <f t="shared" si="92"/>
        <v>0</v>
      </c>
      <c r="AJ44" s="129"/>
      <c r="AK44" s="129"/>
      <c r="AL44" s="129"/>
      <c r="AM44" s="509">
        <f t="shared" si="93"/>
        <v>0</v>
      </c>
      <c r="AN44" s="129"/>
      <c r="AO44" s="129"/>
      <c r="AP44" s="129"/>
      <c r="AQ44" s="509">
        <f t="shared" si="94"/>
        <v>0</v>
      </c>
      <c r="AR44" s="129"/>
      <c r="AS44" s="129"/>
      <c r="AT44" s="129"/>
      <c r="AU44" s="509">
        <f t="shared" si="95"/>
        <v>0</v>
      </c>
      <c r="AV44" s="129"/>
      <c r="AW44" s="129"/>
      <c r="AX44" s="129"/>
      <c r="AY44" s="509">
        <f t="shared" si="96"/>
        <v>0</v>
      </c>
      <c r="AZ44" s="23">
        <f t="shared" si="61"/>
        <v>0</v>
      </c>
      <c r="BA44" s="23">
        <f t="shared" si="62"/>
        <v>0</v>
      </c>
      <c r="BB44" s="509">
        <f t="shared" si="63"/>
        <v>0</v>
      </c>
      <c r="BC44" s="23">
        <f t="shared" si="64"/>
        <v>0</v>
      </c>
      <c r="BD44" s="257">
        <f t="shared" si="65"/>
        <v>0</v>
      </c>
      <c r="BE44" s="257">
        <f t="shared" si="66"/>
        <v>0</v>
      </c>
      <c r="BF44" s="257">
        <f t="shared" si="67"/>
        <v>0</v>
      </c>
      <c r="BG44" s="23">
        <f t="shared" si="68"/>
        <v>0</v>
      </c>
      <c r="BH44" s="257">
        <f t="shared" si="69"/>
        <v>0</v>
      </c>
      <c r="BI44" s="23">
        <f t="shared" si="70"/>
        <v>0</v>
      </c>
      <c r="BJ44" s="23">
        <f t="shared" si="71"/>
        <v>0</v>
      </c>
      <c r="BK44" s="257">
        <f t="shared" si="72"/>
        <v>0</v>
      </c>
      <c r="BL44" s="23">
        <f t="shared" si="73"/>
        <v>0</v>
      </c>
      <c r="BM44" s="23">
        <f t="shared" si="74"/>
        <v>0</v>
      </c>
      <c r="BN44" s="257">
        <f t="shared" si="75"/>
        <v>0</v>
      </c>
      <c r="BO44" s="466">
        <f t="shared" si="76"/>
        <v>0</v>
      </c>
      <c r="BP44" s="474"/>
      <c r="BQ44" s="23">
        <f t="shared" si="77"/>
        <v>0</v>
      </c>
      <c r="BR44" s="23">
        <f t="shared" si="78"/>
        <v>0</v>
      </c>
      <c r="BS44" s="23"/>
      <c r="BT44" s="23"/>
      <c r="BU44" s="466">
        <f t="shared" si="27"/>
        <v>0</v>
      </c>
      <c r="CA44" s="23">
        <f t="shared" si="79"/>
        <v>0</v>
      </c>
      <c r="CB44" s="23">
        <f t="shared" si="80"/>
        <v>0</v>
      </c>
      <c r="CC44" s="466">
        <f t="shared" si="81"/>
        <v>0</v>
      </c>
      <c r="CD44" s="509">
        <f t="shared" si="82"/>
        <v>0</v>
      </c>
      <c r="CE44" s="466">
        <f t="shared" si="89"/>
        <v>0</v>
      </c>
    </row>
    <row r="45" spans="1:83" ht="12.6" customHeight="1">
      <c r="A45" s="505" t="s">
        <v>124</v>
      </c>
      <c r="B45" s="129">
        <v>2400</v>
      </c>
      <c r="C45" s="23">
        <v>62.214285714285715</v>
      </c>
      <c r="D45" s="129">
        <v>200</v>
      </c>
      <c r="E45" s="129">
        <v>108</v>
      </c>
      <c r="F45" s="129">
        <v>980</v>
      </c>
      <c r="G45" s="509">
        <f t="shared" si="54"/>
        <v>0.65885633742857141</v>
      </c>
      <c r="H45" s="129">
        <v>200</v>
      </c>
      <c r="I45" s="129">
        <v>90</v>
      </c>
      <c r="J45" s="129">
        <v>996.6</v>
      </c>
      <c r="K45" s="509">
        <f t="shared" si="55"/>
        <v>0.56267773328571435</v>
      </c>
      <c r="L45" s="129">
        <v>200</v>
      </c>
      <c r="M45" s="129">
        <v>235</v>
      </c>
      <c r="N45" s="129">
        <v>967.6</v>
      </c>
      <c r="O45" s="509">
        <f t="shared" si="56"/>
        <v>1.4314872451428571</v>
      </c>
      <c r="P45" s="129">
        <v>200</v>
      </c>
      <c r="Q45" s="129">
        <v>105</v>
      </c>
      <c r="R45" s="129">
        <v>1010</v>
      </c>
      <c r="S45" s="509">
        <f t="shared" si="90"/>
        <v>0.66955374000000001</v>
      </c>
      <c r="T45" s="129">
        <v>200</v>
      </c>
      <c r="U45" s="129">
        <v>26</v>
      </c>
      <c r="V45" s="129">
        <v>994</v>
      </c>
      <c r="W45" s="509">
        <f t="shared" si="58"/>
        <v>0.16214748642857144</v>
      </c>
      <c r="X45" s="129">
        <v>200</v>
      </c>
      <c r="Y45" s="129">
        <v>103</v>
      </c>
      <c r="Z45" s="129">
        <v>1065</v>
      </c>
      <c r="AA45" s="509">
        <f t="shared" si="59"/>
        <v>0.6888205266428572</v>
      </c>
      <c r="AB45" s="129">
        <v>200</v>
      </c>
      <c r="AC45" s="129">
        <v>104</v>
      </c>
      <c r="AD45" s="129">
        <v>1019</v>
      </c>
      <c r="AE45" s="509">
        <f t="shared" si="91"/>
        <v>0.70672060697267536</v>
      </c>
      <c r="AF45" s="129">
        <v>200</v>
      </c>
      <c r="AG45" s="129">
        <v>156</v>
      </c>
      <c r="AH45" s="129">
        <v>1055</v>
      </c>
      <c r="AI45" s="509">
        <f t="shared" si="92"/>
        <v>1.111638438125039</v>
      </c>
      <c r="AJ45" s="129">
        <v>200</v>
      </c>
      <c r="AK45" s="129"/>
      <c r="AL45" s="129"/>
      <c r="AM45" s="509">
        <f t="shared" si="93"/>
        <v>0</v>
      </c>
      <c r="AN45" s="129">
        <v>200</v>
      </c>
      <c r="AO45" s="129">
        <v>207</v>
      </c>
      <c r="AP45" s="129">
        <v>1044</v>
      </c>
      <c r="AQ45" s="509">
        <f t="shared" si="94"/>
        <v>1.4688079055579517</v>
      </c>
      <c r="AR45" s="129">
        <v>200</v>
      </c>
      <c r="AS45" s="129">
        <v>173</v>
      </c>
      <c r="AT45" s="129">
        <v>1080</v>
      </c>
      <c r="AU45" s="509">
        <f t="shared" si="95"/>
        <v>1.2518268667969656</v>
      </c>
      <c r="AV45" s="129">
        <v>200</v>
      </c>
      <c r="AW45" s="129"/>
      <c r="AX45" s="129"/>
      <c r="AY45" s="509">
        <f t="shared" si="96"/>
        <v>0</v>
      </c>
      <c r="AZ45" s="23">
        <f t="shared" si="61"/>
        <v>600</v>
      </c>
      <c r="BA45" s="23">
        <f t="shared" si="62"/>
        <v>433</v>
      </c>
      <c r="BB45" s="509">
        <f t="shared" si="63"/>
        <v>2.653021315857143</v>
      </c>
      <c r="BC45" s="23">
        <f t="shared" si="64"/>
        <v>600</v>
      </c>
      <c r="BD45" s="257">
        <f t="shared" si="65"/>
        <v>234</v>
      </c>
      <c r="BE45" s="257">
        <f t="shared" si="66"/>
        <v>1.5205217530714288</v>
      </c>
      <c r="BF45" s="257">
        <f t="shared" si="67"/>
        <v>600</v>
      </c>
      <c r="BG45" s="23">
        <f t="shared" si="68"/>
        <v>260</v>
      </c>
      <c r="BH45" s="257">
        <f t="shared" si="69"/>
        <v>1.8183590450977145</v>
      </c>
      <c r="BI45" s="23">
        <f t="shared" si="70"/>
        <v>600</v>
      </c>
      <c r="BJ45" s="23">
        <f t="shared" si="71"/>
        <v>380</v>
      </c>
      <c r="BK45" s="257">
        <f t="shared" si="72"/>
        <v>2.7206347723549174</v>
      </c>
      <c r="BL45" s="23">
        <f t="shared" si="73"/>
        <v>2400</v>
      </c>
      <c r="BM45" s="23">
        <f t="shared" si="74"/>
        <v>1307</v>
      </c>
      <c r="BN45" s="257">
        <f t="shared" si="75"/>
        <v>8.7125368863812049</v>
      </c>
      <c r="BO45" s="466">
        <f t="shared" si="76"/>
        <v>0.54458333333333331</v>
      </c>
      <c r="BP45" s="474"/>
      <c r="BQ45" s="23">
        <f t="shared" si="77"/>
        <v>1200</v>
      </c>
      <c r="BR45" s="23">
        <f t="shared" si="78"/>
        <v>667</v>
      </c>
      <c r="BS45" s="23"/>
      <c r="BT45" s="23"/>
      <c r="BU45" s="466">
        <f t="shared" si="27"/>
        <v>0.55583333333333329</v>
      </c>
      <c r="CA45" s="23">
        <f t="shared" si="79"/>
        <v>1200</v>
      </c>
      <c r="CB45" s="23">
        <f t="shared" si="80"/>
        <v>667</v>
      </c>
      <c r="CC45" s="466">
        <f t="shared" si="81"/>
        <v>0.55583333333333329</v>
      </c>
      <c r="CD45" s="509">
        <f t="shared" si="82"/>
        <v>4.1735430689285717</v>
      </c>
      <c r="CE45" s="466">
        <f t="shared" si="89"/>
        <v>0.27791666666666665</v>
      </c>
    </row>
    <row r="46" spans="1:83" ht="12.6" customHeight="1">
      <c r="A46" s="506" t="s">
        <v>63</v>
      </c>
      <c r="B46" s="129">
        <v>0</v>
      </c>
      <c r="C46" s="23"/>
      <c r="D46" s="129"/>
      <c r="E46" s="129"/>
      <c r="F46" s="129"/>
      <c r="G46" s="509">
        <f t="shared" si="54"/>
        <v>0</v>
      </c>
      <c r="H46" s="129"/>
      <c r="I46" s="129"/>
      <c r="J46" s="129"/>
      <c r="K46" s="509">
        <f t="shared" si="55"/>
        <v>0</v>
      </c>
      <c r="L46" s="129"/>
      <c r="M46" s="129"/>
      <c r="N46" s="129"/>
      <c r="O46" s="509">
        <f t="shared" si="56"/>
        <v>0</v>
      </c>
      <c r="P46" s="129"/>
      <c r="Q46" s="129"/>
      <c r="R46" s="129"/>
      <c r="S46" s="509">
        <f t="shared" si="90"/>
        <v>0</v>
      </c>
      <c r="T46" s="129"/>
      <c r="U46" s="129"/>
      <c r="V46" s="129"/>
      <c r="W46" s="509">
        <f t="shared" si="58"/>
        <v>0</v>
      </c>
      <c r="X46" s="129"/>
      <c r="Y46" s="129"/>
      <c r="Z46" s="129"/>
      <c r="AA46" s="509">
        <f t="shared" si="59"/>
        <v>0</v>
      </c>
      <c r="AB46" s="129"/>
      <c r="AC46" s="129"/>
      <c r="AD46" s="129"/>
      <c r="AE46" s="509">
        <f t="shared" si="91"/>
        <v>0</v>
      </c>
      <c r="AF46" s="129"/>
      <c r="AG46" s="129"/>
      <c r="AH46" s="129"/>
      <c r="AI46" s="509">
        <f t="shared" si="92"/>
        <v>0</v>
      </c>
      <c r="AJ46" s="129"/>
      <c r="AK46" s="129"/>
      <c r="AL46" s="129"/>
      <c r="AM46" s="509">
        <f t="shared" si="93"/>
        <v>0</v>
      </c>
      <c r="AN46" s="129"/>
      <c r="AO46" s="129"/>
      <c r="AP46" s="129"/>
      <c r="AQ46" s="509">
        <f t="shared" si="94"/>
        <v>0</v>
      </c>
      <c r="AR46" s="129"/>
      <c r="AS46" s="129"/>
      <c r="AT46" s="129"/>
      <c r="AU46" s="509">
        <f t="shared" si="95"/>
        <v>0</v>
      </c>
      <c r="AV46" s="129"/>
      <c r="AW46" s="129"/>
      <c r="AX46" s="129"/>
      <c r="AY46" s="509">
        <f t="shared" si="96"/>
        <v>0</v>
      </c>
      <c r="AZ46" s="23">
        <f t="shared" si="61"/>
        <v>0</v>
      </c>
      <c r="BA46" s="23">
        <f t="shared" si="62"/>
        <v>0</v>
      </c>
      <c r="BB46" s="509">
        <f t="shared" si="63"/>
        <v>0</v>
      </c>
      <c r="BC46" s="23">
        <f t="shared" si="64"/>
        <v>0</v>
      </c>
      <c r="BD46" s="257">
        <f t="shared" si="65"/>
        <v>0</v>
      </c>
      <c r="BE46" s="257">
        <f t="shared" si="66"/>
        <v>0</v>
      </c>
      <c r="BF46" s="257">
        <f t="shared" si="67"/>
        <v>0</v>
      </c>
      <c r="BG46" s="23">
        <f t="shared" si="68"/>
        <v>0</v>
      </c>
      <c r="BH46" s="257">
        <f t="shared" si="69"/>
        <v>0</v>
      </c>
      <c r="BI46" s="23">
        <f t="shared" si="70"/>
        <v>0</v>
      </c>
      <c r="BJ46" s="23">
        <f t="shared" si="71"/>
        <v>0</v>
      </c>
      <c r="BK46" s="257">
        <f t="shared" si="72"/>
        <v>0</v>
      </c>
      <c r="BL46" s="23">
        <f t="shared" si="73"/>
        <v>0</v>
      </c>
      <c r="BM46" s="23">
        <f t="shared" si="74"/>
        <v>0</v>
      </c>
      <c r="BN46" s="257">
        <f t="shared" si="75"/>
        <v>0</v>
      </c>
      <c r="BO46" s="466">
        <f t="shared" si="76"/>
        <v>0</v>
      </c>
      <c r="BP46" s="474"/>
      <c r="BQ46" s="23">
        <f t="shared" si="77"/>
        <v>0</v>
      </c>
      <c r="BR46" s="23">
        <f t="shared" si="78"/>
        <v>0</v>
      </c>
      <c r="BS46" s="23"/>
      <c r="BT46" s="23"/>
      <c r="BU46" s="466">
        <f t="shared" si="27"/>
        <v>0</v>
      </c>
      <c r="CA46" s="23">
        <f t="shared" si="79"/>
        <v>0</v>
      </c>
      <c r="CB46" s="23">
        <f t="shared" si="80"/>
        <v>0</v>
      </c>
      <c r="CC46" s="466">
        <f t="shared" si="81"/>
        <v>0</v>
      </c>
      <c r="CD46" s="509">
        <f t="shared" si="82"/>
        <v>0</v>
      </c>
      <c r="CE46" s="466">
        <f t="shared" si="89"/>
        <v>0</v>
      </c>
    </row>
    <row r="47" spans="1:83" ht="12.6" customHeight="1">
      <c r="A47" s="506" t="s">
        <v>41</v>
      </c>
      <c r="B47" s="129">
        <v>1200</v>
      </c>
      <c r="C47" s="23"/>
      <c r="D47" s="129">
        <v>250</v>
      </c>
      <c r="E47" s="129">
        <v>0</v>
      </c>
      <c r="F47" s="129">
        <v>0</v>
      </c>
      <c r="G47" s="509">
        <f t="shared" si="54"/>
        <v>0</v>
      </c>
      <c r="H47" s="129">
        <v>220</v>
      </c>
      <c r="I47" s="129">
        <v>125</v>
      </c>
      <c r="J47" s="129">
        <v>1136</v>
      </c>
      <c r="K47" s="509">
        <f>I47*(J47-411)*66.91/10^7</f>
        <v>0.606371875</v>
      </c>
      <c r="L47" s="129"/>
      <c r="M47" s="129">
        <v>108</v>
      </c>
      <c r="N47" s="129">
        <v>1316.5</v>
      </c>
      <c r="O47" s="509">
        <f>M47*(N47-1270)*67.28/10^7</f>
        <v>3.3788016000000004E-2</v>
      </c>
      <c r="P47" s="129"/>
      <c r="Q47" s="129"/>
      <c r="R47" s="129"/>
      <c r="S47" s="509">
        <f t="shared" si="90"/>
        <v>0</v>
      </c>
      <c r="T47" s="129"/>
      <c r="U47" s="129">
        <v>254</v>
      </c>
      <c r="V47" s="129">
        <v>1353</v>
      </c>
      <c r="W47" s="509">
        <f>U47*(V47-896)*66.93/10^7</f>
        <v>0.77691005400000013</v>
      </c>
      <c r="X47" s="129"/>
      <c r="Y47" s="129">
        <v>31</v>
      </c>
      <c r="Z47" s="129">
        <v>1503</v>
      </c>
      <c r="AA47" s="509">
        <f>Y47*(Z47-1134)*66.69/10^7</f>
        <v>7.628669099999999E-2</v>
      </c>
      <c r="AB47" s="129">
        <v>200</v>
      </c>
      <c r="AC47" s="129">
        <v>32</v>
      </c>
      <c r="AD47" s="129">
        <v>1394</v>
      </c>
      <c r="AE47" s="509">
        <f>AC47*(AD47-1495)*66.73/10^7</f>
        <v>-2.1567136000000001E-2</v>
      </c>
      <c r="AF47" s="129">
        <v>200</v>
      </c>
      <c r="AG47" s="129"/>
      <c r="AH47" s="129"/>
      <c r="AI47" s="509">
        <f>AG47*(AH47-1134)*67.58/10^7</f>
        <v>0</v>
      </c>
      <c r="AJ47" s="129">
        <v>180</v>
      </c>
      <c r="AK47" s="129"/>
      <c r="AL47" s="129"/>
      <c r="AM47" s="509">
        <f>AK47*(AL47-1134)*67.91/10^7</f>
        <v>0</v>
      </c>
      <c r="AN47" s="129">
        <v>50</v>
      </c>
      <c r="AO47" s="129"/>
      <c r="AP47" s="129"/>
      <c r="AQ47" s="509">
        <f>AO47*(AP47-1134)*68.01/10^7</f>
        <v>0</v>
      </c>
      <c r="AR47" s="129">
        <v>50</v>
      </c>
      <c r="AS47" s="129"/>
      <c r="AT47" s="129"/>
      <c r="AU47" s="509">
        <f>AS47*(AT47-1134)*67.01/10^7</f>
        <v>0</v>
      </c>
      <c r="AV47" s="129">
        <v>50</v>
      </c>
      <c r="AW47" s="129"/>
      <c r="AX47" s="129"/>
      <c r="AY47" s="509">
        <f>AW47*(AX47-1134)*66.69/10^7</f>
        <v>0</v>
      </c>
      <c r="AZ47" s="23">
        <f t="shared" si="61"/>
        <v>470</v>
      </c>
      <c r="BA47" s="23">
        <f t="shared" si="62"/>
        <v>233</v>
      </c>
      <c r="BB47" s="509">
        <f t="shared" si="63"/>
        <v>0.64015989100000004</v>
      </c>
      <c r="BC47" s="23">
        <f t="shared" si="64"/>
        <v>0</v>
      </c>
      <c r="BD47" s="257">
        <f t="shared" si="65"/>
        <v>285</v>
      </c>
      <c r="BE47" s="257">
        <f t="shared" si="66"/>
        <v>0.85319674500000009</v>
      </c>
      <c r="BF47" s="257">
        <f t="shared" si="67"/>
        <v>580</v>
      </c>
      <c r="BG47" s="23">
        <f t="shared" si="68"/>
        <v>32</v>
      </c>
      <c r="BH47" s="257">
        <f t="shared" si="69"/>
        <v>-2.1567136000000001E-2</v>
      </c>
      <c r="BI47" s="23">
        <f t="shared" si="70"/>
        <v>150</v>
      </c>
      <c r="BJ47" s="23">
        <f t="shared" si="71"/>
        <v>0</v>
      </c>
      <c r="BK47" s="257">
        <f t="shared" si="72"/>
        <v>0</v>
      </c>
      <c r="BL47" s="23">
        <f t="shared" si="73"/>
        <v>1200</v>
      </c>
      <c r="BM47" s="23">
        <f t="shared" si="74"/>
        <v>550</v>
      </c>
      <c r="BN47" s="257">
        <f t="shared" si="75"/>
        <v>1.4717895000000001</v>
      </c>
      <c r="BO47" s="466">
        <f t="shared" si="76"/>
        <v>0.45833333333333331</v>
      </c>
      <c r="BP47" s="474"/>
      <c r="BQ47" s="23">
        <f t="shared" si="77"/>
        <v>470</v>
      </c>
      <c r="BR47" s="23">
        <f t="shared" si="78"/>
        <v>518</v>
      </c>
      <c r="BS47" s="23"/>
      <c r="BT47" s="23"/>
      <c r="BU47" s="466">
        <f t="shared" si="27"/>
        <v>1.102127659574468</v>
      </c>
      <c r="CA47" s="23">
        <f t="shared" si="79"/>
        <v>470</v>
      </c>
      <c r="CB47" s="23">
        <f t="shared" si="80"/>
        <v>518</v>
      </c>
      <c r="CC47" s="466">
        <f t="shared" si="81"/>
        <v>1.102127659574468</v>
      </c>
      <c r="CD47" s="509">
        <f t="shared" si="82"/>
        <v>1.4933566360000001</v>
      </c>
      <c r="CE47" s="466">
        <f t="shared" si="89"/>
        <v>0.43166666666666664</v>
      </c>
    </row>
    <row r="48" spans="1:83" ht="12.6" customHeight="1">
      <c r="A48" s="506" t="s">
        <v>52</v>
      </c>
      <c r="B48" s="129">
        <v>0</v>
      </c>
      <c r="C48" s="23"/>
      <c r="D48" s="129"/>
      <c r="E48" s="129"/>
      <c r="F48" s="129"/>
      <c r="G48" s="509">
        <f t="shared" si="54"/>
        <v>0</v>
      </c>
      <c r="H48" s="129"/>
      <c r="I48" s="129"/>
      <c r="J48" s="129"/>
      <c r="K48" s="509">
        <f t="shared" si="55"/>
        <v>0</v>
      </c>
      <c r="L48" s="129"/>
      <c r="M48" s="129"/>
      <c r="N48" s="129"/>
      <c r="O48" s="509">
        <f t="shared" si="56"/>
        <v>0</v>
      </c>
      <c r="P48" s="129"/>
      <c r="Q48" s="129"/>
      <c r="R48" s="129"/>
      <c r="S48" s="509">
        <f t="shared" si="90"/>
        <v>0</v>
      </c>
      <c r="T48" s="129"/>
      <c r="U48" s="129"/>
      <c r="V48" s="129"/>
      <c r="W48" s="509">
        <f t="shared" si="58"/>
        <v>0</v>
      </c>
      <c r="X48" s="129"/>
      <c r="Y48" s="129"/>
      <c r="Z48" s="129"/>
      <c r="AA48" s="509">
        <f t="shared" si="59"/>
        <v>0</v>
      </c>
      <c r="AB48" s="129"/>
      <c r="AC48" s="129"/>
      <c r="AD48" s="129"/>
      <c r="AE48" s="509">
        <f t="shared" ref="AE48:AE53" si="97">AC48*(AD48-G48)*66.73/10^7</f>
        <v>0</v>
      </c>
      <c r="AF48" s="129"/>
      <c r="AG48" s="129"/>
      <c r="AH48" s="129"/>
      <c r="AI48" s="509">
        <f t="shared" ref="AI48:AI53" si="98">AG48*(AH48-K48)*67.58/10^7</f>
        <v>0</v>
      </c>
      <c r="AJ48" s="129"/>
      <c r="AK48" s="129"/>
      <c r="AL48" s="129"/>
      <c r="AM48" s="509">
        <f t="shared" ref="AM48:AM53" si="99">AK48*(AL48-O48)*67.91/10^7</f>
        <v>0</v>
      </c>
      <c r="AN48" s="129"/>
      <c r="AO48" s="129"/>
      <c r="AP48" s="129"/>
      <c r="AQ48" s="509">
        <f t="shared" ref="AQ48:AQ53" si="100">AO48*(AP48-S48)*68.01/10^7</f>
        <v>0</v>
      </c>
      <c r="AR48" s="129"/>
      <c r="AS48" s="129"/>
      <c r="AT48" s="129"/>
      <c r="AU48" s="509">
        <f t="shared" ref="AU48:AU53" si="101">AS48*(AT48-W48)*67.01/10^7</f>
        <v>0</v>
      </c>
      <c r="AV48" s="129"/>
      <c r="AW48" s="129"/>
      <c r="AX48" s="129"/>
      <c r="AY48" s="509">
        <f t="shared" ref="AY48:AY53" si="102">AW48*(AX48-AA48)*66.69/10^7</f>
        <v>0</v>
      </c>
      <c r="AZ48" s="23">
        <f t="shared" si="61"/>
        <v>0</v>
      </c>
      <c r="BA48" s="23">
        <f t="shared" si="62"/>
        <v>0</v>
      </c>
      <c r="BB48" s="509">
        <f t="shared" si="63"/>
        <v>0</v>
      </c>
      <c r="BC48" s="23">
        <f t="shared" si="64"/>
        <v>0</v>
      </c>
      <c r="BD48" s="257">
        <f t="shared" si="65"/>
        <v>0</v>
      </c>
      <c r="BE48" s="257">
        <f t="shared" si="66"/>
        <v>0</v>
      </c>
      <c r="BF48" s="257">
        <f t="shared" si="67"/>
        <v>0</v>
      </c>
      <c r="BG48" s="23">
        <f t="shared" si="68"/>
        <v>0</v>
      </c>
      <c r="BH48" s="257">
        <f t="shared" si="69"/>
        <v>0</v>
      </c>
      <c r="BI48" s="23">
        <f t="shared" si="70"/>
        <v>0</v>
      </c>
      <c r="BJ48" s="23">
        <f t="shared" si="71"/>
        <v>0</v>
      </c>
      <c r="BK48" s="257">
        <f t="shared" si="72"/>
        <v>0</v>
      </c>
      <c r="BL48" s="23">
        <f t="shared" si="73"/>
        <v>0</v>
      </c>
      <c r="BM48" s="23">
        <f t="shared" si="74"/>
        <v>0</v>
      </c>
      <c r="BN48" s="257">
        <f t="shared" si="75"/>
        <v>0</v>
      </c>
      <c r="BO48" s="466">
        <f t="shared" si="76"/>
        <v>0</v>
      </c>
      <c r="BP48" s="474"/>
      <c r="BQ48" s="23">
        <f t="shared" si="77"/>
        <v>0</v>
      </c>
      <c r="BR48" s="23">
        <f t="shared" si="78"/>
        <v>0</v>
      </c>
      <c r="BS48" s="23"/>
      <c r="BT48" s="23"/>
      <c r="BU48" s="466">
        <f t="shared" si="27"/>
        <v>0</v>
      </c>
      <c r="CA48" s="23">
        <f t="shared" si="79"/>
        <v>0</v>
      </c>
      <c r="CB48" s="23">
        <f t="shared" si="80"/>
        <v>0</v>
      </c>
      <c r="CC48" s="466">
        <f t="shared" si="81"/>
        <v>0</v>
      </c>
      <c r="CD48" s="509">
        <f t="shared" si="82"/>
        <v>0</v>
      </c>
      <c r="CE48" s="466">
        <f t="shared" si="89"/>
        <v>0</v>
      </c>
    </row>
    <row r="49" spans="1:83" ht="12.6" customHeight="1">
      <c r="A49" s="506" t="s">
        <v>42</v>
      </c>
      <c r="B49" s="129">
        <v>0</v>
      </c>
      <c r="C49" s="23"/>
      <c r="D49" s="129"/>
      <c r="E49" s="129"/>
      <c r="F49" s="129"/>
      <c r="G49" s="509">
        <f t="shared" si="54"/>
        <v>0</v>
      </c>
      <c r="H49" s="129"/>
      <c r="I49" s="129"/>
      <c r="J49" s="129"/>
      <c r="K49" s="509">
        <f t="shared" si="55"/>
        <v>0</v>
      </c>
      <c r="L49" s="129"/>
      <c r="M49" s="129"/>
      <c r="N49" s="129"/>
      <c r="O49" s="509">
        <f t="shared" si="56"/>
        <v>0</v>
      </c>
      <c r="P49" s="129"/>
      <c r="Q49" s="129"/>
      <c r="R49" s="129"/>
      <c r="S49" s="509">
        <f t="shared" si="90"/>
        <v>0</v>
      </c>
      <c r="T49" s="129"/>
      <c r="U49" s="129"/>
      <c r="V49" s="129"/>
      <c r="W49" s="509">
        <f t="shared" si="58"/>
        <v>0</v>
      </c>
      <c r="X49" s="129"/>
      <c r="Y49" s="129"/>
      <c r="Z49" s="129"/>
      <c r="AA49" s="509">
        <f t="shared" si="59"/>
        <v>0</v>
      </c>
      <c r="AB49" s="129"/>
      <c r="AC49" s="129"/>
      <c r="AD49" s="129"/>
      <c r="AE49" s="509">
        <f t="shared" si="97"/>
        <v>0</v>
      </c>
      <c r="AF49" s="129"/>
      <c r="AG49" s="129"/>
      <c r="AH49" s="129"/>
      <c r="AI49" s="509">
        <f t="shared" si="98"/>
        <v>0</v>
      </c>
      <c r="AJ49" s="129"/>
      <c r="AK49" s="129"/>
      <c r="AL49" s="129"/>
      <c r="AM49" s="509">
        <f t="shared" si="99"/>
        <v>0</v>
      </c>
      <c r="AN49" s="129"/>
      <c r="AO49" s="129"/>
      <c r="AP49" s="129"/>
      <c r="AQ49" s="509">
        <f t="shared" si="100"/>
        <v>0</v>
      </c>
      <c r="AR49" s="129"/>
      <c r="AS49" s="129"/>
      <c r="AT49" s="129"/>
      <c r="AU49" s="509">
        <f t="shared" si="101"/>
        <v>0</v>
      </c>
      <c r="AV49" s="129"/>
      <c r="AW49" s="129"/>
      <c r="AX49" s="129"/>
      <c r="AY49" s="509">
        <f t="shared" si="102"/>
        <v>0</v>
      </c>
      <c r="AZ49" s="23">
        <f t="shared" si="61"/>
        <v>0</v>
      </c>
      <c r="BA49" s="23">
        <f t="shared" si="62"/>
        <v>0</v>
      </c>
      <c r="BB49" s="509">
        <f t="shared" si="63"/>
        <v>0</v>
      </c>
      <c r="BC49" s="23">
        <f t="shared" si="64"/>
        <v>0</v>
      </c>
      <c r="BD49" s="257">
        <f t="shared" si="65"/>
        <v>0</v>
      </c>
      <c r="BE49" s="257">
        <f t="shared" si="66"/>
        <v>0</v>
      </c>
      <c r="BF49" s="257">
        <f t="shared" si="67"/>
        <v>0</v>
      </c>
      <c r="BG49" s="23">
        <f t="shared" si="68"/>
        <v>0</v>
      </c>
      <c r="BH49" s="257">
        <f t="shared" si="69"/>
        <v>0</v>
      </c>
      <c r="BI49" s="23">
        <f t="shared" si="70"/>
        <v>0</v>
      </c>
      <c r="BJ49" s="23">
        <f t="shared" si="71"/>
        <v>0</v>
      </c>
      <c r="BK49" s="257">
        <f t="shared" si="72"/>
        <v>0</v>
      </c>
      <c r="BL49" s="23">
        <f t="shared" si="73"/>
        <v>0</v>
      </c>
      <c r="BM49" s="23">
        <f t="shared" si="74"/>
        <v>0</v>
      </c>
      <c r="BN49" s="257">
        <f t="shared" si="75"/>
        <v>0</v>
      </c>
      <c r="BO49" s="466">
        <f t="shared" si="76"/>
        <v>0</v>
      </c>
      <c r="BP49" s="474"/>
      <c r="BQ49" s="23">
        <f t="shared" si="77"/>
        <v>0</v>
      </c>
      <c r="BR49" s="23">
        <f t="shared" si="78"/>
        <v>0</v>
      </c>
      <c r="BS49" s="23"/>
      <c r="BT49" s="23"/>
      <c r="BU49" s="466">
        <f t="shared" si="27"/>
        <v>0</v>
      </c>
      <c r="CA49" s="23">
        <f t="shared" si="79"/>
        <v>0</v>
      </c>
      <c r="CB49" s="23">
        <f t="shared" si="80"/>
        <v>0</v>
      </c>
      <c r="CC49" s="466">
        <f t="shared" si="81"/>
        <v>0</v>
      </c>
      <c r="CD49" s="509">
        <f t="shared" si="82"/>
        <v>0</v>
      </c>
      <c r="CE49" s="466">
        <f t="shared" si="89"/>
        <v>0</v>
      </c>
    </row>
    <row r="50" spans="1:83" ht="12.6" customHeight="1">
      <c r="A50" s="506" t="s">
        <v>127</v>
      </c>
      <c r="B50" s="129">
        <v>0</v>
      </c>
      <c r="C50" s="23"/>
      <c r="D50" s="129"/>
      <c r="E50" s="129"/>
      <c r="F50" s="129"/>
      <c r="G50" s="509">
        <f t="shared" si="54"/>
        <v>0</v>
      </c>
      <c r="H50" s="129"/>
      <c r="I50" s="129"/>
      <c r="J50" s="129"/>
      <c r="K50" s="509">
        <f t="shared" si="55"/>
        <v>0</v>
      </c>
      <c r="L50" s="129"/>
      <c r="M50" s="129"/>
      <c r="N50" s="129"/>
      <c r="O50" s="509">
        <f t="shared" si="56"/>
        <v>0</v>
      </c>
      <c r="P50" s="129"/>
      <c r="Q50" s="129"/>
      <c r="R50" s="129"/>
      <c r="S50" s="509">
        <f t="shared" si="90"/>
        <v>0</v>
      </c>
      <c r="T50" s="129"/>
      <c r="U50" s="129"/>
      <c r="V50" s="129"/>
      <c r="W50" s="509">
        <f t="shared" si="58"/>
        <v>0</v>
      </c>
      <c r="X50" s="129"/>
      <c r="Y50" s="129"/>
      <c r="Z50" s="129"/>
      <c r="AA50" s="509">
        <f t="shared" si="59"/>
        <v>0</v>
      </c>
      <c r="AB50" s="129"/>
      <c r="AC50" s="129"/>
      <c r="AD50" s="129"/>
      <c r="AE50" s="509">
        <f t="shared" si="97"/>
        <v>0</v>
      </c>
      <c r="AF50" s="129"/>
      <c r="AG50" s="129"/>
      <c r="AH50" s="129"/>
      <c r="AI50" s="509">
        <f t="shared" si="98"/>
        <v>0</v>
      </c>
      <c r="AJ50" s="129"/>
      <c r="AK50" s="129"/>
      <c r="AL50" s="129"/>
      <c r="AM50" s="509">
        <f t="shared" si="99"/>
        <v>0</v>
      </c>
      <c r="AN50" s="129"/>
      <c r="AO50" s="129"/>
      <c r="AP50" s="129"/>
      <c r="AQ50" s="509">
        <f t="shared" si="100"/>
        <v>0</v>
      </c>
      <c r="AR50" s="129"/>
      <c r="AS50" s="129"/>
      <c r="AT50" s="129"/>
      <c r="AU50" s="509">
        <f t="shared" si="101"/>
        <v>0</v>
      </c>
      <c r="AV50" s="129"/>
      <c r="AW50" s="129"/>
      <c r="AX50" s="129"/>
      <c r="AY50" s="509">
        <f t="shared" si="102"/>
        <v>0</v>
      </c>
      <c r="AZ50" s="23">
        <f t="shared" si="61"/>
        <v>0</v>
      </c>
      <c r="BA50" s="23">
        <f t="shared" si="62"/>
        <v>0</v>
      </c>
      <c r="BB50" s="509">
        <f t="shared" si="63"/>
        <v>0</v>
      </c>
      <c r="BC50" s="23">
        <f t="shared" si="64"/>
        <v>0</v>
      </c>
      <c r="BD50" s="257">
        <f t="shared" si="65"/>
        <v>0</v>
      </c>
      <c r="BE50" s="257">
        <f t="shared" si="66"/>
        <v>0</v>
      </c>
      <c r="BF50" s="257">
        <f t="shared" si="67"/>
        <v>0</v>
      </c>
      <c r="BG50" s="23">
        <f t="shared" si="68"/>
        <v>0</v>
      </c>
      <c r="BH50" s="257">
        <f t="shared" si="69"/>
        <v>0</v>
      </c>
      <c r="BI50" s="23">
        <f t="shared" si="70"/>
        <v>0</v>
      </c>
      <c r="BJ50" s="23">
        <f t="shared" si="71"/>
        <v>0</v>
      </c>
      <c r="BK50" s="257">
        <f t="shared" si="72"/>
        <v>0</v>
      </c>
      <c r="BL50" s="23">
        <f t="shared" si="73"/>
        <v>0</v>
      </c>
      <c r="BM50" s="23">
        <f t="shared" si="74"/>
        <v>0</v>
      </c>
      <c r="BN50" s="257">
        <f t="shared" si="75"/>
        <v>0</v>
      </c>
      <c r="BO50" s="466">
        <f t="shared" si="76"/>
        <v>0</v>
      </c>
      <c r="BP50" s="474"/>
      <c r="BQ50" s="23">
        <f t="shared" si="77"/>
        <v>0</v>
      </c>
      <c r="BR50" s="23">
        <f t="shared" si="78"/>
        <v>0</v>
      </c>
      <c r="BS50" s="23"/>
      <c r="BT50" s="23"/>
      <c r="BU50" s="466">
        <f t="shared" si="27"/>
        <v>0</v>
      </c>
      <c r="CA50" s="23">
        <f t="shared" si="79"/>
        <v>0</v>
      </c>
      <c r="CB50" s="23">
        <f t="shared" si="80"/>
        <v>0</v>
      </c>
      <c r="CC50" s="466">
        <f t="shared" si="81"/>
        <v>0</v>
      </c>
      <c r="CD50" s="509">
        <f t="shared" si="82"/>
        <v>0</v>
      </c>
      <c r="CE50" s="466">
        <f t="shared" si="89"/>
        <v>0</v>
      </c>
    </row>
    <row r="51" spans="1:83" ht="12.6" customHeight="1">
      <c r="A51" s="503" t="s">
        <v>126</v>
      </c>
      <c r="B51" s="129">
        <v>0</v>
      </c>
      <c r="C51" s="23">
        <v>12.357142857142858</v>
      </c>
      <c r="D51" s="129"/>
      <c r="E51" s="129"/>
      <c r="F51" s="129"/>
      <c r="G51" s="509">
        <f t="shared" si="54"/>
        <v>0</v>
      </c>
      <c r="H51" s="129"/>
      <c r="I51" s="129"/>
      <c r="J51" s="129"/>
      <c r="K51" s="509">
        <f t="shared" si="55"/>
        <v>0</v>
      </c>
      <c r="L51" s="129"/>
      <c r="M51" s="129"/>
      <c r="N51" s="129"/>
      <c r="O51" s="509">
        <f t="shared" si="56"/>
        <v>0</v>
      </c>
      <c r="P51" s="129"/>
      <c r="Q51" s="129"/>
      <c r="R51" s="129"/>
      <c r="S51" s="509">
        <f t="shared" si="90"/>
        <v>0</v>
      </c>
      <c r="T51" s="129"/>
      <c r="U51" s="129"/>
      <c r="V51" s="129"/>
      <c r="W51" s="509">
        <f t="shared" si="58"/>
        <v>0</v>
      </c>
      <c r="X51" s="129"/>
      <c r="Y51" s="129"/>
      <c r="Z51" s="129"/>
      <c r="AA51" s="509">
        <f t="shared" si="59"/>
        <v>0</v>
      </c>
      <c r="AB51" s="129"/>
      <c r="AC51" s="129"/>
      <c r="AD51" s="129"/>
      <c r="AE51" s="509">
        <f t="shared" si="97"/>
        <v>0</v>
      </c>
      <c r="AF51" s="129"/>
      <c r="AG51" s="129"/>
      <c r="AH51" s="129"/>
      <c r="AI51" s="509">
        <f t="shared" si="98"/>
        <v>0</v>
      </c>
      <c r="AJ51" s="129"/>
      <c r="AK51" s="129"/>
      <c r="AL51" s="129"/>
      <c r="AM51" s="509">
        <f t="shared" si="99"/>
        <v>0</v>
      </c>
      <c r="AN51" s="129"/>
      <c r="AO51" s="129"/>
      <c r="AP51" s="129"/>
      <c r="AQ51" s="509">
        <f t="shared" si="100"/>
        <v>0</v>
      </c>
      <c r="AR51" s="129"/>
      <c r="AS51" s="129"/>
      <c r="AT51" s="129"/>
      <c r="AU51" s="509">
        <f t="shared" si="101"/>
        <v>0</v>
      </c>
      <c r="AV51" s="129"/>
      <c r="AW51" s="129"/>
      <c r="AX51" s="129"/>
      <c r="AY51" s="509">
        <f t="shared" si="102"/>
        <v>0</v>
      </c>
      <c r="AZ51" s="23">
        <f t="shared" si="61"/>
        <v>0</v>
      </c>
      <c r="BA51" s="23">
        <f t="shared" si="62"/>
        <v>0</v>
      </c>
      <c r="BB51" s="509">
        <f t="shared" si="63"/>
        <v>0</v>
      </c>
      <c r="BC51" s="23">
        <f t="shared" si="64"/>
        <v>0</v>
      </c>
      <c r="BD51" s="257">
        <f t="shared" si="65"/>
        <v>0</v>
      </c>
      <c r="BE51" s="257">
        <f t="shared" si="66"/>
        <v>0</v>
      </c>
      <c r="BF51" s="257">
        <f t="shared" si="67"/>
        <v>0</v>
      </c>
      <c r="BG51" s="23">
        <f t="shared" si="68"/>
        <v>0</v>
      </c>
      <c r="BH51" s="257">
        <f t="shared" si="69"/>
        <v>0</v>
      </c>
      <c r="BI51" s="23">
        <f t="shared" si="70"/>
        <v>0</v>
      </c>
      <c r="BJ51" s="23">
        <f t="shared" si="71"/>
        <v>0</v>
      </c>
      <c r="BK51" s="257">
        <f t="shared" si="72"/>
        <v>0</v>
      </c>
      <c r="BL51" s="23">
        <f t="shared" si="73"/>
        <v>0</v>
      </c>
      <c r="BM51" s="23">
        <f t="shared" si="74"/>
        <v>0</v>
      </c>
      <c r="BN51" s="257">
        <f t="shared" si="75"/>
        <v>0</v>
      </c>
      <c r="BO51" s="466">
        <f t="shared" si="76"/>
        <v>0</v>
      </c>
      <c r="BP51" s="474"/>
      <c r="BQ51" s="23">
        <f t="shared" si="77"/>
        <v>0</v>
      </c>
      <c r="BR51" s="23">
        <f t="shared" si="78"/>
        <v>0</v>
      </c>
      <c r="BS51" s="23"/>
      <c r="BT51" s="23"/>
      <c r="BU51" s="466">
        <f t="shared" si="27"/>
        <v>0</v>
      </c>
      <c r="CA51" s="23">
        <f t="shared" si="79"/>
        <v>0</v>
      </c>
      <c r="CB51" s="23">
        <f t="shared" si="80"/>
        <v>0</v>
      </c>
      <c r="CC51" s="466">
        <f t="shared" si="81"/>
        <v>0</v>
      </c>
      <c r="CD51" s="509">
        <f t="shared" si="82"/>
        <v>0</v>
      </c>
      <c r="CE51" s="466">
        <f t="shared" si="89"/>
        <v>0</v>
      </c>
    </row>
    <row r="52" spans="1:83" ht="12.6" customHeight="1">
      <c r="A52" s="254" t="s">
        <v>64</v>
      </c>
      <c r="B52" s="129">
        <v>0</v>
      </c>
      <c r="C52" s="23"/>
      <c r="D52" s="129"/>
      <c r="E52" s="129"/>
      <c r="F52" s="129"/>
      <c r="G52" s="509">
        <f t="shared" si="54"/>
        <v>0</v>
      </c>
      <c r="H52" s="129"/>
      <c r="I52" s="129"/>
      <c r="J52" s="129"/>
      <c r="K52" s="509">
        <f t="shared" si="55"/>
        <v>0</v>
      </c>
      <c r="L52" s="129"/>
      <c r="M52" s="129"/>
      <c r="N52" s="129"/>
      <c r="O52" s="509">
        <f t="shared" si="56"/>
        <v>0</v>
      </c>
      <c r="P52" s="129"/>
      <c r="Q52" s="129"/>
      <c r="R52" s="129"/>
      <c r="S52" s="509">
        <f t="shared" si="90"/>
        <v>0</v>
      </c>
      <c r="T52" s="129"/>
      <c r="U52" s="129"/>
      <c r="V52" s="129"/>
      <c r="W52" s="509">
        <f t="shared" si="58"/>
        <v>0</v>
      </c>
      <c r="X52" s="129"/>
      <c r="Y52" s="129"/>
      <c r="Z52" s="129"/>
      <c r="AA52" s="509">
        <f t="shared" si="59"/>
        <v>0</v>
      </c>
      <c r="AB52" s="129"/>
      <c r="AC52" s="129"/>
      <c r="AD52" s="129"/>
      <c r="AE52" s="509">
        <f t="shared" si="97"/>
        <v>0</v>
      </c>
      <c r="AF52" s="129"/>
      <c r="AG52" s="129"/>
      <c r="AH52" s="129"/>
      <c r="AI52" s="509">
        <f t="shared" si="98"/>
        <v>0</v>
      </c>
      <c r="AJ52" s="129"/>
      <c r="AK52" s="129"/>
      <c r="AL52" s="129"/>
      <c r="AM52" s="509">
        <f t="shared" si="99"/>
        <v>0</v>
      </c>
      <c r="AN52" s="129"/>
      <c r="AO52" s="129"/>
      <c r="AP52" s="129"/>
      <c r="AQ52" s="509">
        <f t="shared" si="100"/>
        <v>0</v>
      </c>
      <c r="AR52" s="129"/>
      <c r="AS52" s="129"/>
      <c r="AT52" s="129"/>
      <c r="AU52" s="509">
        <f t="shared" si="101"/>
        <v>0</v>
      </c>
      <c r="AV52" s="129"/>
      <c r="AW52" s="129"/>
      <c r="AX52" s="129"/>
      <c r="AY52" s="509">
        <f t="shared" si="102"/>
        <v>0</v>
      </c>
      <c r="AZ52" s="23">
        <f t="shared" si="61"/>
        <v>0</v>
      </c>
      <c r="BA52" s="23">
        <f t="shared" si="62"/>
        <v>0</v>
      </c>
      <c r="BB52" s="509">
        <f t="shared" si="63"/>
        <v>0</v>
      </c>
      <c r="BC52" s="23">
        <f t="shared" si="64"/>
        <v>0</v>
      </c>
      <c r="BD52" s="257">
        <f t="shared" si="65"/>
        <v>0</v>
      </c>
      <c r="BE52" s="257">
        <f t="shared" si="66"/>
        <v>0</v>
      </c>
      <c r="BF52" s="257">
        <f t="shared" si="67"/>
        <v>0</v>
      </c>
      <c r="BG52" s="23">
        <f t="shared" si="68"/>
        <v>0</v>
      </c>
      <c r="BH52" s="257">
        <f t="shared" si="69"/>
        <v>0</v>
      </c>
      <c r="BI52" s="23">
        <f t="shared" si="70"/>
        <v>0</v>
      </c>
      <c r="BJ52" s="23">
        <f t="shared" si="71"/>
        <v>0</v>
      </c>
      <c r="BK52" s="257">
        <f t="shared" si="72"/>
        <v>0</v>
      </c>
      <c r="BL52" s="23">
        <f t="shared" si="73"/>
        <v>0</v>
      </c>
      <c r="BM52" s="23">
        <f t="shared" si="74"/>
        <v>0</v>
      </c>
      <c r="BN52" s="257">
        <f t="shared" si="75"/>
        <v>0</v>
      </c>
      <c r="BO52" s="466">
        <f t="shared" si="76"/>
        <v>0</v>
      </c>
      <c r="BP52" s="474"/>
      <c r="BQ52" s="23">
        <f t="shared" si="77"/>
        <v>0</v>
      </c>
      <c r="BR52" s="23">
        <f t="shared" si="78"/>
        <v>0</v>
      </c>
      <c r="BS52" s="23"/>
      <c r="BT52" s="23"/>
      <c r="BU52" s="466">
        <f t="shared" si="27"/>
        <v>0</v>
      </c>
      <c r="CA52" s="23">
        <f t="shared" si="79"/>
        <v>0</v>
      </c>
      <c r="CB52" s="23">
        <f t="shared" si="80"/>
        <v>0</v>
      </c>
      <c r="CC52" s="466">
        <f t="shared" si="81"/>
        <v>0</v>
      </c>
      <c r="CD52" s="509">
        <f t="shared" si="82"/>
        <v>0</v>
      </c>
      <c r="CE52" s="466">
        <f t="shared" si="89"/>
        <v>0</v>
      </c>
    </row>
    <row r="53" spans="1:83" ht="12.6" customHeight="1">
      <c r="A53" s="254" t="s">
        <v>119</v>
      </c>
      <c r="B53" s="129">
        <v>1148</v>
      </c>
      <c r="C53" s="23">
        <v>18.399999999999999</v>
      </c>
      <c r="D53" s="129">
        <v>60</v>
      </c>
      <c r="E53" s="129">
        <v>140</v>
      </c>
      <c r="F53" s="129">
        <v>634.5</v>
      </c>
      <c r="G53" s="509">
        <f t="shared" si="54"/>
        <v>0.57333033799999999</v>
      </c>
      <c r="H53" s="129">
        <v>100</v>
      </c>
      <c r="I53" s="129">
        <v>152</v>
      </c>
      <c r="J53" s="129">
        <v>603</v>
      </c>
      <c r="K53" s="509">
        <f t="shared" si="55"/>
        <v>0.59455690719999998</v>
      </c>
      <c r="L53" s="129">
        <v>100</v>
      </c>
      <c r="M53" s="129">
        <v>111</v>
      </c>
      <c r="N53" s="129">
        <v>587.70000000000005</v>
      </c>
      <c r="O53" s="509">
        <f t="shared" si="56"/>
        <v>0.42515779440000012</v>
      </c>
      <c r="P53" s="129">
        <v>100</v>
      </c>
      <c r="Q53" s="129">
        <v>144</v>
      </c>
      <c r="R53" s="129">
        <v>628</v>
      </c>
      <c r="S53" s="509">
        <f t="shared" si="90"/>
        <v>0.59059998720000007</v>
      </c>
      <c r="T53" s="129">
        <v>100</v>
      </c>
      <c r="U53" s="129">
        <v>52</v>
      </c>
      <c r="V53" s="129">
        <v>689</v>
      </c>
      <c r="W53" s="509">
        <f t="shared" si="58"/>
        <v>0.23339294160000007</v>
      </c>
      <c r="X53" s="129">
        <v>100</v>
      </c>
      <c r="Y53" s="129">
        <v>9</v>
      </c>
      <c r="Z53" s="129">
        <v>570</v>
      </c>
      <c r="AA53" s="509">
        <f t="shared" si="59"/>
        <v>3.3107583600000004E-2</v>
      </c>
      <c r="AB53" s="129">
        <v>100</v>
      </c>
      <c r="AC53" s="129"/>
      <c r="AD53" s="129"/>
      <c r="AE53" s="509">
        <f t="shared" si="97"/>
        <v>0</v>
      </c>
      <c r="AF53" s="129">
        <v>100</v>
      </c>
      <c r="AG53" s="129">
        <v>1</v>
      </c>
      <c r="AH53" s="129">
        <v>1091</v>
      </c>
      <c r="AI53" s="509">
        <f t="shared" si="98"/>
        <v>7.3689599844211423E-3</v>
      </c>
      <c r="AJ53" s="129">
        <v>100</v>
      </c>
      <c r="AK53" s="129"/>
      <c r="AL53" s="129"/>
      <c r="AM53" s="509">
        <f t="shared" si="99"/>
        <v>0</v>
      </c>
      <c r="AN53" s="129">
        <v>100</v>
      </c>
      <c r="AO53" s="129"/>
      <c r="AP53" s="129"/>
      <c r="AQ53" s="509">
        <f t="shared" si="100"/>
        <v>0</v>
      </c>
      <c r="AR53" s="129">
        <v>100</v>
      </c>
      <c r="AS53" s="129">
        <v>6</v>
      </c>
      <c r="AT53" s="129">
        <v>1308</v>
      </c>
      <c r="AU53" s="509">
        <f t="shared" si="101"/>
        <v>5.2580064203390037E-2</v>
      </c>
      <c r="AV53" s="129">
        <v>88</v>
      </c>
      <c r="AW53" s="129"/>
      <c r="AX53" s="129"/>
      <c r="AY53" s="509">
        <f t="shared" si="102"/>
        <v>0</v>
      </c>
      <c r="AZ53" s="23">
        <f t="shared" si="61"/>
        <v>260</v>
      </c>
      <c r="BA53" s="23">
        <f t="shared" si="62"/>
        <v>403</v>
      </c>
      <c r="BB53" s="509">
        <f t="shared" si="63"/>
        <v>1.5930450396000002</v>
      </c>
      <c r="BC53" s="23">
        <f t="shared" si="64"/>
        <v>300</v>
      </c>
      <c r="BD53" s="257">
        <f t="shared" si="65"/>
        <v>205</v>
      </c>
      <c r="BE53" s="257">
        <f t="shared" si="66"/>
        <v>0.85710051240000007</v>
      </c>
      <c r="BF53" s="257">
        <f t="shared" si="67"/>
        <v>300</v>
      </c>
      <c r="BG53" s="23">
        <f t="shared" si="68"/>
        <v>1</v>
      </c>
      <c r="BH53" s="257">
        <f t="shared" si="69"/>
        <v>7.3689599844211423E-3</v>
      </c>
      <c r="BI53" s="23">
        <f t="shared" si="70"/>
        <v>288</v>
      </c>
      <c r="BJ53" s="23">
        <f t="shared" si="71"/>
        <v>6</v>
      </c>
      <c r="BK53" s="257">
        <f t="shared" si="72"/>
        <v>5.2580064203390037E-2</v>
      </c>
      <c r="BL53" s="23">
        <f t="shared" si="73"/>
        <v>1148</v>
      </c>
      <c r="BM53" s="23">
        <f t="shared" si="74"/>
        <v>615</v>
      </c>
      <c r="BN53" s="257">
        <f t="shared" si="75"/>
        <v>2.5100945761878117</v>
      </c>
      <c r="BO53" s="466">
        <f t="shared" si="76"/>
        <v>0.5357142857142857</v>
      </c>
      <c r="BP53" s="474"/>
      <c r="BQ53" s="23">
        <f t="shared" si="77"/>
        <v>560</v>
      </c>
      <c r="BR53" s="23">
        <f t="shared" si="78"/>
        <v>608</v>
      </c>
      <c r="BS53" s="23"/>
      <c r="BT53" s="23"/>
      <c r="BU53" s="466">
        <f t="shared" si="27"/>
        <v>1.0857142857142856</v>
      </c>
      <c r="CA53" s="23">
        <f t="shared" si="79"/>
        <v>560</v>
      </c>
      <c r="CB53" s="23">
        <f t="shared" si="80"/>
        <v>608</v>
      </c>
      <c r="CC53" s="466">
        <f t="shared" si="81"/>
        <v>1.0857142857142856</v>
      </c>
      <c r="CD53" s="509">
        <f t="shared" si="82"/>
        <v>2.4501455520000004</v>
      </c>
      <c r="CE53" s="466">
        <f t="shared" si="89"/>
        <v>0.52961672473867594</v>
      </c>
    </row>
    <row r="54" spans="1:83" ht="12.6" customHeight="1">
      <c r="A54" s="482" t="s">
        <v>72</v>
      </c>
      <c r="B54" s="457">
        <v>34406</v>
      </c>
      <c r="C54" s="457"/>
      <c r="D54" s="457">
        <f>SUM(D26:D53)</f>
        <v>3219</v>
      </c>
      <c r="E54" s="457">
        <f>SUM(E26:E53)</f>
        <v>2005</v>
      </c>
      <c r="F54" s="457"/>
      <c r="G54" s="511">
        <f>SUM(G26:G53)</f>
        <v>11.186584033057143</v>
      </c>
      <c r="H54" s="457">
        <f>SUM(H26:H53)</f>
        <v>3139</v>
      </c>
      <c r="I54" s="457">
        <f>SUM(I26:I53)</f>
        <v>3049</v>
      </c>
      <c r="J54" s="457"/>
      <c r="K54" s="511">
        <f>SUM(K26:K53)</f>
        <v>15.235671676842857</v>
      </c>
      <c r="L54" s="457">
        <f>SUM(L26:L53)</f>
        <v>3145</v>
      </c>
      <c r="M54" s="457">
        <f>SUM(M26:M53)</f>
        <v>2218</v>
      </c>
      <c r="N54" s="457"/>
      <c r="O54" s="511">
        <f>SUM(O26:O53)</f>
        <v>8.8030724429714304</v>
      </c>
      <c r="P54" s="457">
        <f>SUM(P26:P53)</f>
        <v>2743</v>
      </c>
      <c r="Q54" s="457">
        <f>SUM(Q26:Q53)</f>
        <v>1706</v>
      </c>
      <c r="R54" s="457"/>
      <c r="S54" s="511">
        <f>SUM(S26:S53)</f>
        <v>8.4962955386285728</v>
      </c>
      <c r="T54" s="457">
        <f>SUM(T26:T53)</f>
        <v>2655</v>
      </c>
      <c r="U54" s="457">
        <f>SUM(U26:U53)</f>
        <v>2003</v>
      </c>
      <c r="V54" s="457"/>
      <c r="W54" s="457">
        <f>SUM(W26:W53)</f>
        <v>10.216074821614287</v>
      </c>
      <c r="X54" s="457">
        <f t="shared" ref="X54:AW54" si="103">SUM(X26:X53)</f>
        <v>2641</v>
      </c>
      <c r="Y54" s="457">
        <f t="shared" si="103"/>
        <v>1729</v>
      </c>
      <c r="Z54" s="457"/>
      <c r="AA54" s="457">
        <f>SUM(AA26:AA53)</f>
        <v>10.213067799257143</v>
      </c>
      <c r="AB54" s="457">
        <f t="shared" si="103"/>
        <v>2858</v>
      </c>
      <c r="AC54" s="457">
        <f t="shared" ref="AC54" si="104">SUM(AC26:AC53)</f>
        <v>1838</v>
      </c>
      <c r="AD54" s="457"/>
      <c r="AE54" s="457">
        <f>SUM(AE26:AE53)</f>
        <v>12.679658421640665</v>
      </c>
      <c r="AF54" s="457">
        <f t="shared" si="103"/>
        <v>2884</v>
      </c>
      <c r="AG54" s="457">
        <f t="shared" si="103"/>
        <v>1494</v>
      </c>
      <c r="AH54" s="457"/>
      <c r="AI54" s="457">
        <f>SUM(AI26:AI53)</f>
        <v>9.9963611201495475</v>
      </c>
      <c r="AJ54" s="457">
        <f t="shared" si="103"/>
        <v>2892</v>
      </c>
      <c r="AK54" s="457">
        <f t="shared" ref="AK54" si="105">SUM(AK26:AK53)</f>
        <v>1211</v>
      </c>
      <c r="AL54" s="457"/>
      <c r="AM54" s="457">
        <f>SUM(AM26:AM53)</f>
        <v>9.446979785734289</v>
      </c>
      <c r="AN54" s="457">
        <f t="shared" si="103"/>
        <v>2764</v>
      </c>
      <c r="AO54" s="457">
        <f t="shared" si="103"/>
        <v>1967</v>
      </c>
      <c r="AP54" s="457"/>
      <c r="AQ54" s="457">
        <f>SUM(AQ26:AQ53)</f>
        <v>13.551221825550233</v>
      </c>
      <c r="AR54" s="457">
        <f t="shared" si="103"/>
        <v>2780</v>
      </c>
      <c r="AS54" s="457">
        <f t="shared" ref="AS54" si="106">SUM(AS26:AS53)</f>
        <v>1411</v>
      </c>
      <c r="AT54" s="457"/>
      <c r="AU54" s="457">
        <f>SUM(AU26:AU53)</f>
        <v>9.4891098428158109</v>
      </c>
      <c r="AV54" s="457">
        <f t="shared" si="103"/>
        <v>2686</v>
      </c>
      <c r="AW54" s="457">
        <f t="shared" si="103"/>
        <v>0</v>
      </c>
      <c r="AX54" s="457"/>
      <c r="AY54" s="457">
        <f>SUM(AY26:AY53)</f>
        <v>0</v>
      </c>
      <c r="AZ54" s="457">
        <f t="shared" ref="AZ54:BN54" si="107">SUM(AZ26:AZ53)</f>
        <v>9503</v>
      </c>
      <c r="BA54" s="458">
        <f t="shared" si="107"/>
        <v>7272</v>
      </c>
      <c r="BB54" s="511">
        <f t="shared" si="107"/>
        <v>35.225328152871434</v>
      </c>
      <c r="BC54" s="457">
        <f t="shared" si="107"/>
        <v>8039</v>
      </c>
      <c r="BD54" s="458">
        <f t="shared" si="107"/>
        <v>5438</v>
      </c>
      <c r="BE54" s="457">
        <f t="shared" si="107"/>
        <v>28.925438159499997</v>
      </c>
      <c r="BF54" s="457">
        <f t="shared" si="107"/>
        <v>8634</v>
      </c>
      <c r="BG54" s="457">
        <f t="shared" si="107"/>
        <v>4543</v>
      </c>
      <c r="BH54" s="458">
        <f t="shared" si="107"/>
        <v>32.122999327524496</v>
      </c>
      <c r="BI54" s="457">
        <f t="shared" si="107"/>
        <v>8230</v>
      </c>
      <c r="BJ54" s="457">
        <f t="shared" si="107"/>
        <v>3378</v>
      </c>
      <c r="BK54" s="458">
        <f t="shared" si="107"/>
        <v>23.04033166836604</v>
      </c>
      <c r="BL54" s="457">
        <f t="shared" si="107"/>
        <v>34406</v>
      </c>
      <c r="BM54" s="457">
        <f t="shared" si="107"/>
        <v>20631</v>
      </c>
      <c r="BN54" s="457">
        <f t="shared" si="107"/>
        <v>119.31409730826198</v>
      </c>
      <c r="BO54" s="525">
        <f>IFERROR(BM54/BL54,0)</f>
        <v>0.59963378480497587</v>
      </c>
      <c r="BP54" s="474"/>
      <c r="BQ54" s="457">
        <f t="shared" ref="BQ54:BR54" si="108">SUM(BQ26:BQ53)</f>
        <v>17542</v>
      </c>
      <c r="BR54" s="458">
        <f t="shared" si="108"/>
        <v>12710</v>
      </c>
      <c r="BS54" s="458"/>
      <c r="BT54" s="458"/>
      <c r="BU54" s="467">
        <f t="shared" si="27"/>
        <v>0.72454680196100785</v>
      </c>
      <c r="CA54" s="457">
        <f t="shared" ref="CA54:CB54" si="109">SUM(CA26:CA53)</f>
        <v>17542</v>
      </c>
      <c r="CB54" s="457">
        <f t="shared" si="109"/>
        <v>12710</v>
      </c>
      <c r="CC54" s="467">
        <f t="shared" si="8"/>
        <v>0.72454680196100785</v>
      </c>
      <c r="CD54" s="511">
        <f t="shared" ref="CD54" si="110">SUM(CD26:CD53)</f>
        <v>64.150766312371445</v>
      </c>
      <c r="CE54" s="525">
        <f t="shared" si="89"/>
        <v>0.36941231180608036</v>
      </c>
    </row>
    <row r="55" spans="1:83" ht="12.6" customHeight="1">
      <c r="A55" s="254"/>
      <c r="B55" s="254"/>
      <c r="C55" s="495"/>
      <c r="D55" s="254"/>
      <c r="E55" s="254"/>
      <c r="F55" s="254"/>
      <c r="G55" s="513"/>
      <c r="H55" s="254"/>
      <c r="I55" s="254"/>
      <c r="J55" s="254"/>
      <c r="K55" s="513"/>
      <c r="L55" s="254"/>
      <c r="M55" s="254"/>
      <c r="N55" s="254"/>
      <c r="O55" s="513"/>
      <c r="P55" s="254"/>
      <c r="Q55" s="254"/>
      <c r="R55" s="254"/>
      <c r="S55" s="513"/>
      <c r="T55" s="254"/>
      <c r="U55" s="254"/>
      <c r="V55" s="254"/>
      <c r="W55" s="254"/>
      <c r="X55" s="254"/>
      <c r="Y55" s="254"/>
      <c r="Z55" s="254"/>
      <c r="AA55" s="254"/>
      <c r="AB55" s="254"/>
      <c r="AC55" s="254"/>
      <c r="AD55" s="254"/>
      <c r="AE55" s="254"/>
      <c r="AF55" s="254"/>
      <c r="AG55" s="254"/>
      <c r="AH55" s="254"/>
      <c r="AI55" s="254"/>
      <c r="AJ55" s="254"/>
      <c r="AK55" s="254"/>
      <c r="AL55" s="254"/>
      <c r="AM55" s="254"/>
      <c r="AN55" s="254"/>
      <c r="AO55" s="254"/>
      <c r="AP55" s="254"/>
      <c r="AQ55" s="254"/>
      <c r="AR55" s="254"/>
      <c r="AS55" s="254"/>
      <c r="AT55" s="254"/>
      <c r="AU55" s="254"/>
      <c r="AV55" s="254"/>
      <c r="AW55" s="254"/>
      <c r="AX55" s="254"/>
      <c r="AY55" s="254"/>
      <c r="AZ55" s="254"/>
      <c r="BA55" s="461"/>
      <c r="BB55" s="513"/>
      <c r="BC55" s="254"/>
      <c r="BD55" s="461"/>
      <c r="BE55" s="461"/>
      <c r="BF55" s="461"/>
      <c r="BG55" s="254"/>
      <c r="BH55" s="461"/>
      <c r="BI55" s="254"/>
      <c r="BJ55" s="254"/>
      <c r="BK55" s="461"/>
      <c r="BL55" s="254"/>
      <c r="BM55" s="254"/>
      <c r="BN55" s="461"/>
      <c r="BO55" s="469">
        <f t="shared" si="53"/>
        <v>0</v>
      </c>
      <c r="BP55" s="474"/>
      <c r="BQ55" s="254"/>
      <c r="BR55" s="461"/>
      <c r="BS55" s="461"/>
      <c r="BT55" s="461"/>
      <c r="BU55" s="469">
        <f t="shared" si="27"/>
        <v>0</v>
      </c>
      <c r="CA55" s="521"/>
      <c r="CB55" s="495"/>
      <c r="CC55" s="469">
        <f t="shared" si="8"/>
        <v>0</v>
      </c>
      <c r="CD55" s="529"/>
      <c r="CE55" s="469">
        <f t="shared" si="89"/>
        <v>0</v>
      </c>
    </row>
    <row r="56" spans="1:83" ht="12.6" customHeight="1">
      <c r="A56" s="254" t="s">
        <v>56</v>
      </c>
      <c r="B56" s="129">
        <v>11000</v>
      </c>
      <c r="C56" s="23">
        <v>36</v>
      </c>
      <c r="D56" s="497">
        <v>900</v>
      </c>
      <c r="E56" s="497">
        <v>281</v>
      </c>
      <c r="F56" s="497">
        <v>746</v>
      </c>
      <c r="G56" s="509">
        <f t="shared" ref="G56:G60" si="111">E56*(F56-C56)*66.47/10^7</f>
        <v>1.32614297</v>
      </c>
      <c r="H56" s="497">
        <v>900</v>
      </c>
      <c r="I56" s="497">
        <v>411</v>
      </c>
      <c r="J56" s="497">
        <v>717</v>
      </c>
      <c r="K56" s="509">
        <f t="shared" ref="K56:K57" si="112">I56*(J56-C56)*66.91/10^7</f>
        <v>1.8727506809999999</v>
      </c>
      <c r="L56" s="497">
        <v>900</v>
      </c>
      <c r="M56" s="497">
        <v>349</v>
      </c>
      <c r="N56" s="497">
        <v>705</v>
      </c>
      <c r="O56" s="509">
        <f t="shared" ref="O56:O57" si="113">M56*(N56-C56)*67.28/10^7</f>
        <v>1.5708601680000001</v>
      </c>
      <c r="P56" s="497">
        <v>900</v>
      </c>
      <c r="Q56" s="497">
        <v>371</v>
      </c>
      <c r="R56" s="497">
        <v>687</v>
      </c>
      <c r="S56" s="509">
        <f t="shared" ref="S56:S57" si="114">Q56*(R56-C56)*67.28/10^7</f>
        <v>1.6249532880000002</v>
      </c>
      <c r="T56" s="497">
        <v>900</v>
      </c>
      <c r="U56" s="497">
        <v>570</v>
      </c>
      <c r="V56" s="497">
        <v>666</v>
      </c>
      <c r="W56" s="509">
        <f t="shared" ref="W56:W60" si="115">U56*(V56-C56)*66.93/10^7</f>
        <v>2.4034563000000002</v>
      </c>
      <c r="X56" s="497">
        <v>900</v>
      </c>
      <c r="Y56" s="497">
        <v>629</v>
      </c>
      <c r="Z56" s="497">
        <v>643</v>
      </c>
      <c r="AA56" s="509">
        <f t="shared" ref="AA56:AA57" si="116">Y56*(Z56-C56)*66.69/10^7</f>
        <v>2.546244207</v>
      </c>
      <c r="AB56" s="497">
        <v>900</v>
      </c>
      <c r="AC56" s="497">
        <v>310</v>
      </c>
      <c r="AD56" s="497">
        <v>631</v>
      </c>
      <c r="AE56" s="509">
        <f>AC56*(AD56-G56)*66.73/10^7</f>
        <v>1.302562230867969</v>
      </c>
      <c r="AF56" s="497">
        <v>900</v>
      </c>
      <c r="AG56" s="497">
        <v>330</v>
      </c>
      <c r="AH56" s="497">
        <v>647</v>
      </c>
      <c r="AI56" s="509">
        <f>AG56*(AH56-K56)*67.58/10^7</f>
        <v>1.4387240837962749</v>
      </c>
      <c r="AJ56" s="129">
        <v>950</v>
      </c>
      <c r="AK56" s="497">
        <v>227</v>
      </c>
      <c r="AL56" s="497">
        <v>696</v>
      </c>
      <c r="AM56" s="509">
        <f>AK56*(AL56-O56)*67.91/10^7</f>
        <v>1.0705021015119984</v>
      </c>
      <c r="AN56" s="129">
        <v>950</v>
      </c>
      <c r="AO56" s="497">
        <v>322</v>
      </c>
      <c r="AP56" s="497">
        <v>704</v>
      </c>
      <c r="AQ56" s="509">
        <f>AO56*(AP56-S56)*68.01/10^7</f>
        <v>1.5381465670456365</v>
      </c>
      <c r="AR56" s="129">
        <v>950</v>
      </c>
      <c r="AS56" s="497">
        <v>576</v>
      </c>
      <c r="AT56" s="497">
        <v>702</v>
      </c>
      <c r="AU56" s="509">
        <f>AS56*(AT56-W56)*67.01/10^7</f>
        <v>2.700285949056211</v>
      </c>
      <c r="AV56" s="129">
        <v>950</v>
      </c>
      <c r="AW56" s="497"/>
      <c r="AX56" s="497"/>
      <c r="AY56" s="509">
        <f t="shared" ref="AY56:AY57" si="117">AW56*(AX56-AA56)*66.69/10^7</f>
        <v>0</v>
      </c>
      <c r="AZ56" s="23">
        <f t="shared" ref="AZ56:AZ60" si="118">+D56+H56+L56</f>
        <v>2700</v>
      </c>
      <c r="BA56" s="23">
        <f t="shared" ref="BA56:BA60" si="119">+E56+I56+M56</f>
        <v>1041</v>
      </c>
      <c r="BB56" s="509">
        <f t="shared" ref="BB56:BB60" si="120">+G56+K56+O56</f>
        <v>4.769753819</v>
      </c>
      <c r="BC56" s="23">
        <f t="shared" ref="BC56:BC60" si="121">+P56+T56+X56</f>
        <v>2700</v>
      </c>
      <c r="BD56" s="257">
        <f t="shared" ref="BD56:BD60" si="122">+Q56+U56+Y56</f>
        <v>1570</v>
      </c>
      <c r="BE56" s="257">
        <f t="shared" ref="BE56:BE60" si="123">S56+W56+AA56</f>
        <v>6.5746537950000006</v>
      </c>
      <c r="BF56" s="257">
        <f t="shared" ref="BF56:BF60" si="124">AB56+AF56+AJ56</f>
        <v>2750</v>
      </c>
      <c r="BG56" s="23">
        <f t="shared" ref="BG56:BG60" si="125">AC56+AG56+AK56</f>
        <v>867</v>
      </c>
      <c r="BH56" s="257">
        <f t="shared" ref="BH56:BH60" si="126">AE56+AI56+AM56</f>
        <v>3.8117884161762419</v>
      </c>
      <c r="BI56" s="23">
        <f t="shared" ref="BI56:BI60" si="127">+AN56+AR56+AV56</f>
        <v>2850</v>
      </c>
      <c r="BJ56" s="23">
        <f t="shared" ref="BJ56:BJ60" si="128">+AO56+AS56+AW56</f>
        <v>898</v>
      </c>
      <c r="BK56" s="257">
        <f t="shared" ref="BK56:BK60" si="129">AQ56+AU56+AY56</f>
        <v>4.238432516101847</v>
      </c>
      <c r="BL56" s="23">
        <f t="shared" ref="BL56:BL60" si="130">AZ56+BC56+BF56+BI56</f>
        <v>11000</v>
      </c>
      <c r="BM56" s="23">
        <f t="shared" ref="BM56:BM60" si="131">BA56+BD56+BG56+BJ56</f>
        <v>4376</v>
      </c>
      <c r="BN56" s="257">
        <f t="shared" ref="BN56:BN60" si="132">BB56+BE56+BH56+BK56</f>
        <v>19.394628546278092</v>
      </c>
      <c r="BO56" s="466">
        <f t="shared" ref="BO56:BO60" si="133">IFERROR(BM56/BL56,0)</f>
        <v>0.39781818181818179</v>
      </c>
      <c r="BP56" s="474"/>
      <c r="BQ56" s="23">
        <f t="shared" ref="BQ56:BR60" si="134">AZ56+BC56</f>
        <v>5400</v>
      </c>
      <c r="BR56" s="23">
        <f t="shared" si="134"/>
        <v>2611</v>
      </c>
      <c r="BS56" s="23"/>
      <c r="BT56" s="23"/>
      <c r="BU56" s="466">
        <f t="shared" si="27"/>
        <v>0.48351851851851851</v>
      </c>
      <c r="CA56" s="23">
        <f t="shared" ref="CA56:CB60" si="135">D56+H56+L56+P56+T56+X56</f>
        <v>5400</v>
      </c>
      <c r="CB56" s="23">
        <f t="shared" si="135"/>
        <v>2611</v>
      </c>
      <c r="CC56" s="466">
        <f t="shared" ref="CC56:CC60" si="136">IFERROR(CB56/CA56,0)</f>
        <v>0.48351851851851851</v>
      </c>
      <c r="CD56" s="509">
        <f>G56+K56+O56+S56+W56+AA56</f>
        <v>11.344407614000001</v>
      </c>
      <c r="CE56" s="466">
        <f t="shared" si="89"/>
        <v>0.23736363636363636</v>
      </c>
    </row>
    <row r="57" spans="1:83" ht="12.6" customHeight="1">
      <c r="A57" s="254" t="s">
        <v>57</v>
      </c>
      <c r="B57" s="129">
        <v>4000</v>
      </c>
      <c r="C57" s="23">
        <v>36</v>
      </c>
      <c r="D57" s="497">
        <v>350</v>
      </c>
      <c r="E57" s="497">
        <v>102</v>
      </c>
      <c r="F57" s="497">
        <v>850</v>
      </c>
      <c r="G57" s="509">
        <f t="shared" si="111"/>
        <v>0.55188711600000007</v>
      </c>
      <c r="H57" s="497">
        <v>350</v>
      </c>
      <c r="I57" s="497">
        <v>225</v>
      </c>
      <c r="J57" s="497">
        <v>830</v>
      </c>
      <c r="K57" s="509">
        <f t="shared" si="112"/>
        <v>1.1953471499999999</v>
      </c>
      <c r="L57" s="497">
        <v>350</v>
      </c>
      <c r="M57" s="497">
        <v>233</v>
      </c>
      <c r="N57" s="497">
        <v>814</v>
      </c>
      <c r="O57" s="509">
        <f t="shared" si="113"/>
        <v>1.219611472</v>
      </c>
      <c r="P57" s="497">
        <v>350</v>
      </c>
      <c r="Q57" s="497">
        <v>255</v>
      </c>
      <c r="R57" s="497">
        <v>776</v>
      </c>
      <c r="S57" s="509">
        <f t="shared" si="114"/>
        <v>1.2695736</v>
      </c>
      <c r="T57" s="497">
        <v>350</v>
      </c>
      <c r="U57" s="497">
        <v>385</v>
      </c>
      <c r="V57" s="497">
        <v>743</v>
      </c>
      <c r="W57" s="509">
        <f t="shared" si="115"/>
        <v>1.8218011350000001</v>
      </c>
      <c r="X57" s="497">
        <v>350</v>
      </c>
      <c r="Y57" s="497">
        <v>426</v>
      </c>
      <c r="Z57" s="497">
        <v>710</v>
      </c>
      <c r="AA57" s="509">
        <f t="shared" si="116"/>
        <v>1.9148299559999999</v>
      </c>
      <c r="AB57" s="497">
        <v>350</v>
      </c>
      <c r="AC57" s="497">
        <v>123</v>
      </c>
      <c r="AD57" s="497">
        <v>727</v>
      </c>
      <c r="AE57" s="509">
        <f>AC57*(AD57-G57)*66.73/10^7</f>
        <v>0.59625335564481663</v>
      </c>
      <c r="AF57" s="497">
        <v>350</v>
      </c>
      <c r="AG57" s="497">
        <v>142</v>
      </c>
      <c r="AH57" s="497">
        <v>770</v>
      </c>
      <c r="AI57" s="509">
        <f>AG57*(AH57-K57)*67.58/10^7</f>
        <v>0.73777262184236259</v>
      </c>
      <c r="AJ57" s="129">
        <v>300</v>
      </c>
      <c r="AK57" s="497">
        <v>194</v>
      </c>
      <c r="AL57" s="497">
        <v>791</v>
      </c>
      <c r="AM57" s="509">
        <f>AK57*(AL57-O57)*67.91/10^7</f>
        <v>1.0404993319877676</v>
      </c>
      <c r="AN57" s="129">
        <v>300</v>
      </c>
      <c r="AO57" s="497">
        <v>222</v>
      </c>
      <c r="AP57" s="497">
        <v>790</v>
      </c>
      <c r="AQ57" s="509">
        <f>AO57*(AP57-S57)*68.01/10^7</f>
        <v>1.190842549848101</v>
      </c>
      <c r="AR57" s="129">
        <v>300</v>
      </c>
      <c r="AS57" s="497">
        <v>164</v>
      </c>
      <c r="AT57" s="497">
        <v>810</v>
      </c>
      <c r="AU57" s="509">
        <f>AS57*(AT57-W57)*67.01/10^7</f>
        <v>0.88815874613747592</v>
      </c>
      <c r="AV57" s="129">
        <v>300</v>
      </c>
      <c r="AW57" s="497"/>
      <c r="AX57" s="497"/>
      <c r="AY57" s="509">
        <f t="shared" si="117"/>
        <v>0</v>
      </c>
      <c r="AZ57" s="23">
        <f t="shared" si="118"/>
        <v>1050</v>
      </c>
      <c r="BA57" s="23">
        <f t="shared" si="119"/>
        <v>560</v>
      </c>
      <c r="BB57" s="509">
        <f t="shared" si="120"/>
        <v>2.966845738</v>
      </c>
      <c r="BC57" s="23">
        <f t="shared" si="121"/>
        <v>1050</v>
      </c>
      <c r="BD57" s="257">
        <f t="shared" si="122"/>
        <v>1066</v>
      </c>
      <c r="BE57" s="257">
        <f t="shared" si="123"/>
        <v>5.0062046909999998</v>
      </c>
      <c r="BF57" s="257">
        <f t="shared" si="124"/>
        <v>1000</v>
      </c>
      <c r="BG57" s="23">
        <f t="shared" si="125"/>
        <v>459</v>
      </c>
      <c r="BH57" s="257">
        <f t="shared" si="126"/>
        <v>2.3745253094749468</v>
      </c>
      <c r="BI57" s="23">
        <f t="shared" si="127"/>
        <v>900</v>
      </c>
      <c r="BJ57" s="23">
        <f t="shared" si="128"/>
        <v>386</v>
      </c>
      <c r="BK57" s="257">
        <f t="shared" si="129"/>
        <v>2.0790012959855768</v>
      </c>
      <c r="BL57" s="23">
        <f t="shared" si="130"/>
        <v>4000</v>
      </c>
      <c r="BM57" s="23">
        <f t="shared" si="131"/>
        <v>2471</v>
      </c>
      <c r="BN57" s="257">
        <f t="shared" si="132"/>
        <v>12.426577034460523</v>
      </c>
      <c r="BO57" s="466">
        <f t="shared" si="133"/>
        <v>0.61775000000000002</v>
      </c>
      <c r="BP57" s="474"/>
      <c r="BQ57" s="23">
        <f t="shared" si="134"/>
        <v>2100</v>
      </c>
      <c r="BR57" s="23">
        <f t="shared" si="134"/>
        <v>1626</v>
      </c>
      <c r="BS57" s="23"/>
      <c r="BT57" s="23"/>
      <c r="BU57" s="466">
        <f t="shared" si="27"/>
        <v>0.77428571428571424</v>
      </c>
      <c r="CA57" s="23">
        <f t="shared" si="135"/>
        <v>2100</v>
      </c>
      <c r="CB57" s="23">
        <f t="shared" si="135"/>
        <v>1626</v>
      </c>
      <c r="CC57" s="466">
        <f t="shared" si="136"/>
        <v>0.77428571428571424</v>
      </c>
      <c r="CD57" s="509">
        <f>G57+K57+O57+S57+W57+AA57</f>
        <v>7.9730504290000006</v>
      </c>
      <c r="CE57" s="466">
        <f t="shared" si="89"/>
        <v>0.40649999999999997</v>
      </c>
    </row>
    <row r="58" spans="1:83" ht="12.6" customHeight="1">
      <c r="A58" s="254" t="s">
        <v>58</v>
      </c>
      <c r="B58" s="129">
        <v>0</v>
      </c>
      <c r="C58" s="23"/>
      <c r="D58" s="129"/>
      <c r="E58" s="129"/>
      <c r="F58" s="129"/>
      <c r="G58" s="509">
        <f t="shared" si="111"/>
        <v>0</v>
      </c>
      <c r="H58" s="129"/>
      <c r="I58" s="129"/>
      <c r="J58" s="129"/>
      <c r="K58" s="509"/>
      <c r="L58" s="129"/>
      <c r="M58" s="129"/>
      <c r="N58" s="129"/>
      <c r="O58" s="509"/>
      <c r="P58" s="129"/>
      <c r="Q58" s="129"/>
      <c r="R58" s="129"/>
      <c r="S58" s="509"/>
      <c r="T58" s="129"/>
      <c r="U58" s="129"/>
      <c r="V58" s="129"/>
      <c r="W58" s="509">
        <f t="shared" si="115"/>
        <v>0</v>
      </c>
      <c r="X58" s="129"/>
      <c r="Y58" s="129"/>
      <c r="Z58" s="129"/>
      <c r="AA58" s="509"/>
      <c r="AB58" s="129"/>
      <c r="AC58" s="129"/>
      <c r="AD58" s="129"/>
      <c r="AE58" s="509"/>
      <c r="AF58" s="129"/>
      <c r="AG58" s="129"/>
      <c r="AH58" s="129"/>
      <c r="AI58" s="509"/>
      <c r="AJ58" s="129"/>
      <c r="AK58" s="129"/>
      <c r="AL58" s="129"/>
      <c r="AM58" s="509"/>
      <c r="AN58" s="129"/>
      <c r="AO58" s="129"/>
      <c r="AP58" s="129"/>
      <c r="AQ58" s="509"/>
      <c r="AR58" s="129"/>
      <c r="AS58" s="129"/>
      <c r="AT58" s="129"/>
      <c r="AU58" s="509"/>
      <c r="AV58" s="129"/>
      <c r="AW58" s="129"/>
      <c r="AX58" s="129"/>
      <c r="AY58" s="509"/>
      <c r="AZ58" s="23">
        <f t="shared" si="118"/>
        <v>0</v>
      </c>
      <c r="BA58" s="23">
        <f t="shared" si="119"/>
        <v>0</v>
      </c>
      <c r="BB58" s="509">
        <f t="shared" si="120"/>
        <v>0</v>
      </c>
      <c r="BC58" s="23">
        <f t="shared" si="121"/>
        <v>0</v>
      </c>
      <c r="BD58" s="257">
        <f t="shared" si="122"/>
        <v>0</v>
      </c>
      <c r="BE58" s="257">
        <f t="shared" si="123"/>
        <v>0</v>
      </c>
      <c r="BF58" s="257">
        <f t="shared" si="124"/>
        <v>0</v>
      </c>
      <c r="BG58" s="23">
        <f t="shared" si="125"/>
        <v>0</v>
      </c>
      <c r="BH58" s="257">
        <f t="shared" si="126"/>
        <v>0</v>
      </c>
      <c r="BI58" s="23">
        <f t="shared" si="127"/>
        <v>0</v>
      </c>
      <c r="BJ58" s="23">
        <f t="shared" si="128"/>
        <v>0</v>
      </c>
      <c r="BK58" s="257">
        <f t="shared" si="129"/>
        <v>0</v>
      </c>
      <c r="BL58" s="23">
        <f t="shared" si="130"/>
        <v>0</v>
      </c>
      <c r="BM58" s="23">
        <f t="shared" si="131"/>
        <v>0</v>
      </c>
      <c r="BN58" s="257">
        <f t="shared" si="132"/>
        <v>0</v>
      </c>
      <c r="BO58" s="466">
        <f t="shared" si="133"/>
        <v>0</v>
      </c>
      <c r="BP58" s="474"/>
      <c r="BQ58" s="23">
        <f t="shared" si="134"/>
        <v>0</v>
      </c>
      <c r="BR58" s="23">
        <f t="shared" si="134"/>
        <v>0</v>
      </c>
      <c r="BS58" s="23"/>
      <c r="BT58" s="23"/>
      <c r="BU58" s="466">
        <f t="shared" si="27"/>
        <v>0</v>
      </c>
      <c r="CA58" s="23">
        <f t="shared" si="135"/>
        <v>0</v>
      </c>
      <c r="CB58" s="23">
        <f t="shared" si="135"/>
        <v>0</v>
      </c>
      <c r="CC58" s="466">
        <f t="shared" si="136"/>
        <v>0</v>
      </c>
      <c r="CD58" s="509">
        <f>G58+K58+O58+S58+W58+AA58</f>
        <v>0</v>
      </c>
      <c r="CE58" s="466">
        <f t="shared" si="89"/>
        <v>0</v>
      </c>
    </row>
    <row r="59" spans="1:83" ht="12.6" customHeight="1">
      <c r="A59" s="254" t="s">
        <v>103</v>
      </c>
      <c r="B59" s="129">
        <v>0</v>
      </c>
      <c r="C59" s="23"/>
      <c r="D59" s="129"/>
      <c r="E59" s="129"/>
      <c r="F59" s="129"/>
      <c r="G59" s="509">
        <f t="shared" si="111"/>
        <v>0</v>
      </c>
      <c r="H59" s="129"/>
      <c r="I59" s="129"/>
      <c r="J59" s="129"/>
      <c r="K59" s="509"/>
      <c r="L59" s="129"/>
      <c r="M59" s="129"/>
      <c r="N59" s="129"/>
      <c r="O59" s="509"/>
      <c r="P59" s="129"/>
      <c r="Q59" s="129"/>
      <c r="R59" s="129"/>
      <c r="S59" s="509"/>
      <c r="T59" s="129"/>
      <c r="U59" s="129"/>
      <c r="V59" s="129"/>
      <c r="W59" s="509">
        <f t="shared" si="115"/>
        <v>0</v>
      </c>
      <c r="X59" s="129"/>
      <c r="Y59" s="129"/>
      <c r="Z59" s="129"/>
      <c r="AA59" s="509"/>
      <c r="AB59" s="129"/>
      <c r="AC59" s="129"/>
      <c r="AD59" s="129"/>
      <c r="AE59" s="509"/>
      <c r="AF59" s="129"/>
      <c r="AG59" s="129"/>
      <c r="AH59" s="129"/>
      <c r="AI59" s="509"/>
      <c r="AJ59" s="129"/>
      <c r="AK59" s="129"/>
      <c r="AL59" s="129"/>
      <c r="AM59" s="509"/>
      <c r="AN59" s="129"/>
      <c r="AO59" s="129"/>
      <c r="AP59" s="129"/>
      <c r="AQ59" s="509"/>
      <c r="AR59" s="129"/>
      <c r="AS59" s="129"/>
      <c r="AT59" s="129"/>
      <c r="AU59" s="509"/>
      <c r="AV59" s="129"/>
      <c r="AW59" s="129"/>
      <c r="AX59" s="129"/>
      <c r="AY59" s="509"/>
      <c r="AZ59" s="23">
        <f t="shared" si="118"/>
        <v>0</v>
      </c>
      <c r="BA59" s="23">
        <f t="shared" si="119"/>
        <v>0</v>
      </c>
      <c r="BB59" s="509">
        <f t="shared" si="120"/>
        <v>0</v>
      </c>
      <c r="BC59" s="23">
        <f t="shared" si="121"/>
        <v>0</v>
      </c>
      <c r="BD59" s="257">
        <f t="shared" si="122"/>
        <v>0</v>
      </c>
      <c r="BE59" s="257">
        <f t="shared" si="123"/>
        <v>0</v>
      </c>
      <c r="BF59" s="257">
        <f t="shared" si="124"/>
        <v>0</v>
      </c>
      <c r="BG59" s="23">
        <f t="shared" si="125"/>
        <v>0</v>
      </c>
      <c r="BH59" s="257">
        <f t="shared" si="126"/>
        <v>0</v>
      </c>
      <c r="BI59" s="23">
        <f t="shared" si="127"/>
        <v>0</v>
      </c>
      <c r="BJ59" s="23">
        <f t="shared" si="128"/>
        <v>0</v>
      </c>
      <c r="BK59" s="257">
        <f t="shared" si="129"/>
        <v>0</v>
      </c>
      <c r="BL59" s="23">
        <f t="shared" si="130"/>
        <v>0</v>
      </c>
      <c r="BM59" s="23">
        <f t="shared" si="131"/>
        <v>0</v>
      </c>
      <c r="BN59" s="257">
        <f t="shared" si="132"/>
        <v>0</v>
      </c>
      <c r="BO59" s="466">
        <f t="shared" si="133"/>
        <v>0</v>
      </c>
      <c r="BP59" s="474"/>
      <c r="BQ59" s="23">
        <f t="shared" si="134"/>
        <v>0</v>
      </c>
      <c r="BR59" s="23">
        <f t="shared" si="134"/>
        <v>0</v>
      </c>
      <c r="BS59" s="23"/>
      <c r="BT59" s="23"/>
      <c r="BU59" s="466">
        <f t="shared" si="27"/>
        <v>0</v>
      </c>
      <c r="CA59" s="23">
        <f t="shared" si="135"/>
        <v>0</v>
      </c>
      <c r="CB59" s="23">
        <f t="shared" si="135"/>
        <v>0</v>
      </c>
      <c r="CC59" s="466">
        <f t="shared" si="136"/>
        <v>0</v>
      </c>
      <c r="CD59" s="509">
        <f>G59+K59+O59+S59+W59+AA59</f>
        <v>0</v>
      </c>
      <c r="CE59" s="466">
        <f t="shared" si="89"/>
        <v>0</v>
      </c>
    </row>
    <row r="60" spans="1:83" ht="12.6" customHeight="1">
      <c r="A60" s="254" t="s">
        <v>59</v>
      </c>
      <c r="B60" s="129">
        <v>0</v>
      </c>
      <c r="C60" s="23"/>
      <c r="D60" s="129"/>
      <c r="E60" s="129"/>
      <c r="F60" s="129"/>
      <c r="G60" s="509">
        <f t="shared" si="111"/>
        <v>0</v>
      </c>
      <c r="H60" s="129"/>
      <c r="I60" s="129"/>
      <c r="J60" s="129"/>
      <c r="K60" s="509"/>
      <c r="L60" s="129"/>
      <c r="M60" s="129"/>
      <c r="N60" s="129"/>
      <c r="O60" s="509"/>
      <c r="P60" s="129"/>
      <c r="Q60" s="129"/>
      <c r="R60" s="129"/>
      <c r="S60" s="509"/>
      <c r="T60" s="129"/>
      <c r="U60" s="129"/>
      <c r="V60" s="129"/>
      <c r="W60" s="509">
        <f t="shared" si="115"/>
        <v>0</v>
      </c>
      <c r="X60" s="129"/>
      <c r="Y60" s="129"/>
      <c r="Z60" s="129"/>
      <c r="AA60" s="509"/>
      <c r="AB60" s="129"/>
      <c r="AC60" s="129"/>
      <c r="AD60" s="129"/>
      <c r="AE60" s="509"/>
      <c r="AF60" s="129"/>
      <c r="AG60" s="129"/>
      <c r="AH60" s="129"/>
      <c r="AI60" s="509"/>
      <c r="AJ60" s="129"/>
      <c r="AK60" s="129"/>
      <c r="AL60" s="129"/>
      <c r="AM60" s="509"/>
      <c r="AN60" s="129"/>
      <c r="AO60" s="129"/>
      <c r="AP60" s="129"/>
      <c r="AQ60" s="509"/>
      <c r="AR60" s="129"/>
      <c r="AS60" s="129"/>
      <c r="AT60" s="129"/>
      <c r="AU60" s="509"/>
      <c r="AV60" s="129"/>
      <c r="AW60" s="129"/>
      <c r="AX60" s="129"/>
      <c r="AY60" s="509"/>
      <c r="AZ60" s="23">
        <f t="shared" si="118"/>
        <v>0</v>
      </c>
      <c r="BA60" s="23">
        <f t="shared" si="119"/>
        <v>0</v>
      </c>
      <c r="BB60" s="509">
        <f t="shared" si="120"/>
        <v>0</v>
      </c>
      <c r="BC60" s="23">
        <f t="shared" si="121"/>
        <v>0</v>
      </c>
      <c r="BD60" s="257">
        <f t="shared" si="122"/>
        <v>0</v>
      </c>
      <c r="BE60" s="257">
        <f t="shared" si="123"/>
        <v>0</v>
      </c>
      <c r="BF60" s="257">
        <f t="shared" si="124"/>
        <v>0</v>
      </c>
      <c r="BG60" s="23">
        <f t="shared" si="125"/>
        <v>0</v>
      </c>
      <c r="BH60" s="257">
        <f t="shared" si="126"/>
        <v>0</v>
      </c>
      <c r="BI60" s="23">
        <f t="shared" si="127"/>
        <v>0</v>
      </c>
      <c r="BJ60" s="23">
        <f t="shared" si="128"/>
        <v>0</v>
      </c>
      <c r="BK60" s="257">
        <f t="shared" si="129"/>
        <v>0</v>
      </c>
      <c r="BL60" s="23">
        <f t="shared" si="130"/>
        <v>0</v>
      </c>
      <c r="BM60" s="23">
        <f t="shared" si="131"/>
        <v>0</v>
      </c>
      <c r="BN60" s="257">
        <f t="shared" si="132"/>
        <v>0</v>
      </c>
      <c r="BO60" s="466">
        <f t="shared" si="133"/>
        <v>0</v>
      </c>
      <c r="BP60" s="474"/>
      <c r="BQ60" s="23">
        <f t="shared" si="134"/>
        <v>0</v>
      </c>
      <c r="BR60" s="23">
        <f t="shared" si="134"/>
        <v>0</v>
      </c>
      <c r="BS60" s="23"/>
      <c r="BT60" s="23"/>
      <c r="BU60" s="466">
        <f t="shared" si="27"/>
        <v>0</v>
      </c>
      <c r="CA60" s="23">
        <f t="shared" si="135"/>
        <v>0</v>
      </c>
      <c r="CB60" s="23">
        <f t="shared" si="135"/>
        <v>0</v>
      </c>
      <c r="CC60" s="466">
        <f t="shared" si="136"/>
        <v>0</v>
      </c>
      <c r="CD60" s="509">
        <f>G60+K60+O60+S60+W60+AA60</f>
        <v>0</v>
      </c>
      <c r="CE60" s="466">
        <f t="shared" si="89"/>
        <v>0</v>
      </c>
    </row>
    <row r="61" spans="1:83" ht="12.6" customHeight="1">
      <c r="A61" s="482" t="s">
        <v>0</v>
      </c>
      <c r="B61" s="457">
        <v>15000</v>
      </c>
      <c r="C61" s="457"/>
      <c r="D61" s="457">
        <f>SUM(D56:D60)</f>
        <v>1250</v>
      </c>
      <c r="E61" s="457">
        <f>SUM(E56:E60)</f>
        <v>383</v>
      </c>
      <c r="F61" s="457"/>
      <c r="G61" s="511">
        <f>SUM(G56:G60)</f>
        <v>1.8780300860000001</v>
      </c>
      <c r="H61" s="457">
        <f>SUM(H56:H60)</f>
        <v>1250</v>
      </c>
      <c r="I61" s="457">
        <f>SUM(I56:I60)</f>
        <v>636</v>
      </c>
      <c r="J61" s="457"/>
      <c r="K61" s="511">
        <f>SUM(K56:K60)</f>
        <v>3.0680978309999998</v>
      </c>
      <c r="L61" s="457">
        <f>SUM(L56:L60)</f>
        <v>1250</v>
      </c>
      <c r="M61" s="457">
        <f>SUM(M56:M60)</f>
        <v>582</v>
      </c>
      <c r="N61" s="457"/>
      <c r="O61" s="511">
        <f>SUM(O56:O60)</f>
        <v>2.7904716399999998</v>
      </c>
      <c r="P61" s="457">
        <f>SUM(P56:P60)</f>
        <v>1250</v>
      </c>
      <c r="Q61" s="457">
        <f>SUM(Q56:Q60)</f>
        <v>626</v>
      </c>
      <c r="R61" s="457"/>
      <c r="S61" s="511">
        <f>SUM(S56:S60)</f>
        <v>2.8945268880000001</v>
      </c>
      <c r="T61" s="457">
        <f>SUM(T56:T60)</f>
        <v>1250</v>
      </c>
      <c r="U61" s="457">
        <f>SUM(U56:U60)</f>
        <v>955</v>
      </c>
      <c r="V61" s="457"/>
      <c r="W61" s="457">
        <f>SUM(W56:W60)</f>
        <v>4.2252574350000005</v>
      </c>
      <c r="X61" s="457">
        <f t="shared" ref="X61:AW61" si="137">SUM(X56:X60)</f>
        <v>1250</v>
      </c>
      <c r="Y61" s="457">
        <f t="shared" si="137"/>
        <v>1055</v>
      </c>
      <c r="Z61" s="457"/>
      <c r="AA61" s="457">
        <f>SUM(AA56:AA60)</f>
        <v>4.4610741630000001</v>
      </c>
      <c r="AB61" s="457">
        <f t="shared" si="137"/>
        <v>1250</v>
      </c>
      <c r="AC61" s="457">
        <f t="shared" ref="AC61" si="138">SUM(AC56:AC60)</f>
        <v>433</v>
      </c>
      <c r="AD61" s="457"/>
      <c r="AE61" s="457">
        <f>SUM(AE56:AE60)</f>
        <v>1.8988155865127856</v>
      </c>
      <c r="AF61" s="457">
        <f t="shared" si="137"/>
        <v>1250</v>
      </c>
      <c r="AG61" s="457">
        <f t="shared" si="137"/>
        <v>472</v>
      </c>
      <c r="AH61" s="457"/>
      <c r="AI61" s="457">
        <f>SUM(AI56:AI60)</f>
        <v>2.1764967056386375</v>
      </c>
      <c r="AJ61" s="457">
        <f t="shared" si="137"/>
        <v>1250</v>
      </c>
      <c r="AK61" s="457">
        <f t="shared" ref="AK61" si="139">SUM(AK56:AK60)</f>
        <v>421</v>
      </c>
      <c r="AL61" s="457"/>
      <c r="AM61" s="457">
        <f>SUM(AM56:AM60)</f>
        <v>2.1110014334997658</v>
      </c>
      <c r="AN61" s="457">
        <f t="shared" si="137"/>
        <v>1250</v>
      </c>
      <c r="AO61" s="457">
        <f t="shared" si="137"/>
        <v>544</v>
      </c>
      <c r="AP61" s="457"/>
      <c r="AQ61" s="457">
        <f>SUM(AQ56:AQ60)</f>
        <v>2.7289891168937377</v>
      </c>
      <c r="AR61" s="457">
        <f t="shared" si="137"/>
        <v>1250</v>
      </c>
      <c r="AS61" s="457">
        <f t="shared" ref="AS61" si="140">SUM(AS56:AS60)</f>
        <v>740</v>
      </c>
      <c r="AT61" s="457"/>
      <c r="AU61" s="457">
        <f>SUM(AU56:AU60)</f>
        <v>3.588444695193687</v>
      </c>
      <c r="AV61" s="457">
        <f t="shared" si="137"/>
        <v>1250</v>
      </c>
      <c r="AW61" s="457">
        <f t="shared" si="137"/>
        <v>0</v>
      </c>
      <c r="AX61" s="457"/>
      <c r="AY61" s="457">
        <f>SUM(AY56:AY60)</f>
        <v>0</v>
      </c>
      <c r="AZ61" s="457">
        <f t="shared" ref="AZ61:BN61" si="141">SUM(AZ56:AZ60)</f>
        <v>3750</v>
      </c>
      <c r="BA61" s="457">
        <f t="shared" si="141"/>
        <v>1601</v>
      </c>
      <c r="BB61" s="457">
        <f t="shared" si="141"/>
        <v>7.7365995569999999</v>
      </c>
      <c r="BC61" s="457">
        <f t="shared" si="141"/>
        <v>3750</v>
      </c>
      <c r="BD61" s="457">
        <f t="shared" si="141"/>
        <v>2636</v>
      </c>
      <c r="BE61" s="457">
        <f t="shared" si="141"/>
        <v>11.580858486</v>
      </c>
      <c r="BF61" s="457">
        <f t="shared" si="141"/>
        <v>3750</v>
      </c>
      <c r="BG61" s="457">
        <f t="shared" si="141"/>
        <v>1326</v>
      </c>
      <c r="BH61" s="457">
        <f t="shared" si="141"/>
        <v>6.1863137256511891</v>
      </c>
      <c r="BI61" s="457">
        <f t="shared" si="141"/>
        <v>3750</v>
      </c>
      <c r="BJ61" s="457">
        <f t="shared" si="141"/>
        <v>1284</v>
      </c>
      <c r="BK61" s="457">
        <f t="shared" si="141"/>
        <v>6.3174338120874243</v>
      </c>
      <c r="BL61" s="457">
        <f t="shared" si="141"/>
        <v>15000</v>
      </c>
      <c r="BM61" s="457">
        <f t="shared" si="141"/>
        <v>6847</v>
      </c>
      <c r="BN61" s="457">
        <f t="shared" si="141"/>
        <v>31.821205580738614</v>
      </c>
      <c r="BO61" s="525">
        <f>IFERROR(BM61/BL61,0)</f>
        <v>0.45646666666666669</v>
      </c>
      <c r="BP61" s="474"/>
      <c r="BQ61" s="457">
        <f t="shared" ref="BQ61:BR61" si="142">SUM(BQ56:BQ60)</f>
        <v>7500</v>
      </c>
      <c r="BR61" s="458">
        <f t="shared" si="142"/>
        <v>4237</v>
      </c>
      <c r="BS61" s="458"/>
      <c r="BT61" s="458"/>
      <c r="BU61" s="467">
        <f t="shared" si="27"/>
        <v>0.56493333333333329</v>
      </c>
      <c r="CA61" s="457">
        <f t="shared" ref="CA61:CB61" si="143">SUM(CA56:CA60)</f>
        <v>7500</v>
      </c>
      <c r="CB61" s="457">
        <f t="shared" si="143"/>
        <v>4237</v>
      </c>
      <c r="CC61" s="467">
        <f t="shared" si="8"/>
        <v>0.56493333333333329</v>
      </c>
      <c r="CD61" s="511">
        <f t="shared" ref="CD61" si="144">SUM(CD56:CD60)</f>
        <v>19.317458043000002</v>
      </c>
      <c r="CE61" s="525">
        <f t="shared" si="89"/>
        <v>0.28246666666666664</v>
      </c>
    </row>
    <row r="62" spans="1:83" ht="12.6" customHeight="1">
      <c r="A62" s="254"/>
      <c r="B62" s="254"/>
      <c r="C62" s="495"/>
      <c r="D62" s="254"/>
      <c r="E62" s="254"/>
      <c r="F62" s="254"/>
      <c r="G62" s="513"/>
      <c r="H62" s="254"/>
      <c r="I62" s="254"/>
      <c r="J62" s="254"/>
      <c r="K62" s="513"/>
      <c r="L62" s="254"/>
      <c r="M62" s="254"/>
      <c r="N62" s="254"/>
      <c r="O62" s="513"/>
      <c r="P62" s="254"/>
      <c r="Q62" s="254"/>
      <c r="R62" s="254"/>
      <c r="S62" s="513"/>
      <c r="T62" s="254"/>
      <c r="U62" s="254"/>
      <c r="V62" s="254"/>
      <c r="W62" s="254"/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4"/>
      <c r="AQ62" s="254"/>
      <c r="AR62" s="254"/>
      <c r="AS62" s="254"/>
      <c r="AT62" s="254"/>
      <c r="AU62" s="254"/>
      <c r="AV62" s="254"/>
      <c r="AW62" s="254"/>
      <c r="AX62" s="254"/>
      <c r="AY62" s="254"/>
      <c r="AZ62" s="462"/>
      <c r="BA62" s="463"/>
      <c r="BB62" s="513"/>
      <c r="BC62" s="462"/>
      <c r="BD62" s="463"/>
      <c r="BE62" s="463"/>
      <c r="BF62" s="463"/>
      <c r="BG62" s="462"/>
      <c r="BH62" s="463"/>
      <c r="BI62" s="462"/>
      <c r="BJ62" s="462"/>
      <c r="BK62" s="463"/>
      <c r="BL62" s="462"/>
      <c r="BM62" s="462"/>
      <c r="BN62" s="463"/>
      <c r="BO62" s="469">
        <f t="shared" si="53"/>
        <v>0</v>
      </c>
      <c r="BP62" s="474"/>
      <c r="BQ62" s="462"/>
      <c r="BR62" s="463"/>
      <c r="BS62" s="463"/>
      <c r="BT62" s="463"/>
      <c r="BU62" s="469">
        <f t="shared" si="27"/>
        <v>0</v>
      </c>
      <c r="CA62" s="462"/>
      <c r="CB62" s="462"/>
      <c r="CC62" s="469">
        <f t="shared" si="8"/>
        <v>0</v>
      </c>
      <c r="CD62" s="529"/>
      <c r="CE62" s="469">
        <f t="shared" si="89"/>
        <v>0</v>
      </c>
    </row>
    <row r="63" spans="1:83" ht="12.6" customHeight="1">
      <c r="A63" s="254" t="s">
        <v>60</v>
      </c>
      <c r="B63" s="129">
        <v>1862</v>
      </c>
      <c r="C63" s="23">
        <v>0</v>
      </c>
      <c r="D63" s="129">
        <v>150</v>
      </c>
      <c r="E63" s="129">
        <v>176</v>
      </c>
      <c r="F63" s="129">
        <v>201</v>
      </c>
      <c r="G63" s="509">
        <f t="shared" ref="G63:G64" si="145">E63*(F63-C63)*66.47/10^7</f>
        <v>0.23514427199999999</v>
      </c>
      <c r="H63" s="129">
        <v>150</v>
      </c>
      <c r="I63" s="129">
        <v>194</v>
      </c>
      <c r="J63" s="129">
        <v>174.5</v>
      </c>
      <c r="K63" s="509">
        <f t="shared" ref="K63:K64" si="146">I63*(J63-C63)*66.91/10^7</f>
        <v>0.22651042299999999</v>
      </c>
      <c r="L63" s="129">
        <v>150</v>
      </c>
      <c r="M63" s="129">
        <v>266</v>
      </c>
      <c r="N63" s="129">
        <v>253</v>
      </c>
      <c r="O63" s="509">
        <f t="shared" ref="O63:O64" si="147">M63*(N63-C63)*67.28/10^7</f>
        <v>0.45278094400000002</v>
      </c>
      <c r="P63" s="129">
        <v>150</v>
      </c>
      <c r="Q63" s="129">
        <v>286</v>
      </c>
      <c r="R63" s="129">
        <v>185</v>
      </c>
      <c r="S63" s="509">
        <f t="shared" ref="S63:S64" si="148">Q63*(R63-C63)*67.28/10^7</f>
        <v>0.35597848000000004</v>
      </c>
      <c r="T63" s="129">
        <v>150</v>
      </c>
      <c r="U63" s="129">
        <v>104</v>
      </c>
      <c r="V63" s="129">
        <v>244</v>
      </c>
      <c r="W63" s="509">
        <f t="shared" ref="W63:W64" si="149">U63*(V63-C63)*66.93/10^7</f>
        <v>0.16984156800000003</v>
      </c>
      <c r="X63" s="129">
        <v>150</v>
      </c>
      <c r="Y63" s="129">
        <v>192</v>
      </c>
      <c r="Z63" s="129">
        <v>214</v>
      </c>
      <c r="AA63" s="509">
        <f t="shared" ref="AA63:AA64" si="150">Y63*(Z63-C63)*66.69/10^7</f>
        <v>0.27401587199999999</v>
      </c>
      <c r="AB63" s="129">
        <v>150</v>
      </c>
      <c r="AC63" s="129">
        <v>126</v>
      </c>
      <c r="AD63" s="129">
        <v>222</v>
      </c>
      <c r="AE63" s="509">
        <f>AC63*(AD63-G63)*66.73/10^7</f>
        <v>0.18645944716639093</v>
      </c>
      <c r="AF63" s="129">
        <v>150</v>
      </c>
      <c r="AG63" s="129">
        <v>104</v>
      </c>
      <c r="AH63" s="129">
        <v>205</v>
      </c>
      <c r="AI63" s="509">
        <f>AG63*(AH63-K63)*67.58/10^7</f>
        <v>0.14392136122638205</v>
      </c>
      <c r="AJ63" s="129">
        <v>150</v>
      </c>
      <c r="AK63" s="129">
        <v>162</v>
      </c>
      <c r="AL63" s="129">
        <v>234</v>
      </c>
      <c r="AM63" s="509">
        <f>AK63*(AL63-O63)*67.91/10^7</f>
        <v>0.25693510466670594</v>
      </c>
      <c r="AN63" s="129">
        <v>150</v>
      </c>
      <c r="AO63" s="129">
        <v>74</v>
      </c>
      <c r="AP63" s="129">
        <v>230</v>
      </c>
      <c r="AQ63" s="509">
        <f>AO63*(AP63-S63)*68.01/10^7</f>
        <v>0.11557386528645647</v>
      </c>
      <c r="AR63" s="129">
        <v>150</v>
      </c>
      <c r="AS63" s="129">
        <v>221</v>
      </c>
      <c r="AT63" s="129">
        <v>243</v>
      </c>
      <c r="AU63" s="509">
        <f>AS63*(AT63-W63)*67.01/10^7</f>
        <v>0.35961228105527593</v>
      </c>
      <c r="AV63" s="129">
        <v>212</v>
      </c>
      <c r="AW63" s="129"/>
      <c r="AX63" s="129"/>
      <c r="AY63" s="509">
        <f t="shared" ref="AY63:AY64" si="151">AW63*(AX63-AA63)*66.69/10^7</f>
        <v>0</v>
      </c>
      <c r="AZ63" s="23">
        <f t="shared" ref="AZ63:AZ64" si="152">+D63+H63+L63</f>
        <v>450</v>
      </c>
      <c r="BA63" s="23">
        <f t="shared" ref="BA63:BA64" si="153">+E63+I63+M63</f>
        <v>636</v>
      </c>
      <c r="BB63" s="509">
        <f t="shared" ref="BB63:BB64" si="154">+G63+K63+O63</f>
        <v>0.91443563900000002</v>
      </c>
      <c r="BC63" s="23">
        <f t="shared" ref="BC63:BC64" si="155">+P63+T63+X63</f>
        <v>450</v>
      </c>
      <c r="BD63" s="257">
        <f t="shared" ref="BD63:BD64" si="156">+Q63+U63+Y63</f>
        <v>582</v>
      </c>
      <c r="BE63" s="257">
        <f t="shared" ref="BE63:BE64" si="157">S63+W63+AA63</f>
        <v>0.79983592000000003</v>
      </c>
      <c r="BF63" s="257">
        <f t="shared" ref="BF63:BF64" si="158">AB63+AF63+AJ63</f>
        <v>450</v>
      </c>
      <c r="BG63" s="23">
        <f t="shared" ref="BG63:BG64" si="159">AC63+AG63+AK63</f>
        <v>392</v>
      </c>
      <c r="BH63" s="257">
        <f t="shared" ref="BH63:BH64" si="160">AE63+AI63+AM63</f>
        <v>0.58731591305947894</v>
      </c>
      <c r="BI63" s="23">
        <f t="shared" ref="BI63:BI64" si="161">+AN63+AR63+AV63</f>
        <v>512</v>
      </c>
      <c r="BJ63" s="23">
        <f t="shared" ref="BJ63:BJ64" si="162">+AO63+AS63+AW63</f>
        <v>295</v>
      </c>
      <c r="BK63" s="257">
        <f t="shared" ref="BK63:BK64" si="163">AQ63+AU63+AY63</f>
        <v>0.4751861463417324</v>
      </c>
      <c r="BL63" s="23">
        <f t="shared" ref="BL63:BL64" si="164">AZ63+BC63+BF63+BI63</f>
        <v>1862</v>
      </c>
      <c r="BM63" s="23">
        <f t="shared" ref="BM63:BM64" si="165">BA63+BD63+BG63+BJ63</f>
        <v>1905</v>
      </c>
      <c r="BN63" s="257">
        <f t="shared" ref="BN63:BN64" si="166">BB63+BE63+BH63+BK63</f>
        <v>2.7767736184012115</v>
      </c>
      <c r="BO63" s="466">
        <f t="shared" ref="BO63:BO64" si="167">IFERROR(BM63/BL63,0)</f>
        <v>1.0230934479054781</v>
      </c>
      <c r="BP63" s="474"/>
      <c r="BQ63" s="23">
        <f>AZ63+BC63</f>
        <v>900</v>
      </c>
      <c r="BR63" s="23">
        <f>BA63+BD63</f>
        <v>1218</v>
      </c>
      <c r="BS63" s="23"/>
      <c r="BT63" s="23"/>
      <c r="BU63" s="466">
        <f t="shared" si="27"/>
        <v>1.3533333333333333</v>
      </c>
      <c r="CA63" s="23">
        <f>D63+H63+L63+P63+T63+X63</f>
        <v>900</v>
      </c>
      <c r="CB63" s="23">
        <f>E63+I63+M63+Q63+U63+Y63</f>
        <v>1218</v>
      </c>
      <c r="CC63" s="466">
        <f t="shared" ref="CC63:CC64" si="168">IFERROR(CB63/CA63,0)</f>
        <v>1.3533333333333333</v>
      </c>
      <c r="CD63" s="509">
        <f>G63+K63+O63+S63+W63+AA63</f>
        <v>1.7142715590000002</v>
      </c>
      <c r="CE63" s="466">
        <f t="shared" si="89"/>
        <v>0.65413533834586468</v>
      </c>
    </row>
    <row r="64" spans="1:83" ht="12.6" customHeight="1">
      <c r="A64" s="254" t="s">
        <v>61</v>
      </c>
      <c r="B64" s="129">
        <v>5266</v>
      </c>
      <c r="C64" s="23">
        <v>0</v>
      </c>
      <c r="D64" s="129">
        <v>425</v>
      </c>
      <c r="E64" s="129">
        <v>162</v>
      </c>
      <c r="F64" s="129">
        <v>106.7</v>
      </c>
      <c r="G64" s="509">
        <f t="shared" si="145"/>
        <v>0.11489605380000002</v>
      </c>
      <c r="H64" s="129">
        <v>425</v>
      </c>
      <c r="I64" s="129">
        <v>307</v>
      </c>
      <c r="J64" s="129">
        <v>149.6</v>
      </c>
      <c r="K64" s="509">
        <f t="shared" si="146"/>
        <v>0.30729889519999998</v>
      </c>
      <c r="L64" s="129">
        <v>475</v>
      </c>
      <c r="M64" s="129">
        <v>167</v>
      </c>
      <c r="N64" s="129">
        <v>199.3</v>
      </c>
      <c r="O64" s="509">
        <f t="shared" si="147"/>
        <v>0.22392869679999999</v>
      </c>
      <c r="P64" s="129">
        <v>425</v>
      </c>
      <c r="Q64" s="129">
        <v>226</v>
      </c>
      <c r="R64" s="129">
        <v>206</v>
      </c>
      <c r="S64" s="509">
        <f t="shared" si="148"/>
        <v>0.31322876799999999</v>
      </c>
      <c r="T64" s="129">
        <v>425</v>
      </c>
      <c r="U64" s="129">
        <v>401</v>
      </c>
      <c r="V64" s="129">
        <v>201</v>
      </c>
      <c r="W64" s="509">
        <f t="shared" si="149"/>
        <v>0.53946249300000004</v>
      </c>
      <c r="X64" s="129">
        <v>475</v>
      </c>
      <c r="Y64" s="129">
        <v>569</v>
      </c>
      <c r="Z64" s="129">
        <v>249</v>
      </c>
      <c r="AA64" s="509">
        <f t="shared" si="150"/>
        <v>0.94487058900000009</v>
      </c>
      <c r="AB64" s="129">
        <v>425</v>
      </c>
      <c r="AC64" s="129">
        <v>284</v>
      </c>
      <c r="AD64" s="129">
        <v>232</v>
      </c>
      <c r="AE64" s="509">
        <f>AC64*(AD64-G64)*66.73/10^7</f>
        <v>0.43945288081176986</v>
      </c>
      <c r="AF64" s="129">
        <v>425</v>
      </c>
      <c r="AG64" s="129">
        <v>467</v>
      </c>
      <c r="AH64" s="129">
        <v>239</v>
      </c>
      <c r="AI64" s="509">
        <f>AG64*(AH64-K64)*67.58/10^7</f>
        <v>0.75331082298893326</v>
      </c>
      <c r="AJ64" s="129">
        <v>475</v>
      </c>
      <c r="AK64" s="129">
        <v>358</v>
      </c>
      <c r="AL64" s="129">
        <v>233</v>
      </c>
      <c r="AM64" s="509">
        <f>AK64*(AL64-O64)*67.91/10^7</f>
        <v>0.56592006347877122</v>
      </c>
      <c r="AN64" s="129">
        <v>425</v>
      </c>
      <c r="AO64" s="129">
        <v>132</v>
      </c>
      <c r="AP64" s="129">
        <v>242</v>
      </c>
      <c r="AQ64" s="509">
        <f>AO64*(AP64-S64)*68.01/10^7</f>
        <v>0.21696994851164586</v>
      </c>
      <c r="AR64" s="129">
        <v>425</v>
      </c>
      <c r="AS64" s="129">
        <v>338</v>
      </c>
      <c r="AT64" s="129">
        <v>263</v>
      </c>
      <c r="AU64" s="509">
        <f>AS64*(AT64-W64)*67.01/10^7</f>
        <v>0.59445684490002959</v>
      </c>
      <c r="AV64" s="129">
        <v>441</v>
      </c>
      <c r="AW64" s="129"/>
      <c r="AX64" s="129"/>
      <c r="AY64" s="509">
        <f t="shared" si="151"/>
        <v>0</v>
      </c>
      <c r="AZ64" s="23">
        <f t="shared" si="152"/>
        <v>1325</v>
      </c>
      <c r="BA64" s="23">
        <f t="shared" si="153"/>
        <v>636</v>
      </c>
      <c r="BB64" s="509">
        <f t="shared" si="154"/>
        <v>0.64612364579999992</v>
      </c>
      <c r="BC64" s="23">
        <f t="shared" si="155"/>
        <v>1325</v>
      </c>
      <c r="BD64" s="257">
        <f t="shared" si="156"/>
        <v>1196</v>
      </c>
      <c r="BE64" s="257">
        <f t="shared" si="157"/>
        <v>1.7975618500000001</v>
      </c>
      <c r="BF64" s="257">
        <f t="shared" si="158"/>
        <v>1325</v>
      </c>
      <c r="BG64" s="23">
        <f t="shared" si="159"/>
        <v>1109</v>
      </c>
      <c r="BH64" s="257">
        <f t="shared" si="160"/>
        <v>1.7586837672794742</v>
      </c>
      <c r="BI64" s="23">
        <f t="shared" si="161"/>
        <v>1291</v>
      </c>
      <c r="BJ64" s="23">
        <f t="shared" si="162"/>
        <v>470</v>
      </c>
      <c r="BK64" s="257">
        <f t="shared" si="163"/>
        <v>0.81142679341167545</v>
      </c>
      <c r="BL64" s="23">
        <f t="shared" si="164"/>
        <v>5266</v>
      </c>
      <c r="BM64" s="23">
        <f t="shared" si="165"/>
        <v>3411</v>
      </c>
      <c r="BN64" s="257">
        <f t="shared" si="166"/>
        <v>5.0137960564911488</v>
      </c>
      <c r="BO64" s="466">
        <f t="shared" si="167"/>
        <v>0.64774022028104827</v>
      </c>
      <c r="BP64" s="474"/>
      <c r="BQ64" s="23">
        <f>AZ64+BC64</f>
        <v>2650</v>
      </c>
      <c r="BR64" s="23">
        <f>BA64+BD64</f>
        <v>1832</v>
      </c>
      <c r="BS64" s="23"/>
      <c r="BT64" s="23"/>
      <c r="BU64" s="466">
        <f t="shared" si="27"/>
        <v>0.69132075471698118</v>
      </c>
      <c r="CA64" s="23">
        <f>D64+H64+L64+P64+T64+X64</f>
        <v>2650</v>
      </c>
      <c r="CB64" s="23">
        <f>E64+I64+M64+Q64+U64+Y64</f>
        <v>1832</v>
      </c>
      <c r="CC64" s="466">
        <f t="shared" si="168"/>
        <v>0.69132075471698118</v>
      </c>
      <c r="CD64" s="509">
        <f>G64+K64+O64+S64+W64+AA64</f>
        <v>2.4436854958000001</v>
      </c>
      <c r="CE64" s="466">
        <f t="shared" si="89"/>
        <v>0.34789213824534754</v>
      </c>
    </row>
    <row r="65" spans="1:83" ht="12.6" customHeight="1">
      <c r="A65" s="482" t="s">
        <v>104</v>
      </c>
      <c r="B65" s="457">
        <v>7128</v>
      </c>
      <c r="C65" s="457"/>
      <c r="D65" s="457">
        <f>SUM(D63:D64)</f>
        <v>575</v>
      </c>
      <c r="E65" s="457">
        <f>SUM(E63:E64)</f>
        <v>338</v>
      </c>
      <c r="F65" s="457"/>
      <c r="G65" s="511">
        <f>SUM(G63:G64)</f>
        <v>0.3500403258</v>
      </c>
      <c r="H65" s="457">
        <f>SUM(H63:H64)</f>
        <v>575</v>
      </c>
      <c r="I65" s="457">
        <f>SUM(I63:I64)</f>
        <v>501</v>
      </c>
      <c r="J65" s="457"/>
      <c r="K65" s="511">
        <f>SUM(K63:K64)</f>
        <v>0.53380931819999999</v>
      </c>
      <c r="L65" s="457">
        <f>SUM(L63:L64)</f>
        <v>625</v>
      </c>
      <c r="M65" s="457">
        <f>SUM(M63:M64)</f>
        <v>433</v>
      </c>
      <c r="N65" s="457"/>
      <c r="O65" s="511">
        <f>SUM(O63:O64)</f>
        <v>0.67670964079999996</v>
      </c>
      <c r="P65" s="457">
        <f>SUM(P63:P64)</f>
        <v>575</v>
      </c>
      <c r="Q65" s="457">
        <f>SUM(Q63:Q64)</f>
        <v>512</v>
      </c>
      <c r="R65" s="457"/>
      <c r="S65" s="511">
        <f>SUM(S63:S64)</f>
        <v>0.66920724799999998</v>
      </c>
      <c r="T65" s="457">
        <f>SUM(T63:T64)</f>
        <v>575</v>
      </c>
      <c r="U65" s="457">
        <f>SUM(U63:U64)</f>
        <v>505</v>
      </c>
      <c r="V65" s="457"/>
      <c r="W65" s="457">
        <f>SUM(W63:W64)</f>
        <v>0.7093040610000001</v>
      </c>
      <c r="X65" s="457">
        <f t="shared" ref="X65:AW65" si="169">SUM(X63:X64)</f>
        <v>625</v>
      </c>
      <c r="Y65" s="457">
        <f t="shared" si="169"/>
        <v>761</v>
      </c>
      <c r="Z65" s="457"/>
      <c r="AA65" s="457">
        <f>SUM(AA63:AA64)</f>
        <v>1.2188864610000001</v>
      </c>
      <c r="AB65" s="457">
        <f t="shared" si="169"/>
        <v>575</v>
      </c>
      <c r="AC65" s="457">
        <f t="shared" ref="AC65" si="170">SUM(AC63:AC64)</f>
        <v>410</v>
      </c>
      <c r="AD65" s="457"/>
      <c r="AE65" s="457">
        <f>SUM(AE63:AE64)</f>
        <v>0.62591232797816077</v>
      </c>
      <c r="AF65" s="457">
        <f t="shared" si="169"/>
        <v>575</v>
      </c>
      <c r="AG65" s="457">
        <f t="shared" si="169"/>
        <v>571</v>
      </c>
      <c r="AH65" s="457"/>
      <c r="AI65" s="457">
        <f>SUM(AI63:AI64)</f>
        <v>0.89723218421531525</v>
      </c>
      <c r="AJ65" s="457">
        <f t="shared" si="169"/>
        <v>625</v>
      </c>
      <c r="AK65" s="457">
        <f t="shared" ref="AK65" si="171">SUM(AK63:AK64)</f>
        <v>520</v>
      </c>
      <c r="AL65" s="457"/>
      <c r="AM65" s="457">
        <f>SUM(AM63:AM64)</f>
        <v>0.82285516814547721</v>
      </c>
      <c r="AN65" s="457">
        <f t="shared" si="169"/>
        <v>575</v>
      </c>
      <c r="AO65" s="457">
        <f t="shared" si="169"/>
        <v>206</v>
      </c>
      <c r="AP65" s="457"/>
      <c r="AQ65" s="457">
        <f>SUM(AQ63:AQ64)</f>
        <v>0.33254381379810233</v>
      </c>
      <c r="AR65" s="457">
        <f t="shared" si="169"/>
        <v>575</v>
      </c>
      <c r="AS65" s="457">
        <f t="shared" ref="AS65" si="172">SUM(AS63:AS64)</f>
        <v>559</v>
      </c>
      <c r="AT65" s="457"/>
      <c r="AU65" s="457">
        <f>SUM(AU63:AU64)</f>
        <v>0.95406912595530557</v>
      </c>
      <c r="AV65" s="457">
        <f t="shared" si="169"/>
        <v>653</v>
      </c>
      <c r="AW65" s="457">
        <f t="shared" si="169"/>
        <v>0</v>
      </c>
      <c r="AX65" s="457"/>
      <c r="AY65" s="457">
        <f>SUM(AY63:AY64)</f>
        <v>0</v>
      </c>
      <c r="AZ65" s="457">
        <f t="shared" ref="AZ65:BN65" si="173">SUM(AZ63:AZ64)</f>
        <v>1775</v>
      </c>
      <c r="BA65" s="457">
        <f t="shared" si="173"/>
        <v>1272</v>
      </c>
      <c r="BB65" s="457">
        <f t="shared" si="173"/>
        <v>1.5605592848000001</v>
      </c>
      <c r="BC65" s="457">
        <f t="shared" si="173"/>
        <v>1775</v>
      </c>
      <c r="BD65" s="457">
        <f t="shared" si="173"/>
        <v>1778</v>
      </c>
      <c r="BE65" s="457">
        <f t="shared" si="173"/>
        <v>2.5973977700000002</v>
      </c>
      <c r="BF65" s="457">
        <f t="shared" si="173"/>
        <v>1775</v>
      </c>
      <c r="BG65" s="457">
        <f t="shared" si="173"/>
        <v>1501</v>
      </c>
      <c r="BH65" s="457">
        <f t="shared" si="173"/>
        <v>2.3459996803389531</v>
      </c>
      <c r="BI65" s="457">
        <f t="shared" si="173"/>
        <v>1803</v>
      </c>
      <c r="BJ65" s="457">
        <f t="shared" si="173"/>
        <v>765</v>
      </c>
      <c r="BK65" s="457">
        <f t="shared" si="173"/>
        <v>1.2866129397534078</v>
      </c>
      <c r="BL65" s="457">
        <f t="shared" si="173"/>
        <v>7128</v>
      </c>
      <c r="BM65" s="457">
        <f t="shared" si="173"/>
        <v>5316</v>
      </c>
      <c r="BN65" s="457">
        <f t="shared" si="173"/>
        <v>7.7905696748923603</v>
      </c>
      <c r="BO65" s="525">
        <f>IFERROR(BM65/BL65,0)</f>
        <v>0.74579124579124578</v>
      </c>
      <c r="BP65" s="474"/>
      <c r="BQ65" s="457">
        <f t="shared" ref="BQ65:BR65" si="174">SUM(BQ63:BQ64)</f>
        <v>3550</v>
      </c>
      <c r="BR65" s="458">
        <f t="shared" si="174"/>
        <v>3050</v>
      </c>
      <c r="BS65" s="458"/>
      <c r="BT65" s="458"/>
      <c r="BU65" s="467">
        <f t="shared" si="27"/>
        <v>0.85915492957746475</v>
      </c>
      <c r="CA65" s="457">
        <f t="shared" ref="CA65:CB65" si="175">SUM(CA63:CA64)</f>
        <v>3550</v>
      </c>
      <c r="CB65" s="457">
        <f t="shared" si="175"/>
        <v>3050</v>
      </c>
      <c r="CC65" s="467">
        <f t="shared" si="8"/>
        <v>0.85915492957746475</v>
      </c>
      <c r="CD65" s="530">
        <f t="shared" ref="CD65" si="176">SUM(CD63:CD64)</f>
        <v>4.1579570548000007</v>
      </c>
      <c r="CE65" s="525">
        <f t="shared" si="89"/>
        <v>0.42789001122334458</v>
      </c>
    </row>
    <row r="66" spans="1:83" ht="12.6" customHeight="1">
      <c r="A66" s="254"/>
      <c r="B66" s="254"/>
      <c r="C66" s="495"/>
      <c r="D66" s="254"/>
      <c r="E66" s="254"/>
      <c r="F66" s="254"/>
      <c r="G66" s="513"/>
      <c r="H66" s="254"/>
      <c r="I66" s="254"/>
      <c r="J66" s="254"/>
      <c r="K66" s="513"/>
      <c r="L66" s="254"/>
      <c r="M66" s="254"/>
      <c r="N66" s="254"/>
      <c r="O66" s="513"/>
      <c r="P66" s="254"/>
      <c r="Q66" s="254"/>
      <c r="R66" s="254"/>
      <c r="S66" s="513"/>
      <c r="T66" s="254"/>
      <c r="U66" s="254"/>
      <c r="V66" s="254"/>
      <c r="W66" s="254"/>
      <c r="X66" s="254"/>
      <c r="Y66" s="254"/>
      <c r="Z66" s="254"/>
      <c r="AA66" s="254"/>
      <c r="AB66" s="254"/>
      <c r="AC66" s="254"/>
      <c r="AD66" s="254"/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4"/>
      <c r="AQ66" s="254"/>
      <c r="AR66" s="254"/>
      <c r="AS66" s="254"/>
      <c r="AT66" s="254"/>
      <c r="AU66" s="254"/>
      <c r="AV66" s="254"/>
      <c r="AW66" s="254"/>
      <c r="AX66" s="254"/>
      <c r="AY66" s="254"/>
      <c r="AZ66" s="462"/>
      <c r="BA66" s="463"/>
      <c r="BB66" s="513"/>
      <c r="BC66" s="462"/>
      <c r="BD66" s="463"/>
      <c r="BE66" s="463"/>
      <c r="BF66" s="463"/>
      <c r="BG66" s="462"/>
      <c r="BH66" s="463"/>
      <c r="BI66" s="462"/>
      <c r="BJ66" s="462"/>
      <c r="BK66" s="463"/>
      <c r="BL66" s="462"/>
      <c r="BM66" s="462"/>
      <c r="BN66" s="463"/>
      <c r="BO66" s="469"/>
      <c r="BP66" s="474"/>
      <c r="BQ66" s="462"/>
      <c r="BR66" s="463"/>
      <c r="BS66" s="463"/>
      <c r="BT66" s="463"/>
      <c r="BU66" s="469">
        <f t="shared" si="27"/>
        <v>0</v>
      </c>
      <c r="CA66" s="462"/>
      <c r="CB66" s="462"/>
      <c r="CC66" s="469">
        <f t="shared" si="8"/>
        <v>0</v>
      </c>
      <c r="CD66" s="531"/>
      <c r="CE66" s="469">
        <f t="shared" si="89"/>
        <v>0</v>
      </c>
    </row>
    <row r="67" spans="1:83" ht="12.6" hidden="1" customHeight="1">
      <c r="A67" s="482" t="s">
        <v>82</v>
      </c>
      <c r="B67" s="457">
        <v>101592</v>
      </c>
      <c r="C67" s="457"/>
      <c r="D67" s="457">
        <f>D24+D54+D61+D65</f>
        <v>8047</v>
      </c>
      <c r="E67" s="457">
        <f>E24+E54+E61+E65</f>
        <v>4587</v>
      </c>
      <c r="F67" s="457"/>
      <c r="G67" s="511">
        <f>G24+G54+G61+G65</f>
        <v>19.799843738257142</v>
      </c>
      <c r="H67" s="457">
        <f>H24+H54+H61+H65</f>
        <v>8379</v>
      </c>
      <c r="I67" s="457">
        <f>I24+I54+I61+I65</f>
        <v>6792</v>
      </c>
      <c r="J67" s="457"/>
      <c r="K67" s="511">
        <f>K24+K54+K61+K65</f>
        <v>28.864382228842857</v>
      </c>
      <c r="L67" s="457">
        <f>L24+L54+L61+L65</f>
        <v>8503</v>
      </c>
      <c r="M67" s="457">
        <f>M24+M54+M61+M65</f>
        <v>7144</v>
      </c>
      <c r="N67" s="457"/>
      <c r="O67" s="511">
        <f>O24+O54+O61+O65</f>
        <v>27.630332220571429</v>
      </c>
      <c r="P67" s="457">
        <f>P24+P54+P61+P65</f>
        <v>8472</v>
      </c>
      <c r="Q67" s="457">
        <f>Q24+Q54+Q61+Q65</f>
        <v>7209</v>
      </c>
      <c r="R67" s="457"/>
      <c r="S67" s="511">
        <f>S24+S54+S61+S65</f>
        <v>29.926313207796611</v>
      </c>
      <c r="T67" s="457">
        <f>T24+T54+T61+T65</f>
        <v>8454</v>
      </c>
      <c r="U67" s="457">
        <f>U24+U54+U61+U65</f>
        <v>6697</v>
      </c>
      <c r="V67" s="457"/>
      <c r="W67" s="457">
        <f>W24+W54+W61+W65</f>
        <v>27.477455681614288</v>
      </c>
      <c r="X67" s="457">
        <f t="shared" ref="X67:AV67" si="177">X24+X54+X61+X65</f>
        <v>8528</v>
      </c>
      <c r="Y67" s="457">
        <f t="shared" ref="Y67:Z67" si="178">Y24+Y54+Y61+Y65</f>
        <v>6815</v>
      </c>
      <c r="Z67" s="457">
        <f t="shared" si="178"/>
        <v>0</v>
      </c>
      <c r="AA67" s="457">
        <f>AA24+AA54+AA61+AA65</f>
        <v>28.218097354757145</v>
      </c>
      <c r="AB67" s="457">
        <f t="shared" si="177"/>
        <v>8702</v>
      </c>
      <c r="AC67" s="457">
        <f t="shared" si="177"/>
        <v>5762</v>
      </c>
      <c r="AD67" s="457">
        <f t="shared" si="177"/>
        <v>0</v>
      </c>
      <c r="AE67" s="457">
        <f>AE24+AE54+AE61+AE65</f>
        <v>25.195023590116172</v>
      </c>
      <c r="AF67" s="457">
        <f t="shared" si="177"/>
        <v>8599</v>
      </c>
      <c r="AG67" s="457">
        <f t="shared" ref="AG67:AH67" si="179">AG24+AG54+AG61+AG65</f>
        <v>5086</v>
      </c>
      <c r="AH67" s="457">
        <f t="shared" si="179"/>
        <v>0</v>
      </c>
      <c r="AI67" s="457">
        <f>AI24+AI54+AI61+AI65</f>
        <v>20.562197633975181</v>
      </c>
      <c r="AJ67" s="457">
        <f t="shared" si="177"/>
        <v>8807</v>
      </c>
      <c r="AK67" s="457">
        <f t="shared" si="177"/>
        <v>4499</v>
      </c>
      <c r="AL67" s="457">
        <f t="shared" si="177"/>
        <v>0</v>
      </c>
      <c r="AM67" s="457">
        <f>AM24+AM54+AM61+AM65</f>
        <v>22.802567327703876</v>
      </c>
      <c r="AN67" s="457">
        <f t="shared" si="177"/>
        <v>8522</v>
      </c>
      <c r="AO67" s="457">
        <f t="shared" ref="AO67:AP67" si="180">AO24+AO54+AO61+AO65</f>
        <v>5472</v>
      </c>
      <c r="AP67" s="457">
        <f t="shared" si="180"/>
        <v>0</v>
      </c>
      <c r="AQ67" s="457">
        <f>AQ24+AQ54+AQ61+AQ65</f>
        <v>25.225382983570199</v>
      </c>
      <c r="AR67" s="457">
        <f t="shared" si="177"/>
        <v>8503</v>
      </c>
      <c r="AS67" s="457">
        <f t="shared" si="177"/>
        <v>5451</v>
      </c>
      <c r="AT67" s="457">
        <f t="shared" si="177"/>
        <v>0</v>
      </c>
      <c r="AU67" s="457">
        <f>AU24+AU54+AU61+AU65</f>
        <v>22.744805624227723</v>
      </c>
      <c r="AV67" s="457">
        <f t="shared" si="177"/>
        <v>8076</v>
      </c>
      <c r="AW67" s="457">
        <f t="shared" ref="AW67:AX67" si="181">AW24+AW54+AW61+AW65</f>
        <v>0</v>
      </c>
      <c r="AX67" s="457">
        <f t="shared" si="181"/>
        <v>0</v>
      </c>
      <c r="AY67" s="457">
        <f>AY24+AY54+AY61+AY65</f>
        <v>0</v>
      </c>
      <c r="AZ67" s="458">
        <f t="shared" ref="AZ67:BN67" si="182">AZ24+AZ54+AZ61+AZ65</f>
        <v>24929</v>
      </c>
      <c r="BA67" s="458">
        <f t="shared" si="182"/>
        <v>18523</v>
      </c>
      <c r="BB67" s="511">
        <f t="shared" ref="BB67" si="183">BB24+BB54+BB61+BB65</f>
        <v>76.294558187671441</v>
      </c>
      <c r="BC67" s="457">
        <f t="shared" si="182"/>
        <v>25454</v>
      </c>
      <c r="BD67" s="458">
        <f t="shared" si="182"/>
        <v>20721</v>
      </c>
      <c r="BE67" s="458">
        <f t="shared" si="182"/>
        <v>85.621866244168032</v>
      </c>
      <c r="BF67" s="458">
        <f t="shared" si="182"/>
        <v>26108</v>
      </c>
      <c r="BG67" s="457">
        <f t="shared" si="182"/>
        <v>15347</v>
      </c>
      <c r="BH67" s="458">
        <f t="shared" si="182"/>
        <v>68.559788551795222</v>
      </c>
      <c r="BI67" s="457">
        <f t="shared" si="182"/>
        <v>25101</v>
      </c>
      <c r="BJ67" s="458">
        <f t="shared" si="182"/>
        <v>10923</v>
      </c>
      <c r="BK67" s="458">
        <f t="shared" si="182"/>
        <v>47.970188607797922</v>
      </c>
      <c r="BL67" s="458">
        <f t="shared" si="182"/>
        <v>101592</v>
      </c>
      <c r="BM67" s="458">
        <f t="shared" si="182"/>
        <v>65514</v>
      </c>
      <c r="BN67" s="458">
        <f t="shared" si="182"/>
        <v>278.44640159143262</v>
      </c>
      <c r="BO67" s="525">
        <f>IFERROR(BM67/BL67,0)</f>
        <v>0.64487361209544058</v>
      </c>
      <c r="BP67" s="474"/>
      <c r="BQ67" s="457">
        <f t="shared" ref="BQ67:BR67" si="184">BQ24+BQ54+BQ61+BQ65</f>
        <v>50383</v>
      </c>
      <c r="BR67" s="458">
        <f t="shared" si="184"/>
        <v>39244</v>
      </c>
      <c r="BS67" s="458"/>
      <c r="BT67" s="458"/>
      <c r="BU67" s="467">
        <f t="shared" si="27"/>
        <v>0.77891352241827605</v>
      </c>
      <c r="CA67" s="457">
        <f t="shared" ref="CA67:CB67" si="185">CA24+CA54+CA61+CA65</f>
        <v>50383</v>
      </c>
      <c r="CB67" s="457">
        <f t="shared" si="185"/>
        <v>39244</v>
      </c>
      <c r="CC67" s="467">
        <f t="shared" si="8"/>
        <v>0.77891352241827605</v>
      </c>
      <c r="CD67" s="530">
        <f t="shared" ref="CD67" si="186">CD24+CD54+CD61+CD65</f>
        <v>161.91642443183949</v>
      </c>
      <c r="CE67" s="525">
        <f t="shared" si="89"/>
        <v>0.38629025907551778</v>
      </c>
    </row>
    <row r="68" spans="1:83" ht="12.6" hidden="1" customHeight="1">
      <c r="A68" s="254"/>
      <c r="B68" s="254"/>
      <c r="C68" s="495"/>
      <c r="D68" s="254"/>
      <c r="E68" s="254"/>
      <c r="F68" s="254"/>
      <c r="G68" s="513"/>
      <c r="H68" s="254"/>
      <c r="I68" s="254"/>
      <c r="J68" s="254"/>
      <c r="K68" s="513"/>
      <c r="L68" s="254"/>
      <c r="M68" s="254"/>
      <c r="N68" s="254"/>
      <c r="O68" s="513"/>
      <c r="P68" s="254"/>
      <c r="Q68" s="254"/>
      <c r="R68" s="254"/>
      <c r="S68" s="513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/>
      <c r="AK68" s="254"/>
      <c r="AL68" s="254"/>
      <c r="AM68" s="254"/>
      <c r="AN68" s="254"/>
      <c r="AO68" s="254"/>
      <c r="AP68" s="254"/>
      <c r="AQ68" s="254"/>
      <c r="AR68" s="254"/>
      <c r="AS68" s="254"/>
      <c r="AT68" s="254"/>
      <c r="AU68" s="254"/>
      <c r="AV68" s="254"/>
      <c r="AW68" s="254"/>
      <c r="AX68" s="254"/>
      <c r="AY68" s="254"/>
      <c r="AZ68" s="462"/>
      <c r="BA68" s="463"/>
      <c r="BB68" s="513"/>
      <c r="BC68" s="462"/>
      <c r="BD68" s="257"/>
      <c r="BE68" s="257"/>
      <c r="BF68" s="257"/>
      <c r="BG68" s="462"/>
      <c r="BH68" s="463"/>
      <c r="BI68" s="462"/>
      <c r="BJ68" s="462"/>
      <c r="BK68" s="463"/>
      <c r="BL68" s="462"/>
      <c r="BM68" s="462"/>
      <c r="BN68" s="463"/>
      <c r="BO68" s="469"/>
      <c r="BP68" s="474"/>
      <c r="BQ68" s="462"/>
      <c r="BR68" s="463"/>
      <c r="BS68" s="463"/>
      <c r="BT68" s="463"/>
      <c r="BU68" s="469">
        <f t="shared" si="27"/>
        <v>0</v>
      </c>
      <c r="CA68" s="462"/>
      <c r="CB68" s="462"/>
      <c r="CC68" s="469">
        <f t="shared" si="8"/>
        <v>0</v>
      </c>
      <c r="CD68" s="531"/>
      <c r="CE68" s="469">
        <f t="shared" si="89"/>
        <v>0</v>
      </c>
    </row>
    <row r="69" spans="1:83" ht="12.6" hidden="1" customHeight="1">
      <c r="A69" s="482" t="s">
        <v>85</v>
      </c>
      <c r="B69" s="498">
        <v>0</v>
      </c>
      <c r="C69" s="500"/>
      <c r="D69" s="498"/>
      <c r="E69" s="498"/>
      <c r="F69" s="498"/>
      <c r="G69" s="514"/>
      <c r="H69" s="498"/>
      <c r="I69" s="498"/>
      <c r="J69" s="498"/>
      <c r="K69" s="514"/>
      <c r="L69" s="498"/>
      <c r="M69" s="498"/>
      <c r="N69" s="498"/>
      <c r="O69" s="514"/>
      <c r="P69" s="498"/>
      <c r="Q69" s="498"/>
      <c r="R69" s="498"/>
      <c r="S69" s="514"/>
      <c r="T69" s="498"/>
      <c r="U69" s="498"/>
      <c r="V69" s="498"/>
      <c r="W69" s="498"/>
      <c r="X69" s="498"/>
      <c r="Y69" s="498"/>
      <c r="Z69" s="498"/>
      <c r="AA69" s="498"/>
      <c r="AB69" s="498"/>
      <c r="AC69" s="498"/>
      <c r="AD69" s="498"/>
      <c r="AE69" s="498"/>
      <c r="AF69" s="498"/>
      <c r="AG69" s="498"/>
      <c r="AH69" s="498"/>
      <c r="AI69" s="498"/>
      <c r="AJ69" s="498"/>
      <c r="AK69" s="498"/>
      <c r="AL69" s="498"/>
      <c r="AM69" s="498"/>
      <c r="AN69" s="498"/>
      <c r="AO69" s="498"/>
      <c r="AP69" s="498"/>
      <c r="AQ69" s="498"/>
      <c r="AR69" s="498"/>
      <c r="AS69" s="498"/>
      <c r="AT69" s="498"/>
      <c r="AU69" s="498"/>
      <c r="AV69" s="498"/>
      <c r="AW69" s="498"/>
      <c r="AX69" s="498"/>
      <c r="AY69" s="498"/>
      <c r="AZ69" s="257"/>
      <c r="BA69" s="23"/>
      <c r="BB69" s="514"/>
      <c r="BC69" s="257"/>
      <c r="BD69" s="257"/>
      <c r="BE69" s="257"/>
      <c r="BF69" s="257"/>
      <c r="BG69" s="257"/>
      <c r="BH69" s="257"/>
      <c r="BI69" s="257"/>
      <c r="BJ69" s="257"/>
      <c r="BK69" s="257"/>
      <c r="BL69" s="257"/>
      <c r="BM69" s="257"/>
      <c r="BN69" s="257"/>
      <c r="BO69" s="466"/>
      <c r="BP69" s="474"/>
      <c r="BQ69" s="23">
        <f>AZ69+BC69</f>
        <v>0</v>
      </c>
      <c r="BR69" s="23">
        <f>BA69+BD69</f>
        <v>0</v>
      </c>
      <c r="BS69" s="23"/>
      <c r="BT69" s="23"/>
      <c r="BU69" s="466">
        <f t="shared" si="27"/>
        <v>0</v>
      </c>
      <c r="CA69" s="23">
        <f>D69+H69+L69+P69+T69+X69</f>
        <v>0</v>
      </c>
      <c r="CB69" s="23">
        <f>E69+I69+M69+Q69+U69+Y69</f>
        <v>0</v>
      </c>
      <c r="CC69" s="466">
        <f t="shared" ref="CC69" si="187">IFERROR(CB69/CA69,0)</f>
        <v>0</v>
      </c>
      <c r="CD69" s="509">
        <f>G69+K69+O69+S69+W69+AA69</f>
        <v>0</v>
      </c>
      <c r="CE69" s="466">
        <f t="shared" si="89"/>
        <v>0</v>
      </c>
    </row>
    <row r="70" spans="1:83" ht="12.6" hidden="1" customHeight="1">
      <c r="A70" s="254"/>
      <c r="B70" s="462"/>
      <c r="C70" s="462"/>
      <c r="D70" s="462"/>
      <c r="E70" s="462"/>
      <c r="F70" s="462"/>
      <c r="G70" s="515"/>
      <c r="H70" s="462"/>
      <c r="I70" s="462"/>
      <c r="J70" s="462"/>
      <c r="K70" s="515"/>
      <c r="L70" s="462"/>
      <c r="M70" s="462"/>
      <c r="N70" s="462"/>
      <c r="O70" s="515"/>
      <c r="P70" s="462"/>
      <c r="Q70" s="462"/>
      <c r="R70" s="462"/>
      <c r="S70" s="515"/>
      <c r="T70" s="462"/>
      <c r="U70" s="462"/>
      <c r="V70" s="462"/>
      <c r="W70" s="462"/>
      <c r="X70" s="462"/>
      <c r="Y70" s="462"/>
      <c r="Z70" s="462"/>
      <c r="AA70" s="462"/>
      <c r="AB70" s="462"/>
      <c r="AC70" s="462"/>
      <c r="AD70" s="462"/>
      <c r="AE70" s="462"/>
      <c r="AF70" s="462"/>
      <c r="AG70" s="462"/>
      <c r="AH70" s="462"/>
      <c r="AI70" s="462"/>
      <c r="AJ70" s="462"/>
      <c r="AK70" s="462"/>
      <c r="AL70" s="462"/>
      <c r="AM70" s="462"/>
      <c r="AN70" s="462"/>
      <c r="AO70" s="462"/>
      <c r="AP70" s="462"/>
      <c r="AQ70" s="462"/>
      <c r="AR70" s="462"/>
      <c r="AS70" s="462"/>
      <c r="AT70" s="462"/>
      <c r="AU70" s="462"/>
      <c r="AV70" s="462"/>
      <c r="AW70" s="462"/>
      <c r="AX70" s="462"/>
      <c r="AY70" s="462"/>
      <c r="AZ70" s="462"/>
      <c r="BA70" s="463"/>
      <c r="BB70" s="515"/>
      <c r="BC70" s="462"/>
      <c r="BD70" s="257"/>
      <c r="BE70" s="257"/>
      <c r="BF70" s="257"/>
      <c r="BG70" s="462"/>
      <c r="BH70" s="463"/>
      <c r="BI70" s="462"/>
      <c r="BJ70" s="462"/>
      <c r="BK70" s="463"/>
      <c r="BL70" s="462"/>
      <c r="BM70" s="462"/>
      <c r="BN70" s="463"/>
      <c r="BO70" s="469"/>
      <c r="BP70" s="474"/>
      <c r="BQ70" s="462"/>
      <c r="BR70" s="463"/>
      <c r="BS70" s="463"/>
      <c r="BT70" s="463"/>
      <c r="BU70" s="469">
        <f t="shared" si="27"/>
        <v>0</v>
      </c>
      <c r="CA70" s="462"/>
      <c r="CB70" s="462"/>
      <c r="CC70" s="469">
        <f t="shared" si="8"/>
        <v>0</v>
      </c>
      <c r="CD70" s="531"/>
      <c r="CE70" s="469">
        <f t="shared" ref="CE70:CE81" si="188">IFERROR(CB70/B70,0)</f>
        <v>0</v>
      </c>
    </row>
    <row r="71" spans="1:83" ht="12.6" hidden="1" customHeight="1">
      <c r="A71" s="482" t="s">
        <v>9</v>
      </c>
      <c r="B71" s="457">
        <v>101592</v>
      </c>
      <c r="C71" s="457"/>
      <c r="D71" s="457">
        <f>+D67+D69</f>
        <v>8047</v>
      </c>
      <c r="E71" s="457">
        <f>+E67+E69</f>
        <v>4587</v>
      </c>
      <c r="F71" s="457"/>
      <c r="G71" s="511">
        <f>+G67+G69</f>
        <v>19.799843738257142</v>
      </c>
      <c r="H71" s="457">
        <f>+H67+H69</f>
        <v>8379</v>
      </c>
      <c r="I71" s="457">
        <f>+I67+I69</f>
        <v>6792</v>
      </c>
      <c r="J71" s="457"/>
      <c r="K71" s="511">
        <f>+K67+K69</f>
        <v>28.864382228842857</v>
      </c>
      <c r="L71" s="457">
        <f>+L67+L69</f>
        <v>8503</v>
      </c>
      <c r="M71" s="457">
        <f>+M67+M69</f>
        <v>7144</v>
      </c>
      <c r="N71" s="457"/>
      <c r="O71" s="511">
        <f>+O67+O69</f>
        <v>27.630332220571429</v>
      </c>
      <c r="P71" s="457">
        <f>+P67+P69</f>
        <v>8472</v>
      </c>
      <c r="Q71" s="457">
        <f>+Q67+Q69</f>
        <v>7209</v>
      </c>
      <c r="R71" s="457"/>
      <c r="S71" s="511">
        <f>+S67+S69</f>
        <v>29.926313207796611</v>
      </c>
      <c r="T71" s="457">
        <f>+T67+T69</f>
        <v>8454</v>
      </c>
      <c r="U71" s="457">
        <f>+U67+U69</f>
        <v>6697</v>
      </c>
      <c r="V71" s="457"/>
      <c r="W71" s="457">
        <f>+W67+W69</f>
        <v>27.477455681614288</v>
      </c>
      <c r="X71" s="457">
        <f t="shared" ref="X71:AV71" si="189">+X67+X69</f>
        <v>8528</v>
      </c>
      <c r="Y71" s="457">
        <f t="shared" ref="Y71:Z71" si="190">+Y67+Y69</f>
        <v>6815</v>
      </c>
      <c r="Z71" s="457">
        <f t="shared" si="190"/>
        <v>0</v>
      </c>
      <c r="AA71" s="457">
        <f>+AA67+AA69</f>
        <v>28.218097354757145</v>
      </c>
      <c r="AB71" s="457">
        <f t="shared" si="189"/>
        <v>8702</v>
      </c>
      <c r="AC71" s="457">
        <f t="shared" si="189"/>
        <v>5762</v>
      </c>
      <c r="AD71" s="457">
        <f t="shared" si="189"/>
        <v>0</v>
      </c>
      <c r="AE71" s="457">
        <f>+AE67+AE69</f>
        <v>25.195023590116172</v>
      </c>
      <c r="AF71" s="457">
        <f t="shared" si="189"/>
        <v>8599</v>
      </c>
      <c r="AG71" s="457">
        <f t="shared" ref="AG71:AH71" si="191">+AG67+AG69</f>
        <v>5086</v>
      </c>
      <c r="AH71" s="457">
        <f t="shared" si="191"/>
        <v>0</v>
      </c>
      <c r="AI71" s="457">
        <f>+AI67+AI69</f>
        <v>20.562197633975181</v>
      </c>
      <c r="AJ71" s="457">
        <f t="shared" si="189"/>
        <v>8807</v>
      </c>
      <c r="AK71" s="457">
        <f t="shared" si="189"/>
        <v>4499</v>
      </c>
      <c r="AL71" s="457">
        <f t="shared" si="189"/>
        <v>0</v>
      </c>
      <c r="AM71" s="457">
        <f>+AM67+AM69</f>
        <v>22.802567327703876</v>
      </c>
      <c r="AN71" s="457">
        <f t="shared" si="189"/>
        <v>8522</v>
      </c>
      <c r="AO71" s="457">
        <f t="shared" ref="AO71:AP71" si="192">+AO67+AO69</f>
        <v>5472</v>
      </c>
      <c r="AP71" s="457">
        <f t="shared" si="192"/>
        <v>0</v>
      </c>
      <c r="AQ71" s="457">
        <f>+AQ67+AQ69</f>
        <v>25.225382983570199</v>
      </c>
      <c r="AR71" s="457">
        <f t="shared" si="189"/>
        <v>8503</v>
      </c>
      <c r="AS71" s="457">
        <f t="shared" si="189"/>
        <v>5451</v>
      </c>
      <c r="AT71" s="457">
        <f t="shared" si="189"/>
        <v>0</v>
      </c>
      <c r="AU71" s="457">
        <f>+AU67+AU69</f>
        <v>22.744805624227723</v>
      </c>
      <c r="AV71" s="457">
        <f t="shared" si="189"/>
        <v>8076</v>
      </c>
      <c r="AW71" s="457">
        <f t="shared" ref="AW71:AX71" si="193">+AW67+AW69</f>
        <v>0</v>
      </c>
      <c r="AX71" s="457">
        <f t="shared" si="193"/>
        <v>0</v>
      </c>
      <c r="AY71" s="457">
        <f>+AY67+AY69</f>
        <v>0</v>
      </c>
      <c r="AZ71" s="458">
        <f t="shared" ref="AZ71:BN71" si="194">+AZ67+AZ69</f>
        <v>24929</v>
      </c>
      <c r="BA71" s="458">
        <f t="shared" si="194"/>
        <v>18523</v>
      </c>
      <c r="BB71" s="511">
        <f t="shared" ref="BB71" si="195">+BB67+BB69</f>
        <v>76.294558187671441</v>
      </c>
      <c r="BC71" s="458">
        <f t="shared" si="194"/>
        <v>25454</v>
      </c>
      <c r="BD71" s="458">
        <f t="shared" si="194"/>
        <v>20721</v>
      </c>
      <c r="BE71" s="458">
        <f t="shared" si="194"/>
        <v>85.621866244168032</v>
      </c>
      <c r="BF71" s="458">
        <f t="shared" si="194"/>
        <v>26108</v>
      </c>
      <c r="BG71" s="458">
        <f t="shared" si="194"/>
        <v>15347</v>
      </c>
      <c r="BH71" s="458">
        <f t="shared" si="194"/>
        <v>68.559788551795222</v>
      </c>
      <c r="BI71" s="458">
        <f t="shared" si="194"/>
        <v>25101</v>
      </c>
      <c r="BJ71" s="458">
        <f t="shared" si="194"/>
        <v>10923</v>
      </c>
      <c r="BK71" s="458">
        <f t="shared" si="194"/>
        <v>47.970188607797922</v>
      </c>
      <c r="BL71" s="458">
        <f t="shared" si="194"/>
        <v>101592</v>
      </c>
      <c r="BM71" s="458">
        <f t="shared" si="194"/>
        <v>65514</v>
      </c>
      <c r="BN71" s="458">
        <f t="shared" si="194"/>
        <v>278.44640159143262</v>
      </c>
      <c r="BO71" s="525">
        <f>IFERROR(BM71/BL71,0)</f>
        <v>0.64487361209544058</v>
      </c>
      <c r="BP71" s="474"/>
      <c r="BQ71" s="458">
        <f t="shared" ref="BQ71:BR71" si="196">+BQ67+BQ69</f>
        <v>50383</v>
      </c>
      <c r="BR71" s="458">
        <f t="shared" si="196"/>
        <v>39244</v>
      </c>
      <c r="BS71" s="458"/>
      <c r="BT71" s="458"/>
      <c r="BU71" s="467">
        <f t="shared" ref="BU71:BU81" si="197">IFERROR(BR71/BQ71,0)</f>
        <v>0.77891352241827605</v>
      </c>
      <c r="CA71" s="457">
        <f t="shared" ref="CA71:CB71" si="198">+CA67+CA69</f>
        <v>50383</v>
      </c>
      <c r="CB71" s="457">
        <f t="shared" si="198"/>
        <v>39244</v>
      </c>
      <c r="CC71" s="467">
        <f t="shared" ref="CC71:CC81" si="199">IFERROR(CB71/CA71,0)</f>
        <v>0.77891352241827605</v>
      </c>
      <c r="CD71" s="530">
        <f t="shared" ref="CD71" si="200">+CD67+CD69</f>
        <v>161.91642443183949</v>
      </c>
      <c r="CE71" s="525">
        <f t="shared" si="188"/>
        <v>0.38629025907551778</v>
      </c>
    </row>
    <row r="72" spans="1:83" ht="12.6" hidden="1" customHeight="1">
      <c r="A72" s="474"/>
      <c r="B72" s="502"/>
      <c r="C72" s="494"/>
      <c r="D72" s="474"/>
      <c r="E72" s="474"/>
      <c r="F72" s="474"/>
      <c r="G72" s="516"/>
      <c r="H72" s="474"/>
      <c r="I72" s="474"/>
      <c r="J72" s="474"/>
      <c r="K72" s="516"/>
      <c r="L72" s="474"/>
      <c r="M72" s="474"/>
      <c r="N72" s="474"/>
      <c r="O72" s="516"/>
      <c r="P72" s="474"/>
      <c r="Q72" s="474"/>
      <c r="R72" s="474"/>
      <c r="S72" s="516"/>
      <c r="T72" s="474"/>
      <c r="U72" s="474"/>
      <c r="V72" s="474"/>
      <c r="W72" s="474"/>
      <c r="X72" s="474"/>
      <c r="Y72" s="474"/>
      <c r="Z72" s="474"/>
      <c r="AA72" s="474"/>
      <c r="AB72" s="474"/>
      <c r="AC72" s="474"/>
      <c r="AD72" s="474"/>
      <c r="AE72" s="474"/>
      <c r="AF72" s="474"/>
      <c r="AG72" s="474"/>
      <c r="AH72" s="474"/>
      <c r="AI72" s="474"/>
      <c r="AJ72" s="474"/>
      <c r="AK72" s="474"/>
      <c r="AL72" s="474"/>
      <c r="AM72" s="474"/>
      <c r="AN72" s="474"/>
      <c r="AO72" s="474"/>
      <c r="AP72" s="474"/>
      <c r="AQ72" s="474"/>
      <c r="AR72" s="474"/>
      <c r="AS72" s="474"/>
      <c r="AT72" s="474"/>
      <c r="AU72" s="474"/>
      <c r="AV72" s="474"/>
      <c r="AW72" s="474"/>
      <c r="AX72" s="474"/>
      <c r="AY72" s="474"/>
      <c r="AZ72" s="474"/>
      <c r="BA72" s="474"/>
      <c r="BB72" s="516"/>
      <c r="BC72" s="474"/>
      <c r="BD72" s="474"/>
      <c r="BE72" s="474"/>
      <c r="BF72" s="474"/>
      <c r="BG72" s="474"/>
      <c r="BH72" s="474"/>
      <c r="BI72" s="474"/>
      <c r="BJ72" s="474"/>
      <c r="BK72" s="474"/>
      <c r="BL72" s="474"/>
      <c r="BM72" s="474"/>
      <c r="BN72" s="474"/>
      <c r="BO72" s="525"/>
      <c r="BP72" s="474"/>
      <c r="BQ72" s="458"/>
      <c r="BR72" s="458"/>
      <c r="BS72" s="458"/>
      <c r="BT72" s="458"/>
      <c r="BU72" s="467">
        <f t="shared" si="197"/>
        <v>0</v>
      </c>
      <c r="CA72" s="457"/>
      <c r="CB72" s="457"/>
      <c r="CC72" s="467">
        <f t="shared" si="199"/>
        <v>0</v>
      </c>
      <c r="CD72" s="530"/>
      <c r="CE72" s="525">
        <f t="shared" si="188"/>
        <v>0</v>
      </c>
    </row>
    <row r="73" spans="1:83" ht="12.6" customHeight="1">
      <c r="A73" s="254" t="s">
        <v>109</v>
      </c>
      <c r="B73" s="129">
        <v>60</v>
      </c>
      <c r="C73" s="23">
        <v>0</v>
      </c>
      <c r="D73" s="129">
        <v>5</v>
      </c>
      <c r="E73" s="129">
        <v>4</v>
      </c>
      <c r="F73" s="129">
        <v>1779.7</v>
      </c>
      <c r="G73" s="509">
        <f t="shared" ref="G73:G78" si="201">E73*(F73-C73)*66.47/10^7</f>
        <v>4.7318663599999998E-2</v>
      </c>
      <c r="H73" s="129">
        <v>5</v>
      </c>
      <c r="I73" s="129"/>
      <c r="J73" s="129"/>
      <c r="K73" s="509">
        <f t="shared" ref="K73:K78" si="202">I73*(J73-C73)*66.91/10^7</f>
        <v>0</v>
      </c>
      <c r="L73" s="129">
        <v>5</v>
      </c>
      <c r="M73" s="129">
        <v>7</v>
      </c>
      <c r="N73" s="129">
        <v>1676</v>
      </c>
      <c r="O73" s="509">
        <f t="shared" ref="O73:O78" si="203">M73*(N73-C73)*67.28/10^7</f>
        <v>7.8932896000000002E-2</v>
      </c>
      <c r="P73" s="129">
        <v>5</v>
      </c>
      <c r="Q73" s="129">
        <v>8</v>
      </c>
      <c r="R73" s="129">
        <v>1745</v>
      </c>
      <c r="S73" s="509">
        <f t="shared" ref="S73:S75" si="204">Q73*(R73-C73)*67.28/10^7</f>
        <v>9.392288E-2</v>
      </c>
      <c r="T73" s="129">
        <v>5</v>
      </c>
      <c r="U73" s="129">
        <v>2</v>
      </c>
      <c r="V73" s="129">
        <v>1793</v>
      </c>
      <c r="W73" s="509">
        <f t="shared" ref="W73:W78" si="205">U73*(V73-C73)*66.93/10^7</f>
        <v>2.4001098000000002E-2</v>
      </c>
      <c r="X73" s="129">
        <v>5</v>
      </c>
      <c r="Y73" s="129">
        <v>1</v>
      </c>
      <c r="Z73" s="129">
        <v>1970</v>
      </c>
      <c r="AA73" s="509">
        <f t="shared" ref="AA73:AA78" si="206">Y73*(Z73-C73)*66.69/10^7</f>
        <v>1.3137929999999999E-2</v>
      </c>
      <c r="AB73" s="129">
        <v>5</v>
      </c>
      <c r="AC73" s="129"/>
      <c r="AD73" s="129"/>
      <c r="AE73" s="509">
        <f t="shared" ref="AE73:AE78" si="207">AC73*(AD73-G73)*66.73/10^7</f>
        <v>0</v>
      </c>
      <c r="AF73" s="129">
        <v>5</v>
      </c>
      <c r="AG73" s="129">
        <v>7</v>
      </c>
      <c r="AH73" s="129">
        <v>1642</v>
      </c>
      <c r="AI73" s="509">
        <f t="shared" ref="AI73:AI78" si="208">AG73*(AH73-K73)*67.58/10^7</f>
        <v>7.7676452000000007E-2</v>
      </c>
      <c r="AJ73" s="129">
        <v>5</v>
      </c>
      <c r="AK73" s="129">
        <v>1</v>
      </c>
      <c r="AL73" s="129">
        <v>1710</v>
      </c>
      <c r="AM73" s="509">
        <f t="shared" ref="AM73:AM78" si="209">AK73*(AL73-O73)*67.91/10^7</f>
        <v>1.1612073966703265E-2</v>
      </c>
      <c r="AN73" s="129">
        <v>5</v>
      </c>
      <c r="AO73" s="129"/>
      <c r="AP73" s="129"/>
      <c r="AQ73" s="509">
        <f t="shared" ref="AQ73:AQ78" si="210">AO73*(AP73-S73)*68.01/10^7</f>
        <v>0</v>
      </c>
      <c r="AR73" s="129">
        <v>5</v>
      </c>
      <c r="AS73" s="129"/>
      <c r="AT73" s="129"/>
      <c r="AU73" s="509">
        <f t="shared" ref="AU73:AU78" si="211">AS73*(AT73-W73)*67.01/10^7</f>
        <v>0</v>
      </c>
      <c r="AV73" s="129">
        <v>5</v>
      </c>
      <c r="AW73" s="129"/>
      <c r="AX73" s="129"/>
      <c r="AY73" s="509">
        <f t="shared" ref="AY73:AY78" si="212">AW73*(AX73-AA73)*66.69/10^7</f>
        <v>0</v>
      </c>
      <c r="AZ73" s="23">
        <f t="shared" ref="AZ73:AZ78" si="213">+D73+H73+L73</f>
        <v>15</v>
      </c>
      <c r="BA73" s="23">
        <f t="shared" ref="BA73:BA78" si="214">+E73+I73+M73</f>
        <v>11</v>
      </c>
      <c r="BB73" s="509">
        <f t="shared" ref="BB73:BB78" si="215">+G73+K73+O73</f>
        <v>0.12625155960000001</v>
      </c>
      <c r="BC73" s="23">
        <f t="shared" ref="BC73:BC78" si="216">+P73+T73+X73</f>
        <v>15</v>
      </c>
      <c r="BD73" s="257">
        <f t="shared" ref="BD73:BD78" si="217">+Q73+U73+Y73</f>
        <v>11</v>
      </c>
      <c r="BE73" s="257">
        <f t="shared" ref="BE73:BE78" si="218">S73+W73+AA73</f>
        <v>0.131061908</v>
      </c>
      <c r="BF73" s="257">
        <f t="shared" ref="BF73:BF78" si="219">AB73+AF73+AJ73</f>
        <v>15</v>
      </c>
      <c r="BG73" s="23">
        <f t="shared" ref="BG73:BG78" si="220">AC73+AG73+AK73</f>
        <v>8</v>
      </c>
      <c r="BH73" s="257">
        <f t="shared" ref="BH73:BH78" si="221">AE73+AI73+AM73</f>
        <v>8.9288525966703267E-2</v>
      </c>
      <c r="BI73" s="23">
        <f t="shared" ref="BI73:BI78" si="222">+AN73+AR73+AV73</f>
        <v>15</v>
      </c>
      <c r="BJ73" s="23">
        <f t="shared" ref="BJ73:BJ78" si="223">+AO73+AS73+AW73</f>
        <v>0</v>
      </c>
      <c r="BK73" s="257">
        <f t="shared" ref="BK73:BK78" si="224">AQ73+AU73+AY73</f>
        <v>0</v>
      </c>
      <c r="BL73" s="23">
        <f t="shared" ref="BL73:BL78" si="225">AZ73+BC73+BF73+BI73</f>
        <v>60</v>
      </c>
      <c r="BM73" s="23">
        <f t="shared" ref="BM73:BM78" si="226">BA73+BD73+BG73+BJ73</f>
        <v>30</v>
      </c>
      <c r="BN73" s="257">
        <f t="shared" ref="BN73:BN78" si="227">BB73+BE73+BH73+BK73</f>
        <v>0.34660199356670329</v>
      </c>
      <c r="BO73" s="466">
        <f t="shared" ref="BO73:BO78" si="228">IFERROR(BM73/BL73,0)</f>
        <v>0.5</v>
      </c>
      <c r="BP73" s="474"/>
      <c r="BQ73" s="23">
        <f t="shared" ref="BQ73:BR78" si="229">AZ73+BC73</f>
        <v>30</v>
      </c>
      <c r="BR73" s="23">
        <f t="shared" si="229"/>
        <v>22</v>
      </c>
      <c r="BS73" s="23"/>
      <c r="BT73" s="23"/>
      <c r="BU73" s="466">
        <f t="shared" si="197"/>
        <v>0.73333333333333328</v>
      </c>
      <c r="CA73" s="23">
        <f t="shared" ref="CA73:CB78" si="230">D73+H73+L73+P73+T73+X73</f>
        <v>30</v>
      </c>
      <c r="CB73" s="23">
        <f t="shared" si="230"/>
        <v>22</v>
      </c>
      <c r="CC73" s="466">
        <f t="shared" si="199"/>
        <v>0.73333333333333328</v>
      </c>
      <c r="CD73" s="509">
        <f t="shared" ref="CD73:CD78" si="231">G73+K73+O73+S73+W73+AA73</f>
        <v>0.25731346760000001</v>
      </c>
      <c r="CE73" s="466">
        <f t="shared" si="188"/>
        <v>0.36666666666666664</v>
      </c>
    </row>
    <row r="74" spans="1:83" ht="12.6" customHeight="1">
      <c r="A74" s="254" t="s">
        <v>110</v>
      </c>
      <c r="B74" s="129">
        <v>0</v>
      </c>
      <c r="C74" s="23"/>
      <c r="D74" s="129"/>
      <c r="E74" s="129"/>
      <c r="F74" s="129"/>
      <c r="G74" s="509">
        <f t="shared" si="201"/>
        <v>0</v>
      </c>
      <c r="H74" s="129"/>
      <c r="I74" s="129"/>
      <c r="J74" s="129"/>
      <c r="K74" s="509">
        <f t="shared" si="202"/>
        <v>0</v>
      </c>
      <c r="L74" s="129"/>
      <c r="M74" s="129"/>
      <c r="N74" s="129"/>
      <c r="O74" s="509">
        <f t="shared" si="203"/>
        <v>0</v>
      </c>
      <c r="P74" s="129"/>
      <c r="Q74" s="129"/>
      <c r="R74" s="129"/>
      <c r="S74" s="509">
        <f t="shared" si="204"/>
        <v>0</v>
      </c>
      <c r="T74" s="129"/>
      <c r="U74" s="129"/>
      <c r="V74" s="129"/>
      <c r="W74" s="509">
        <f t="shared" si="205"/>
        <v>0</v>
      </c>
      <c r="X74" s="129"/>
      <c r="Y74" s="129"/>
      <c r="Z74" s="129"/>
      <c r="AA74" s="509">
        <f t="shared" si="206"/>
        <v>0</v>
      </c>
      <c r="AB74" s="129"/>
      <c r="AC74" s="129"/>
      <c r="AD74" s="129"/>
      <c r="AE74" s="509">
        <f t="shared" si="207"/>
        <v>0</v>
      </c>
      <c r="AF74" s="129"/>
      <c r="AG74" s="129"/>
      <c r="AH74" s="129"/>
      <c r="AI74" s="509">
        <f t="shared" si="208"/>
        <v>0</v>
      </c>
      <c r="AJ74" s="129"/>
      <c r="AK74" s="129"/>
      <c r="AL74" s="129"/>
      <c r="AM74" s="509">
        <f t="shared" si="209"/>
        <v>0</v>
      </c>
      <c r="AN74" s="129"/>
      <c r="AO74" s="129"/>
      <c r="AP74" s="129"/>
      <c r="AQ74" s="509">
        <f t="shared" si="210"/>
        <v>0</v>
      </c>
      <c r="AR74" s="129"/>
      <c r="AS74" s="129"/>
      <c r="AT74" s="129"/>
      <c r="AU74" s="509">
        <f t="shared" si="211"/>
        <v>0</v>
      </c>
      <c r="AV74" s="129"/>
      <c r="AW74" s="129"/>
      <c r="AX74" s="129"/>
      <c r="AY74" s="509">
        <f t="shared" si="212"/>
        <v>0</v>
      </c>
      <c r="AZ74" s="23">
        <f t="shared" si="213"/>
        <v>0</v>
      </c>
      <c r="BA74" s="23">
        <f t="shared" si="214"/>
        <v>0</v>
      </c>
      <c r="BB74" s="509">
        <f t="shared" si="215"/>
        <v>0</v>
      </c>
      <c r="BC74" s="23">
        <f t="shared" si="216"/>
        <v>0</v>
      </c>
      <c r="BD74" s="257">
        <f t="shared" si="217"/>
        <v>0</v>
      </c>
      <c r="BE74" s="257">
        <f t="shared" si="218"/>
        <v>0</v>
      </c>
      <c r="BF74" s="257">
        <f t="shared" si="219"/>
        <v>0</v>
      </c>
      <c r="BG74" s="23">
        <f t="shared" si="220"/>
        <v>0</v>
      </c>
      <c r="BH74" s="257">
        <f t="shared" si="221"/>
        <v>0</v>
      </c>
      <c r="BI74" s="23">
        <f t="shared" si="222"/>
        <v>0</v>
      </c>
      <c r="BJ74" s="23">
        <f t="shared" si="223"/>
        <v>0</v>
      </c>
      <c r="BK74" s="257">
        <f t="shared" si="224"/>
        <v>0</v>
      </c>
      <c r="BL74" s="23">
        <f t="shared" si="225"/>
        <v>0</v>
      </c>
      <c r="BM74" s="23">
        <f t="shared" si="226"/>
        <v>0</v>
      </c>
      <c r="BN74" s="257">
        <f t="shared" si="227"/>
        <v>0</v>
      </c>
      <c r="BO74" s="466">
        <f t="shared" si="228"/>
        <v>0</v>
      </c>
      <c r="BP74" s="474"/>
      <c r="BQ74" s="23">
        <f t="shared" si="229"/>
        <v>0</v>
      </c>
      <c r="BR74" s="23">
        <f t="shared" si="229"/>
        <v>0</v>
      </c>
      <c r="BS74" s="23"/>
      <c r="BT74" s="23"/>
      <c r="BU74" s="466">
        <f t="shared" si="197"/>
        <v>0</v>
      </c>
      <c r="CA74" s="23">
        <f t="shared" si="230"/>
        <v>0</v>
      </c>
      <c r="CB74" s="23">
        <f t="shared" si="230"/>
        <v>0</v>
      </c>
      <c r="CC74" s="466">
        <f t="shared" si="199"/>
        <v>0</v>
      </c>
      <c r="CD74" s="509">
        <f t="shared" si="231"/>
        <v>0</v>
      </c>
      <c r="CE74" s="466">
        <f t="shared" si="188"/>
        <v>0</v>
      </c>
    </row>
    <row r="75" spans="1:83" ht="12.6" customHeight="1">
      <c r="A75" s="254" t="s">
        <v>132</v>
      </c>
      <c r="B75" s="129">
        <v>50</v>
      </c>
      <c r="C75" s="23">
        <v>0</v>
      </c>
      <c r="D75" s="129">
        <v>5</v>
      </c>
      <c r="E75" s="129"/>
      <c r="F75" s="129"/>
      <c r="G75" s="509">
        <f t="shared" si="201"/>
        <v>0</v>
      </c>
      <c r="H75" s="129">
        <v>5</v>
      </c>
      <c r="I75" s="129"/>
      <c r="J75" s="129"/>
      <c r="K75" s="509">
        <f t="shared" si="202"/>
        <v>0</v>
      </c>
      <c r="L75" s="129">
        <v>5</v>
      </c>
      <c r="M75" s="129"/>
      <c r="N75" s="129"/>
      <c r="O75" s="509">
        <f t="shared" si="203"/>
        <v>0</v>
      </c>
      <c r="P75" s="129">
        <v>5</v>
      </c>
      <c r="Q75" s="129"/>
      <c r="R75" s="129"/>
      <c r="S75" s="509">
        <f t="shared" si="204"/>
        <v>0</v>
      </c>
      <c r="T75" s="129">
        <v>5</v>
      </c>
      <c r="U75" s="129"/>
      <c r="V75" s="129"/>
      <c r="W75" s="509">
        <f t="shared" si="205"/>
        <v>0</v>
      </c>
      <c r="X75" s="129">
        <v>5</v>
      </c>
      <c r="Y75" s="129"/>
      <c r="Z75" s="129"/>
      <c r="AA75" s="509">
        <f t="shared" si="206"/>
        <v>0</v>
      </c>
      <c r="AB75" s="129">
        <v>5</v>
      </c>
      <c r="AC75" s="129"/>
      <c r="AD75" s="129"/>
      <c r="AE75" s="509">
        <f t="shared" si="207"/>
        <v>0</v>
      </c>
      <c r="AF75" s="129">
        <v>5</v>
      </c>
      <c r="AG75" s="129"/>
      <c r="AH75" s="129"/>
      <c r="AI75" s="509">
        <f t="shared" si="208"/>
        <v>0</v>
      </c>
      <c r="AJ75" s="129">
        <v>5</v>
      </c>
      <c r="AK75" s="129"/>
      <c r="AL75" s="129"/>
      <c r="AM75" s="509">
        <f t="shared" si="209"/>
        <v>0</v>
      </c>
      <c r="AN75" s="129">
        <v>5</v>
      </c>
      <c r="AO75" s="129"/>
      <c r="AP75" s="129"/>
      <c r="AQ75" s="509">
        <f t="shared" si="210"/>
        <v>0</v>
      </c>
      <c r="AR75" s="129"/>
      <c r="AS75" s="129"/>
      <c r="AT75" s="129"/>
      <c r="AU75" s="509">
        <f t="shared" si="211"/>
        <v>0</v>
      </c>
      <c r="AV75" s="129"/>
      <c r="AW75" s="129"/>
      <c r="AX75" s="129"/>
      <c r="AY75" s="509">
        <f t="shared" si="212"/>
        <v>0</v>
      </c>
      <c r="AZ75" s="23">
        <f t="shared" si="213"/>
        <v>15</v>
      </c>
      <c r="BA75" s="23">
        <f t="shared" si="214"/>
        <v>0</v>
      </c>
      <c r="BB75" s="509">
        <f t="shared" si="215"/>
        <v>0</v>
      </c>
      <c r="BC75" s="23">
        <f t="shared" si="216"/>
        <v>15</v>
      </c>
      <c r="BD75" s="257">
        <f t="shared" si="217"/>
        <v>0</v>
      </c>
      <c r="BE75" s="257">
        <f t="shared" si="218"/>
        <v>0</v>
      </c>
      <c r="BF75" s="257">
        <f t="shared" si="219"/>
        <v>15</v>
      </c>
      <c r="BG75" s="23">
        <f t="shared" si="220"/>
        <v>0</v>
      </c>
      <c r="BH75" s="257">
        <f t="shared" si="221"/>
        <v>0</v>
      </c>
      <c r="BI75" s="23">
        <f t="shared" si="222"/>
        <v>5</v>
      </c>
      <c r="BJ75" s="23">
        <f t="shared" si="223"/>
        <v>0</v>
      </c>
      <c r="BK75" s="257">
        <f t="shared" si="224"/>
        <v>0</v>
      </c>
      <c r="BL75" s="23">
        <f t="shared" si="225"/>
        <v>50</v>
      </c>
      <c r="BM75" s="23">
        <f t="shared" si="226"/>
        <v>0</v>
      </c>
      <c r="BN75" s="257">
        <f t="shared" si="227"/>
        <v>0</v>
      </c>
      <c r="BO75" s="466">
        <f t="shared" si="228"/>
        <v>0</v>
      </c>
      <c r="BP75" s="474"/>
      <c r="BQ75" s="23">
        <f t="shared" si="229"/>
        <v>30</v>
      </c>
      <c r="BR75" s="23">
        <f t="shared" si="229"/>
        <v>0</v>
      </c>
      <c r="BS75" s="23"/>
      <c r="BT75" s="23"/>
      <c r="BU75" s="466">
        <f t="shared" si="197"/>
        <v>0</v>
      </c>
      <c r="CA75" s="23">
        <f t="shared" si="230"/>
        <v>30</v>
      </c>
      <c r="CB75" s="23">
        <f t="shared" si="230"/>
        <v>0</v>
      </c>
      <c r="CC75" s="466">
        <f t="shared" si="199"/>
        <v>0</v>
      </c>
      <c r="CD75" s="509">
        <f t="shared" si="231"/>
        <v>0</v>
      </c>
      <c r="CE75" s="466">
        <f t="shared" si="188"/>
        <v>0</v>
      </c>
    </row>
    <row r="76" spans="1:83" ht="12.6" customHeight="1">
      <c r="A76" s="254" t="s">
        <v>121</v>
      </c>
      <c r="B76" s="129"/>
      <c r="C76" s="23"/>
      <c r="D76" s="129"/>
      <c r="E76" s="129"/>
      <c r="F76" s="129"/>
      <c r="G76" s="509">
        <f t="shared" si="201"/>
        <v>0</v>
      </c>
      <c r="H76" s="129"/>
      <c r="I76" s="129">
        <v>40</v>
      </c>
      <c r="J76" s="129">
        <v>2315</v>
      </c>
      <c r="K76" s="509">
        <f>I76*(J76-2315)*66.91/10^7</f>
        <v>0</v>
      </c>
      <c r="L76" s="129"/>
      <c r="M76" s="129">
        <v>235</v>
      </c>
      <c r="N76" s="129">
        <v>2302.5</v>
      </c>
      <c r="O76" s="509">
        <f>M76*(N76-2302)*67.28/10^7</f>
        <v>7.9054000000000006E-4</v>
      </c>
      <c r="P76" s="129"/>
      <c r="Q76" s="129">
        <v>518</v>
      </c>
      <c r="R76" s="129">
        <v>2305</v>
      </c>
      <c r="S76" s="509">
        <f>Q76*(R76-2305)*67.28/10^7</f>
        <v>0</v>
      </c>
      <c r="T76" s="129"/>
      <c r="U76" s="129"/>
      <c r="V76" s="129"/>
      <c r="W76" s="509">
        <f t="shared" si="205"/>
        <v>0</v>
      </c>
      <c r="X76" s="129"/>
      <c r="Y76" s="129"/>
      <c r="Z76" s="129"/>
      <c r="AA76" s="509">
        <f t="shared" si="206"/>
        <v>0</v>
      </c>
      <c r="AB76" s="129"/>
      <c r="AC76" s="129"/>
      <c r="AD76" s="129"/>
      <c r="AE76" s="509">
        <f t="shared" si="207"/>
        <v>0</v>
      </c>
      <c r="AF76" s="129"/>
      <c r="AG76" s="129"/>
      <c r="AH76" s="129"/>
      <c r="AI76" s="509">
        <f t="shared" si="208"/>
        <v>0</v>
      </c>
      <c r="AJ76" s="129"/>
      <c r="AK76" s="129"/>
      <c r="AL76" s="129"/>
      <c r="AM76" s="509">
        <f t="shared" si="209"/>
        <v>0</v>
      </c>
      <c r="AN76" s="129"/>
      <c r="AO76" s="129"/>
      <c r="AP76" s="129"/>
      <c r="AQ76" s="509">
        <f t="shared" si="210"/>
        <v>0</v>
      </c>
      <c r="AR76" s="129"/>
      <c r="AS76" s="129"/>
      <c r="AT76" s="129"/>
      <c r="AU76" s="509">
        <f t="shared" si="211"/>
        <v>0</v>
      </c>
      <c r="AV76" s="129"/>
      <c r="AW76" s="129"/>
      <c r="AX76" s="129"/>
      <c r="AY76" s="509">
        <f t="shared" si="212"/>
        <v>0</v>
      </c>
      <c r="AZ76" s="23">
        <f t="shared" si="213"/>
        <v>0</v>
      </c>
      <c r="BA76" s="23">
        <f t="shared" si="214"/>
        <v>275</v>
      </c>
      <c r="BB76" s="509">
        <f t="shared" si="215"/>
        <v>7.9054000000000006E-4</v>
      </c>
      <c r="BC76" s="23">
        <f t="shared" si="216"/>
        <v>0</v>
      </c>
      <c r="BD76" s="257">
        <f t="shared" si="217"/>
        <v>518</v>
      </c>
      <c r="BE76" s="257">
        <f t="shared" si="218"/>
        <v>0</v>
      </c>
      <c r="BF76" s="257">
        <f t="shared" si="219"/>
        <v>0</v>
      </c>
      <c r="BG76" s="23">
        <f t="shared" si="220"/>
        <v>0</v>
      </c>
      <c r="BH76" s="257">
        <f t="shared" si="221"/>
        <v>0</v>
      </c>
      <c r="BI76" s="23">
        <f t="shared" si="222"/>
        <v>0</v>
      </c>
      <c r="BJ76" s="23">
        <f t="shared" si="223"/>
        <v>0</v>
      </c>
      <c r="BK76" s="257">
        <f t="shared" si="224"/>
        <v>0</v>
      </c>
      <c r="BL76" s="23">
        <f t="shared" si="225"/>
        <v>0</v>
      </c>
      <c r="BM76" s="23">
        <f t="shared" si="226"/>
        <v>793</v>
      </c>
      <c r="BN76" s="257">
        <f t="shared" si="227"/>
        <v>7.9054000000000006E-4</v>
      </c>
      <c r="BO76" s="466">
        <f t="shared" si="228"/>
        <v>0</v>
      </c>
      <c r="BP76" s="474"/>
      <c r="BQ76" s="23">
        <f t="shared" si="229"/>
        <v>0</v>
      </c>
      <c r="BR76" s="23">
        <f t="shared" si="229"/>
        <v>793</v>
      </c>
      <c r="BS76" s="23"/>
      <c r="BT76" s="23"/>
      <c r="BU76" s="466">
        <f t="shared" si="197"/>
        <v>0</v>
      </c>
      <c r="CA76" s="23">
        <f t="shared" si="230"/>
        <v>0</v>
      </c>
      <c r="CB76" s="23">
        <f t="shared" si="230"/>
        <v>793</v>
      </c>
      <c r="CC76" s="466">
        <f t="shared" si="199"/>
        <v>0</v>
      </c>
      <c r="CD76" s="509">
        <f t="shared" si="231"/>
        <v>7.9054000000000006E-4</v>
      </c>
      <c r="CE76" s="466">
        <f t="shared" si="188"/>
        <v>0</v>
      </c>
    </row>
    <row r="77" spans="1:83" ht="12.6" customHeight="1">
      <c r="A77" s="254" t="s">
        <v>122</v>
      </c>
      <c r="B77" s="129">
        <v>0</v>
      </c>
      <c r="C77" s="23"/>
      <c r="D77" s="129"/>
      <c r="E77" s="129"/>
      <c r="F77" s="129"/>
      <c r="G77" s="509">
        <f t="shared" si="201"/>
        <v>0</v>
      </c>
      <c r="H77" s="129"/>
      <c r="I77" s="129"/>
      <c r="J77" s="129"/>
      <c r="K77" s="509">
        <f t="shared" si="202"/>
        <v>0</v>
      </c>
      <c r="L77" s="129"/>
      <c r="M77" s="129"/>
      <c r="N77" s="129"/>
      <c r="O77" s="509">
        <f t="shared" si="203"/>
        <v>0</v>
      </c>
      <c r="P77" s="129"/>
      <c r="Q77" s="129"/>
      <c r="R77" s="129"/>
      <c r="S77" s="509">
        <f t="shared" ref="S77:S78" si="232">Q77*(R77-C77)*67.28/10^7</f>
        <v>0</v>
      </c>
      <c r="T77" s="129"/>
      <c r="U77" s="129"/>
      <c r="V77" s="129"/>
      <c r="W77" s="509">
        <f t="shared" si="205"/>
        <v>0</v>
      </c>
      <c r="X77" s="129"/>
      <c r="Y77" s="129"/>
      <c r="Z77" s="129"/>
      <c r="AA77" s="509">
        <f t="shared" si="206"/>
        <v>0</v>
      </c>
      <c r="AB77" s="129"/>
      <c r="AC77" s="129"/>
      <c r="AD77" s="129"/>
      <c r="AE77" s="509">
        <f t="shared" si="207"/>
        <v>0</v>
      </c>
      <c r="AF77" s="129"/>
      <c r="AG77" s="129"/>
      <c r="AH77" s="129"/>
      <c r="AI77" s="509">
        <f t="shared" si="208"/>
        <v>0</v>
      </c>
      <c r="AJ77" s="129"/>
      <c r="AK77" s="129"/>
      <c r="AL77" s="129"/>
      <c r="AM77" s="509">
        <f t="shared" si="209"/>
        <v>0</v>
      </c>
      <c r="AN77" s="129"/>
      <c r="AO77" s="129"/>
      <c r="AP77" s="129"/>
      <c r="AQ77" s="509">
        <f t="shared" si="210"/>
        <v>0</v>
      </c>
      <c r="AR77" s="129"/>
      <c r="AS77" s="129"/>
      <c r="AT77" s="129"/>
      <c r="AU77" s="509">
        <f t="shared" si="211"/>
        <v>0</v>
      </c>
      <c r="AV77" s="129"/>
      <c r="AW77" s="129"/>
      <c r="AX77" s="129"/>
      <c r="AY77" s="509">
        <f t="shared" si="212"/>
        <v>0</v>
      </c>
      <c r="AZ77" s="23">
        <f t="shared" si="213"/>
        <v>0</v>
      </c>
      <c r="BA77" s="23">
        <f t="shared" si="214"/>
        <v>0</v>
      </c>
      <c r="BB77" s="509">
        <f t="shared" si="215"/>
        <v>0</v>
      </c>
      <c r="BC77" s="23">
        <f t="shared" si="216"/>
        <v>0</v>
      </c>
      <c r="BD77" s="257">
        <f t="shared" si="217"/>
        <v>0</v>
      </c>
      <c r="BE77" s="257">
        <f t="shared" si="218"/>
        <v>0</v>
      </c>
      <c r="BF77" s="257">
        <f t="shared" si="219"/>
        <v>0</v>
      </c>
      <c r="BG77" s="23">
        <f t="shared" si="220"/>
        <v>0</v>
      </c>
      <c r="BH77" s="257">
        <f t="shared" si="221"/>
        <v>0</v>
      </c>
      <c r="BI77" s="23">
        <f t="shared" si="222"/>
        <v>0</v>
      </c>
      <c r="BJ77" s="23">
        <f t="shared" si="223"/>
        <v>0</v>
      </c>
      <c r="BK77" s="257">
        <f t="shared" si="224"/>
        <v>0</v>
      </c>
      <c r="BL77" s="23">
        <f t="shared" si="225"/>
        <v>0</v>
      </c>
      <c r="BM77" s="23">
        <f t="shared" si="226"/>
        <v>0</v>
      </c>
      <c r="BN77" s="257">
        <f t="shared" si="227"/>
        <v>0</v>
      </c>
      <c r="BO77" s="466">
        <f t="shared" si="228"/>
        <v>0</v>
      </c>
      <c r="BP77" s="474"/>
      <c r="BQ77" s="23">
        <f t="shared" si="229"/>
        <v>0</v>
      </c>
      <c r="BR77" s="23">
        <f t="shared" si="229"/>
        <v>0</v>
      </c>
      <c r="BS77" s="23"/>
      <c r="BT77" s="23"/>
      <c r="BU77" s="466">
        <f t="shared" si="197"/>
        <v>0</v>
      </c>
      <c r="CA77" s="23">
        <f t="shared" si="230"/>
        <v>0</v>
      </c>
      <c r="CB77" s="23">
        <f t="shared" si="230"/>
        <v>0</v>
      </c>
      <c r="CC77" s="466">
        <f t="shared" si="199"/>
        <v>0</v>
      </c>
      <c r="CD77" s="509">
        <f t="shared" si="231"/>
        <v>0</v>
      </c>
      <c r="CE77" s="466">
        <f t="shared" si="188"/>
        <v>0</v>
      </c>
    </row>
    <row r="78" spans="1:83" ht="12.6" customHeight="1">
      <c r="A78" s="503" t="s">
        <v>123</v>
      </c>
      <c r="B78" s="129">
        <v>0</v>
      </c>
      <c r="C78" s="23"/>
      <c r="D78" s="129"/>
      <c r="E78" s="129"/>
      <c r="F78" s="129"/>
      <c r="G78" s="509">
        <f t="shared" si="201"/>
        <v>0</v>
      </c>
      <c r="H78" s="129"/>
      <c r="I78" s="129"/>
      <c r="J78" s="129"/>
      <c r="K78" s="509">
        <f t="shared" si="202"/>
        <v>0</v>
      </c>
      <c r="L78" s="129"/>
      <c r="M78" s="129"/>
      <c r="N78" s="129"/>
      <c r="O78" s="509">
        <f t="shared" si="203"/>
        <v>0</v>
      </c>
      <c r="P78" s="129"/>
      <c r="Q78" s="129"/>
      <c r="R78" s="129"/>
      <c r="S78" s="509">
        <f t="shared" si="232"/>
        <v>0</v>
      </c>
      <c r="T78" s="129"/>
      <c r="U78" s="129"/>
      <c r="V78" s="129"/>
      <c r="W78" s="509">
        <f t="shared" si="205"/>
        <v>0</v>
      </c>
      <c r="X78" s="129"/>
      <c r="Y78" s="129"/>
      <c r="Z78" s="129"/>
      <c r="AA78" s="509">
        <f t="shared" si="206"/>
        <v>0</v>
      </c>
      <c r="AB78" s="129"/>
      <c r="AC78" s="129"/>
      <c r="AD78" s="129"/>
      <c r="AE78" s="509">
        <f t="shared" si="207"/>
        <v>0</v>
      </c>
      <c r="AF78" s="129"/>
      <c r="AG78" s="129"/>
      <c r="AH78" s="129"/>
      <c r="AI78" s="509">
        <f t="shared" si="208"/>
        <v>0</v>
      </c>
      <c r="AJ78" s="129"/>
      <c r="AK78" s="129"/>
      <c r="AL78" s="129"/>
      <c r="AM78" s="509">
        <f t="shared" si="209"/>
        <v>0</v>
      </c>
      <c r="AN78" s="129"/>
      <c r="AO78" s="129"/>
      <c r="AP78" s="129"/>
      <c r="AQ78" s="509">
        <f t="shared" si="210"/>
        <v>0</v>
      </c>
      <c r="AR78" s="129"/>
      <c r="AS78" s="129"/>
      <c r="AT78" s="129"/>
      <c r="AU78" s="509">
        <f t="shared" si="211"/>
        <v>0</v>
      </c>
      <c r="AV78" s="129"/>
      <c r="AW78" s="129"/>
      <c r="AX78" s="129"/>
      <c r="AY78" s="509">
        <f t="shared" si="212"/>
        <v>0</v>
      </c>
      <c r="AZ78" s="23">
        <f t="shared" si="213"/>
        <v>0</v>
      </c>
      <c r="BA78" s="23">
        <f t="shared" si="214"/>
        <v>0</v>
      </c>
      <c r="BB78" s="509">
        <f t="shared" si="215"/>
        <v>0</v>
      </c>
      <c r="BC78" s="23">
        <f t="shared" si="216"/>
        <v>0</v>
      </c>
      <c r="BD78" s="257">
        <f t="shared" si="217"/>
        <v>0</v>
      </c>
      <c r="BE78" s="257">
        <f t="shared" si="218"/>
        <v>0</v>
      </c>
      <c r="BF78" s="257">
        <f t="shared" si="219"/>
        <v>0</v>
      </c>
      <c r="BG78" s="23">
        <f t="shared" si="220"/>
        <v>0</v>
      </c>
      <c r="BH78" s="257">
        <f t="shared" si="221"/>
        <v>0</v>
      </c>
      <c r="BI78" s="23">
        <f t="shared" si="222"/>
        <v>0</v>
      </c>
      <c r="BJ78" s="23">
        <f t="shared" si="223"/>
        <v>0</v>
      </c>
      <c r="BK78" s="257">
        <f t="shared" si="224"/>
        <v>0</v>
      </c>
      <c r="BL78" s="23">
        <f t="shared" si="225"/>
        <v>0</v>
      </c>
      <c r="BM78" s="23">
        <f t="shared" si="226"/>
        <v>0</v>
      </c>
      <c r="BN78" s="257">
        <f t="shared" si="227"/>
        <v>0</v>
      </c>
      <c r="BO78" s="466">
        <f t="shared" si="228"/>
        <v>0</v>
      </c>
      <c r="BP78" s="474"/>
      <c r="BQ78" s="23">
        <f t="shared" si="229"/>
        <v>0</v>
      </c>
      <c r="BR78" s="23">
        <f t="shared" si="229"/>
        <v>0</v>
      </c>
      <c r="BS78" s="23"/>
      <c r="BT78" s="23"/>
      <c r="BU78" s="466">
        <f t="shared" si="197"/>
        <v>0</v>
      </c>
      <c r="CA78" s="23">
        <f t="shared" si="230"/>
        <v>0</v>
      </c>
      <c r="CB78" s="23">
        <f t="shared" si="230"/>
        <v>0</v>
      </c>
      <c r="CC78" s="466">
        <f t="shared" si="199"/>
        <v>0</v>
      </c>
      <c r="CD78" s="509">
        <f t="shared" si="231"/>
        <v>0</v>
      </c>
      <c r="CE78" s="466">
        <f t="shared" si="188"/>
        <v>0</v>
      </c>
    </row>
    <row r="79" spans="1:83" ht="12.6" customHeight="1">
      <c r="A79" s="482" t="s">
        <v>108</v>
      </c>
      <c r="B79" s="457">
        <v>110</v>
      </c>
      <c r="C79" s="458"/>
      <c r="D79" s="457">
        <f>SUM(D73:D78)</f>
        <v>10</v>
      </c>
      <c r="E79" s="457">
        <f>SUM(E73:E78)</f>
        <v>4</v>
      </c>
      <c r="F79" s="457"/>
      <c r="G79" s="511">
        <f>SUM(G73:G78)</f>
        <v>4.7318663599999998E-2</v>
      </c>
      <c r="H79" s="457">
        <f>SUM(H73:H78)</f>
        <v>10</v>
      </c>
      <c r="I79" s="457">
        <f>SUM(I73:I78)</f>
        <v>40</v>
      </c>
      <c r="J79" s="457"/>
      <c r="K79" s="511">
        <f>SUM(K73:K78)</f>
        <v>0</v>
      </c>
      <c r="L79" s="457">
        <f>SUM(L73:L78)</f>
        <v>10</v>
      </c>
      <c r="M79" s="457">
        <f>SUM(M73:M78)</f>
        <v>242</v>
      </c>
      <c r="N79" s="457"/>
      <c r="O79" s="511">
        <f>SUM(O73:O78)</f>
        <v>7.9723436000000009E-2</v>
      </c>
      <c r="P79" s="457">
        <f>SUM(P73:P78)</f>
        <v>10</v>
      </c>
      <c r="Q79" s="457">
        <f>SUM(Q73:Q78)</f>
        <v>526</v>
      </c>
      <c r="R79" s="457"/>
      <c r="S79" s="511">
        <f>SUM(S73:S78)</f>
        <v>9.392288E-2</v>
      </c>
      <c r="T79" s="457">
        <f>SUM(T73:T78)</f>
        <v>10</v>
      </c>
      <c r="U79" s="457">
        <f>SUM(U73:U78)</f>
        <v>2</v>
      </c>
      <c r="V79" s="457"/>
      <c r="W79" s="457">
        <f>SUM(W73:W78)</f>
        <v>2.4001098000000002E-2</v>
      </c>
      <c r="X79" s="457">
        <f t="shared" ref="X79:AV79" si="233">SUM(X73:X78)</f>
        <v>10</v>
      </c>
      <c r="Y79" s="457">
        <f t="shared" ref="Y79" si="234">SUM(Y73:Y78)</f>
        <v>1</v>
      </c>
      <c r="Z79" s="457"/>
      <c r="AA79" s="457">
        <f>SUM(AA73:AA78)</f>
        <v>1.3137929999999999E-2</v>
      </c>
      <c r="AB79" s="457">
        <f t="shared" si="233"/>
        <v>10</v>
      </c>
      <c r="AC79" s="457">
        <f t="shared" si="233"/>
        <v>0</v>
      </c>
      <c r="AD79" s="457"/>
      <c r="AE79" s="457">
        <f>SUM(AE73:AE78)</f>
        <v>0</v>
      </c>
      <c r="AF79" s="457">
        <f t="shared" si="233"/>
        <v>10</v>
      </c>
      <c r="AG79" s="457">
        <f t="shared" ref="AG79" si="235">SUM(AG73:AG78)</f>
        <v>7</v>
      </c>
      <c r="AH79" s="457"/>
      <c r="AI79" s="457">
        <f>SUM(AI73:AI78)</f>
        <v>7.7676452000000007E-2</v>
      </c>
      <c r="AJ79" s="457">
        <f t="shared" si="233"/>
        <v>10</v>
      </c>
      <c r="AK79" s="457">
        <f t="shared" si="233"/>
        <v>1</v>
      </c>
      <c r="AL79" s="457"/>
      <c r="AM79" s="457">
        <f>SUM(AM73:AM78)</f>
        <v>1.1612073966703265E-2</v>
      </c>
      <c r="AN79" s="457">
        <f t="shared" si="233"/>
        <v>10</v>
      </c>
      <c r="AO79" s="457">
        <f t="shared" ref="AO79" si="236">SUM(AO73:AO78)</f>
        <v>0</v>
      </c>
      <c r="AP79" s="457"/>
      <c r="AQ79" s="457">
        <f>SUM(AQ73:AQ78)</f>
        <v>0</v>
      </c>
      <c r="AR79" s="457">
        <f t="shared" si="233"/>
        <v>5</v>
      </c>
      <c r="AS79" s="457">
        <f t="shared" si="233"/>
        <v>0</v>
      </c>
      <c r="AT79" s="457"/>
      <c r="AU79" s="457">
        <f>SUM(AU73:AU78)</f>
        <v>0</v>
      </c>
      <c r="AV79" s="457">
        <f t="shared" si="233"/>
        <v>5</v>
      </c>
      <c r="AW79" s="457">
        <f t="shared" ref="AW79" si="237">SUM(AW73:AW78)</f>
        <v>0</v>
      </c>
      <c r="AX79" s="457"/>
      <c r="AY79" s="457">
        <f>SUM(AY73:AY78)</f>
        <v>0</v>
      </c>
      <c r="AZ79" s="457">
        <f t="shared" ref="AZ79:BN79" si="238">SUM(AZ73:AZ78)</f>
        <v>30</v>
      </c>
      <c r="BA79" s="458">
        <f t="shared" si="238"/>
        <v>286</v>
      </c>
      <c r="BB79" s="511">
        <f t="shared" ref="BB79" si="239">SUM(BB73:BB78)</f>
        <v>0.12704209960000001</v>
      </c>
      <c r="BC79" s="457">
        <f t="shared" si="238"/>
        <v>30</v>
      </c>
      <c r="BD79" s="458">
        <f t="shared" si="238"/>
        <v>529</v>
      </c>
      <c r="BE79" s="457">
        <f t="shared" si="238"/>
        <v>0.131061908</v>
      </c>
      <c r="BF79" s="457">
        <f t="shared" si="238"/>
        <v>30</v>
      </c>
      <c r="BG79" s="457">
        <f t="shared" si="238"/>
        <v>8</v>
      </c>
      <c r="BH79" s="457">
        <f t="shared" si="238"/>
        <v>8.9288525966703267E-2</v>
      </c>
      <c r="BI79" s="457">
        <f t="shared" si="238"/>
        <v>20</v>
      </c>
      <c r="BJ79" s="457">
        <f t="shared" si="238"/>
        <v>0</v>
      </c>
      <c r="BK79" s="457">
        <f t="shared" si="238"/>
        <v>0</v>
      </c>
      <c r="BL79" s="457">
        <f t="shared" si="238"/>
        <v>110</v>
      </c>
      <c r="BM79" s="457">
        <f t="shared" si="238"/>
        <v>823</v>
      </c>
      <c r="BN79" s="457">
        <f t="shared" si="238"/>
        <v>0.3473925335667033</v>
      </c>
      <c r="BO79" s="525">
        <f t="shared" ref="BO79" si="240">IFERROR(BL79/BK79,0)</f>
        <v>0</v>
      </c>
      <c r="BP79" s="474"/>
      <c r="BQ79" s="457">
        <f t="shared" ref="BQ79:BR79" si="241">SUM(BQ73:BQ78)</f>
        <v>60</v>
      </c>
      <c r="BR79" s="458">
        <f t="shared" si="241"/>
        <v>815</v>
      </c>
      <c r="BS79" s="458"/>
      <c r="BT79" s="458"/>
      <c r="BU79" s="467">
        <f t="shared" si="197"/>
        <v>13.583333333333334</v>
      </c>
      <c r="CA79" s="457">
        <f t="shared" ref="CA79:CB79" si="242">SUM(CA73:CA78)</f>
        <v>60</v>
      </c>
      <c r="CB79" s="457">
        <f t="shared" si="242"/>
        <v>815</v>
      </c>
      <c r="CC79" s="467">
        <f t="shared" si="199"/>
        <v>13.583333333333334</v>
      </c>
      <c r="CD79" s="530">
        <f t="shared" ref="CD79" si="243">SUM(CD73:CD78)</f>
        <v>0.25810400760000002</v>
      </c>
      <c r="CE79" s="525">
        <f t="shared" si="188"/>
        <v>7.4090909090909092</v>
      </c>
    </row>
    <row r="80" spans="1:83" ht="12.6" customHeight="1">
      <c r="A80" s="474"/>
      <c r="B80" s="502"/>
      <c r="C80" s="502"/>
      <c r="D80" s="474"/>
      <c r="E80" s="474"/>
      <c r="F80" s="474"/>
      <c r="G80" s="516"/>
      <c r="H80" s="474"/>
      <c r="I80" s="474"/>
      <c r="J80" s="474"/>
      <c r="K80" s="516"/>
      <c r="L80" s="474"/>
      <c r="M80" s="474"/>
      <c r="N80" s="474"/>
      <c r="O80" s="516"/>
      <c r="P80" s="474"/>
      <c r="Q80" s="474"/>
      <c r="R80" s="474"/>
      <c r="S80" s="516"/>
      <c r="T80" s="474"/>
      <c r="U80" s="474"/>
      <c r="V80" s="474"/>
      <c r="W80" s="474"/>
      <c r="X80" s="474"/>
      <c r="Y80" s="474"/>
      <c r="Z80" s="474"/>
      <c r="AA80" s="474"/>
      <c r="AB80" s="474"/>
      <c r="AC80" s="474"/>
      <c r="AD80" s="474"/>
      <c r="AE80" s="474"/>
      <c r="AF80" s="474"/>
      <c r="AG80" s="474"/>
      <c r="AH80" s="474"/>
      <c r="AI80" s="474"/>
      <c r="AJ80" s="474"/>
      <c r="AK80" s="474"/>
      <c r="AL80" s="474"/>
      <c r="AM80" s="474"/>
      <c r="AN80" s="474"/>
      <c r="AO80" s="474"/>
      <c r="AP80" s="474"/>
      <c r="AQ80" s="474"/>
      <c r="AR80" s="474"/>
      <c r="AS80" s="474"/>
      <c r="AT80" s="474"/>
      <c r="AU80" s="474"/>
      <c r="AV80" s="474"/>
      <c r="AW80" s="474"/>
      <c r="AX80" s="474"/>
      <c r="AY80" s="474"/>
      <c r="AZ80" s="474"/>
      <c r="BA80" s="474"/>
      <c r="BB80" s="516"/>
      <c r="BC80" s="474"/>
      <c r="BD80" s="474"/>
      <c r="BE80" s="474"/>
      <c r="BF80" s="474"/>
      <c r="BG80" s="474"/>
      <c r="BH80" s="474"/>
      <c r="BI80" s="474"/>
      <c r="BJ80" s="474"/>
      <c r="BK80" s="474"/>
      <c r="BL80" s="474"/>
      <c r="BM80" s="474"/>
      <c r="BN80" s="474"/>
      <c r="BO80" s="527"/>
      <c r="BP80" s="474"/>
      <c r="BQ80" s="464"/>
      <c r="BR80" s="465"/>
      <c r="BS80" s="465"/>
      <c r="BT80" s="465"/>
      <c r="BU80" s="470">
        <f t="shared" si="197"/>
        <v>0</v>
      </c>
      <c r="CA80" s="464"/>
      <c r="CB80" s="464"/>
      <c r="CC80" s="470">
        <f t="shared" si="199"/>
        <v>0</v>
      </c>
      <c r="CD80" s="532"/>
      <c r="CE80" s="527">
        <f t="shared" si="188"/>
        <v>0</v>
      </c>
    </row>
    <row r="81" spans="1:83" ht="12.6" customHeight="1">
      <c r="A81" s="482" t="s">
        <v>233</v>
      </c>
      <c r="B81" s="457">
        <v>101702</v>
      </c>
      <c r="C81" s="457"/>
      <c r="D81" s="457">
        <f t="shared" ref="D81:AV81" si="244">D24+D54+D61+D65+D79</f>
        <v>8057</v>
      </c>
      <c r="E81" s="457">
        <f t="shared" si="244"/>
        <v>4591</v>
      </c>
      <c r="F81" s="457"/>
      <c r="G81" s="511">
        <f t="shared" si="244"/>
        <v>19.84716240185714</v>
      </c>
      <c r="H81" s="457">
        <f t="shared" si="244"/>
        <v>8389</v>
      </c>
      <c r="I81" s="457">
        <f t="shared" si="244"/>
        <v>6832</v>
      </c>
      <c r="J81" s="457"/>
      <c r="K81" s="511">
        <f t="shared" si="244"/>
        <v>28.864382228842857</v>
      </c>
      <c r="L81" s="457">
        <f t="shared" si="244"/>
        <v>8513</v>
      </c>
      <c r="M81" s="457">
        <f t="shared" si="244"/>
        <v>7386</v>
      </c>
      <c r="N81" s="457"/>
      <c r="O81" s="511">
        <f t="shared" si="244"/>
        <v>27.710055656571427</v>
      </c>
      <c r="P81" s="457">
        <f t="shared" si="244"/>
        <v>8482</v>
      </c>
      <c r="Q81" s="457">
        <f t="shared" ref="Q81" si="245">Q24+Q54+Q61+Q65+Q79</f>
        <v>7735</v>
      </c>
      <c r="R81" s="457"/>
      <c r="S81" s="511">
        <f t="shared" ref="S81" si="246">S24+S54+S61+S65+S79</f>
        <v>30.020236087796611</v>
      </c>
      <c r="T81" s="457">
        <f t="shared" si="244"/>
        <v>8464</v>
      </c>
      <c r="U81" s="457">
        <f t="shared" ref="U81" si="247">U24+U54+U61+U65+U79</f>
        <v>6699</v>
      </c>
      <c r="V81" s="457"/>
      <c r="W81" s="511">
        <f t="shared" ref="W81" si="248">W24+W54+W61+W65+W79</f>
        <v>27.501456779614287</v>
      </c>
      <c r="X81" s="457">
        <f t="shared" si="244"/>
        <v>8538</v>
      </c>
      <c r="Y81" s="457">
        <f t="shared" ref="Y81:AA81" si="249">Y24+Y54+Y61+Y65+Y79</f>
        <v>6816</v>
      </c>
      <c r="Z81" s="457">
        <f t="shared" si="249"/>
        <v>0</v>
      </c>
      <c r="AA81" s="511">
        <f t="shared" si="249"/>
        <v>28.231235284757144</v>
      </c>
      <c r="AB81" s="457">
        <f t="shared" si="244"/>
        <v>8712</v>
      </c>
      <c r="AC81" s="457">
        <f t="shared" si="244"/>
        <v>5762</v>
      </c>
      <c r="AD81" s="457">
        <f t="shared" si="244"/>
        <v>0</v>
      </c>
      <c r="AE81" s="511">
        <f t="shared" si="244"/>
        <v>25.195023590116172</v>
      </c>
      <c r="AF81" s="457">
        <f t="shared" si="244"/>
        <v>8609</v>
      </c>
      <c r="AG81" s="457">
        <f t="shared" ref="AG81:AI81" si="250">AG24+AG54+AG61+AG65+AG79</f>
        <v>5093</v>
      </c>
      <c r="AH81" s="457">
        <f t="shared" si="250"/>
        <v>0</v>
      </c>
      <c r="AI81" s="511">
        <f t="shared" si="250"/>
        <v>20.63987408597518</v>
      </c>
      <c r="AJ81" s="457">
        <f t="shared" si="244"/>
        <v>8817</v>
      </c>
      <c r="AK81" s="457">
        <f t="shared" si="244"/>
        <v>4500</v>
      </c>
      <c r="AL81" s="457">
        <f t="shared" si="244"/>
        <v>0</v>
      </c>
      <c r="AM81" s="511">
        <f t="shared" si="244"/>
        <v>22.814179401670579</v>
      </c>
      <c r="AN81" s="457">
        <f t="shared" si="244"/>
        <v>8532</v>
      </c>
      <c r="AO81" s="457">
        <f t="shared" ref="AO81:AQ81" si="251">AO24+AO54+AO61+AO65+AO79</f>
        <v>5472</v>
      </c>
      <c r="AP81" s="457">
        <f t="shared" si="251"/>
        <v>0</v>
      </c>
      <c r="AQ81" s="511">
        <f t="shared" si="251"/>
        <v>25.225382983570199</v>
      </c>
      <c r="AR81" s="457">
        <f t="shared" si="244"/>
        <v>8508</v>
      </c>
      <c r="AS81" s="457">
        <f t="shared" si="244"/>
        <v>5451</v>
      </c>
      <c r="AT81" s="457">
        <f t="shared" si="244"/>
        <v>0</v>
      </c>
      <c r="AU81" s="511">
        <f t="shared" si="244"/>
        <v>22.744805624227723</v>
      </c>
      <c r="AV81" s="457">
        <f t="shared" si="244"/>
        <v>8081</v>
      </c>
      <c r="AW81" s="457">
        <f t="shared" ref="AW81:AY81" si="252">AW24+AW54+AW61+AW65+AW79</f>
        <v>0</v>
      </c>
      <c r="AX81" s="457">
        <f t="shared" si="252"/>
        <v>0</v>
      </c>
      <c r="AY81" s="511">
        <f t="shared" si="252"/>
        <v>0</v>
      </c>
      <c r="AZ81" s="458">
        <f t="shared" ref="AZ81" si="253">+D81+H81+L81</f>
        <v>24959</v>
      </c>
      <c r="BA81" s="458">
        <f t="shared" ref="BA81" si="254">+E81+I81+M81</f>
        <v>18809</v>
      </c>
      <c r="BB81" s="511">
        <f>+G81+K81+O81</f>
        <v>76.421600287271417</v>
      </c>
      <c r="BC81" s="458">
        <f>+P81+T81+X81</f>
        <v>25484</v>
      </c>
      <c r="BD81" s="458">
        <f>+Q81+U81+Y81</f>
        <v>21250</v>
      </c>
      <c r="BE81" s="458">
        <f>S81+W81+AA81</f>
        <v>85.752928152168039</v>
      </c>
      <c r="BF81" s="458">
        <f>AB81+AF81+AJ81</f>
        <v>26138</v>
      </c>
      <c r="BG81" s="458">
        <f>AC81+AG81+AK81</f>
        <v>15355</v>
      </c>
      <c r="BH81" s="458">
        <f>AE81+AI81+AM81</f>
        <v>68.64907707776193</v>
      </c>
      <c r="BI81" s="458">
        <f>+AN81+AR81+AV81</f>
        <v>25121</v>
      </c>
      <c r="BJ81" s="458">
        <f>+AO81+AS81+AW81</f>
        <v>10923</v>
      </c>
      <c r="BK81" s="458">
        <f>AQ81+AU81+AY81</f>
        <v>47.970188607797922</v>
      </c>
      <c r="BL81" s="458">
        <f>AZ81+BC81+BF81+BI81</f>
        <v>101702</v>
      </c>
      <c r="BM81" s="458">
        <f t="shared" ref="BM81" si="255">BA81+BD81+BG81+BJ81</f>
        <v>66337</v>
      </c>
      <c r="BN81" s="458">
        <f t="shared" ref="BN81" si="256">BB81+BE81+BH81+BK81</f>
        <v>278.79379412499929</v>
      </c>
      <c r="BO81" s="525">
        <f>IFERROR(BM81/BL81,0)</f>
        <v>0.6522683919686928</v>
      </c>
      <c r="BP81" s="474"/>
      <c r="BQ81" s="458">
        <f t="shared" ref="BQ81:BR85" si="257">BQ24+BQ54+BQ61+BQ65+BQ79</f>
        <v>50443</v>
      </c>
      <c r="BR81" s="457">
        <f t="shared" si="257"/>
        <v>40059</v>
      </c>
      <c r="BS81" s="457"/>
      <c r="BT81" s="457"/>
      <c r="BU81" s="467">
        <f t="shared" si="197"/>
        <v>0.79414388517732881</v>
      </c>
      <c r="CA81" s="457">
        <f t="shared" ref="CA81:CB81" si="258">CA24+CA54+CA61+CA65+CA79</f>
        <v>50443</v>
      </c>
      <c r="CB81" s="457">
        <f t="shared" si="258"/>
        <v>40059</v>
      </c>
      <c r="CC81" s="467">
        <f t="shared" si="199"/>
        <v>0.79414388517732881</v>
      </c>
      <c r="CD81" s="530">
        <f t="shared" ref="CD81" si="259">CD24+CD54+CD61+CD65+CD79</f>
        <v>162.17452843943948</v>
      </c>
      <c r="CE81" s="525">
        <f t="shared" si="188"/>
        <v>0.39388605927120413</v>
      </c>
    </row>
    <row r="83" spans="1:83" ht="12.6" customHeight="1">
      <c r="A83" s="482" t="s">
        <v>241</v>
      </c>
      <c r="B83" s="457"/>
      <c r="C83" s="457"/>
      <c r="D83" s="457"/>
      <c r="E83" s="457"/>
      <c r="F83" s="457"/>
      <c r="G83" s="511">
        <f>SUM(G6:G14)+SUM(G16:G20)+G31+G33+G39+G40+G47+G41</f>
        <v>10.138676411700001</v>
      </c>
      <c r="H83" s="457"/>
      <c r="I83" s="457"/>
      <c r="J83" s="457"/>
      <c r="K83" s="511">
        <f>SUM(K6:K14)+SUM(K16:K20)+K31+K33+K39+K40+K47+K41</f>
        <v>14.039964837800003</v>
      </c>
      <c r="L83" s="457"/>
      <c r="M83" s="457"/>
      <c r="N83" s="457"/>
      <c r="O83" s="511">
        <f>SUM(O6:O14)+SUM(O16:O20)+O31+O33+O39+O40+O47+O41</f>
        <v>14.104397544000003</v>
      </c>
      <c r="P83" s="457"/>
      <c r="Q83" s="457"/>
      <c r="R83" s="457"/>
      <c r="S83" s="511">
        <f>SUM(S6:S14)+SUM(S16:S20)+S31+S33+S39+S40+S47+S41</f>
        <v>18.872167832000002</v>
      </c>
      <c r="T83" s="457"/>
      <c r="U83" s="457"/>
      <c r="V83" s="457"/>
      <c r="W83" s="511">
        <f>SUM(W6:W14)+SUM(W16:W20)+W31+W33+W39+W40+W47+W41</f>
        <v>14.942731563000001</v>
      </c>
      <c r="X83" s="457"/>
      <c r="Y83" s="457"/>
      <c r="Z83" s="457"/>
      <c r="AA83" s="511">
        <f>SUM(AA6:AA14)+SUM(AA16:AA20)+AA31+AA33+AA39+AA40+AA47+AA41</f>
        <v>12.6476397918</v>
      </c>
      <c r="AB83" s="457"/>
      <c r="AC83" s="457"/>
      <c r="AD83" s="457"/>
      <c r="AE83" s="511">
        <f>SUM(AE6:AE14)+SUM(AE16:AE20)+AE31+AE33+AE39+AE40+AE47+AE41</f>
        <v>12.107125070033605</v>
      </c>
      <c r="AF83" s="457"/>
      <c r="AG83" s="457"/>
      <c r="AH83" s="457"/>
      <c r="AI83" s="511">
        <f>SUM(AI6:AI14)+SUM(AI16:AI20)+AI31+AI33+AI39+AI40+AI47+AI41</f>
        <v>9.9829378739999992</v>
      </c>
      <c r="AJ83" s="457"/>
      <c r="AK83" s="457"/>
      <c r="AL83" s="457"/>
      <c r="AM83" s="511">
        <f>SUM(AM6:AM14)+SUM(AM16:AM20)+AM31+AM33+AM39+AM40+AM47+AM41</f>
        <v>11.080888282</v>
      </c>
      <c r="AN83" s="457"/>
      <c r="AO83" s="457"/>
      <c r="AP83" s="457"/>
      <c r="AQ83" s="511">
        <f>SUM(AQ6:AQ14)+SUM(AQ16:AQ20)+AQ31+AQ33+AQ39+AQ40+AQ47+AQ41</f>
        <v>12.771692180005504</v>
      </c>
      <c r="AR83" s="457"/>
      <c r="AS83" s="457"/>
      <c r="AT83" s="457"/>
      <c r="AU83" s="511">
        <f>SUM(AU6:AU14)+SUM(AU16:AU20)+AU31+AU33+AU39+AU40+AU47+AU41</f>
        <v>12.12007849465161</v>
      </c>
      <c r="AV83" s="457"/>
      <c r="AW83" s="457"/>
      <c r="AX83" s="457"/>
      <c r="AY83" s="511">
        <f>SUM(AY6:AY14)+SUM(AY16:AY20)+AY31+AY33+AY39+AY40+AY47+AY41</f>
        <v>0</v>
      </c>
      <c r="AZ83" s="458">
        <f t="shared" ref="AZ83:AZ85" si="260">+D83+H83+L83</f>
        <v>0</v>
      </c>
      <c r="BA83" s="458">
        <f t="shared" ref="BA83:BA85" si="261">+E83+I83+M83</f>
        <v>0</v>
      </c>
      <c r="BB83" s="511">
        <f t="shared" ref="BB83:BB85" si="262">+G83+K83+O83</f>
        <v>38.283038793500005</v>
      </c>
      <c r="BC83" s="458">
        <f t="shared" ref="BC83:BC85" si="263">+P83+T83+X83</f>
        <v>0</v>
      </c>
      <c r="BD83" s="458">
        <f t="shared" ref="BD83:BD85" si="264">+Q83+U83+Y83</f>
        <v>0</v>
      </c>
      <c r="BE83" s="458">
        <f t="shared" ref="BE83:BE85" si="265">S83+W83+AA83</f>
        <v>46.462539186800001</v>
      </c>
      <c r="BF83" s="458">
        <f t="shared" ref="BF83:BF85" si="266">AB83+AF83+AJ83</f>
        <v>0</v>
      </c>
      <c r="BG83" s="458">
        <f t="shared" ref="BG83:BG85" si="267">AC83+AG83+AK83</f>
        <v>0</v>
      </c>
      <c r="BH83" s="458">
        <f t="shared" ref="BH83:BH85" si="268">AE83+AI83+AM83</f>
        <v>33.170951226033608</v>
      </c>
      <c r="BI83" s="458">
        <f t="shared" ref="BI83:BI85" si="269">+AN83+AR83+AV83</f>
        <v>0</v>
      </c>
      <c r="BJ83" s="458">
        <f t="shared" ref="BJ83:BJ85" si="270">+AO83+AS83+AW83</f>
        <v>0</v>
      </c>
      <c r="BK83" s="458">
        <f t="shared" ref="BK83:BK85" si="271">AQ83+AU83+AY83</f>
        <v>24.891770674657113</v>
      </c>
      <c r="BL83" s="458">
        <f t="shared" ref="BL83:BL85" si="272">AZ83+BC83+BF83+BI83</f>
        <v>0</v>
      </c>
      <c r="BM83" s="458">
        <f t="shared" ref="BM83:BM85" si="273">BA83+BD83+BG83+BJ83</f>
        <v>0</v>
      </c>
      <c r="BN83" s="458">
        <f t="shared" ref="BN83:BN85" si="274">BB83+BE83+BH83+BK83</f>
        <v>142.80829988099072</v>
      </c>
      <c r="BO83" s="525"/>
      <c r="BP83" s="474"/>
      <c r="BQ83" s="458">
        <f t="shared" si="257"/>
        <v>107246</v>
      </c>
      <c r="BR83" s="457">
        <f t="shared" si="257"/>
        <v>83241</v>
      </c>
      <c r="BS83" s="457"/>
      <c r="BT83" s="457"/>
      <c r="BU83" s="525">
        <f t="shared" ref="BU83" si="275">IFERROR(BR83/BQ83,0)</f>
        <v>0.77616880816067735</v>
      </c>
      <c r="CA83" s="457"/>
      <c r="CB83" s="457"/>
      <c r="CC83" s="525"/>
      <c r="CD83" s="511">
        <f>SUM(CD6:CD14)+SUM(CD16:CD20)+CD31+CD33+CD39+CD40+CD47+CD41</f>
        <v>84.745577980299984</v>
      </c>
      <c r="CE83" s="525"/>
    </row>
    <row r="85" spans="1:83" ht="12.6" customHeight="1">
      <c r="A85" s="482" t="s">
        <v>242</v>
      </c>
      <c r="B85" s="457"/>
      <c r="C85" s="457"/>
      <c r="D85" s="457"/>
      <c r="E85" s="457"/>
      <c r="F85" s="457"/>
      <c r="G85" s="530">
        <f>G81-G83</f>
        <v>9.7084859901571399</v>
      </c>
      <c r="H85" s="457"/>
      <c r="I85" s="457"/>
      <c r="J85" s="457"/>
      <c r="K85" s="530">
        <f>K81-K83</f>
        <v>14.824417391042854</v>
      </c>
      <c r="L85" s="457"/>
      <c r="M85" s="457"/>
      <c r="N85" s="457"/>
      <c r="O85" s="530">
        <f>O81-O83</f>
        <v>13.605658112571424</v>
      </c>
      <c r="P85" s="457"/>
      <c r="Q85" s="457"/>
      <c r="R85" s="457"/>
      <c r="S85" s="530">
        <f>S81-S83</f>
        <v>11.148068255796609</v>
      </c>
      <c r="T85" s="457"/>
      <c r="U85" s="457"/>
      <c r="V85" s="457"/>
      <c r="W85" s="530">
        <f>W81-W83</f>
        <v>12.558725216614286</v>
      </c>
      <c r="X85" s="457"/>
      <c r="Y85" s="457"/>
      <c r="Z85" s="457"/>
      <c r="AA85" s="530">
        <f>AA81-AA83</f>
        <v>15.583595492957144</v>
      </c>
      <c r="AB85" s="457"/>
      <c r="AC85" s="457"/>
      <c r="AD85" s="457"/>
      <c r="AE85" s="530">
        <f>AE81-AE83</f>
        <v>13.087898520082566</v>
      </c>
      <c r="AF85" s="457"/>
      <c r="AG85" s="457"/>
      <c r="AH85" s="457"/>
      <c r="AI85" s="530">
        <f>AI81-AI83</f>
        <v>10.65693621197518</v>
      </c>
      <c r="AJ85" s="457"/>
      <c r="AK85" s="457"/>
      <c r="AL85" s="457"/>
      <c r="AM85" s="530">
        <f>AM81-AM83</f>
        <v>11.733291119670579</v>
      </c>
      <c r="AN85" s="457"/>
      <c r="AO85" s="457"/>
      <c r="AP85" s="457"/>
      <c r="AQ85" s="530">
        <f>AQ81-AQ83</f>
        <v>12.453690803564696</v>
      </c>
      <c r="AR85" s="457"/>
      <c r="AS85" s="457"/>
      <c r="AT85" s="457"/>
      <c r="AU85" s="530">
        <f>AU81-AU83</f>
        <v>10.624727129576113</v>
      </c>
      <c r="AV85" s="457"/>
      <c r="AW85" s="457"/>
      <c r="AX85" s="457"/>
      <c r="AY85" s="530">
        <f>AY81-AY83</f>
        <v>0</v>
      </c>
      <c r="AZ85" s="458">
        <f t="shared" si="260"/>
        <v>0</v>
      </c>
      <c r="BA85" s="458">
        <f t="shared" si="261"/>
        <v>0</v>
      </c>
      <c r="BB85" s="511">
        <f t="shared" si="262"/>
        <v>38.138561493771419</v>
      </c>
      <c r="BC85" s="458">
        <f t="shared" si="263"/>
        <v>0</v>
      </c>
      <c r="BD85" s="458">
        <f t="shared" si="264"/>
        <v>0</v>
      </c>
      <c r="BE85" s="458">
        <f t="shared" si="265"/>
        <v>39.290388965368038</v>
      </c>
      <c r="BF85" s="458">
        <f t="shared" si="266"/>
        <v>0</v>
      </c>
      <c r="BG85" s="458">
        <f t="shared" si="267"/>
        <v>0</v>
      </c>
      <c r="BH85" s="458">
        <f t="shared" si="268"/>
        <v>35.478125851728322</v>
      </c>
      <c r="BI85" s="458">
        <f t="shared" si="269"/>
        <v>0</v>
      </c>
      <c r="BJ85" s="458">
        <f t="shared" si="270"/>
        <v>0</v>
      </c>
      <c r="BK85" s="458">
        <f t="shared" si="271"/>
        <v>23.078417933140809</v>
      </c>
      <c r="BL85" s="458">
        <f t="shared" si="272"/>
        <v>0</v>
      </c>
      <c r="BM85" s="458">
        <f t="shared" si="273"/>
        <v>0</v>
      </c>
      <c r="BN85" s="458">
        <f t="shared" si="274"/>
        <v>135.98549424400858</v>
      </c>
      <c r="BO85" s="525"/>
      <c r="BP85" s="474"/>
      <c r="BQ85" s="458">
        <f t="shared" si="257"/>
        <v>110796</v>
      </c>
      <c r="BR85" s="457">
        <f t="shared" si="257"/>
        <v>86291</v>
      </c>
      <c r="BS85" s="457"/>
      <c r="BT85" s="457"/>
      <c r="BU85" s="525">
        <f t="shared" ref="BU85" si="276">IFERROR(BR85/BQ85,0)</f>
        <v>0.77882775551463956</v>
      </c>
      <c r="CA85" s="457"/>
      <c r="CB85" s="457"/>
      <c r="CC85" s="525"/>
      <c r="CD85" s="530">
        <f>CD81-CD83</f>
        <v>77.4289504591395</v>
      </c>
      <c r="CE85" s="525"/>
    </row>
  </sheetData>
  <mergeCells count="20">
    <mergeCell ref="A4:A5"/>
    <mergeCell ref="BI4:BK4"/>
    <mergeCell ref="D4:G4"/>
    <mergeCell ref="H4:K4"/>
    <mergeCell ref="L4:O4"/>
    <mergeCell ref="P4:S4"/>
    <mergeCell ref="T4:W4"/>
    <mergeCell ref="X4:AA4"/>
    <mergeCell ref="AV4:AY4"/>
    <mergeCell ref="AR4:AU4"/>
    <mergeCell ref="BF4:BH4"/>
    <mergeCell ref="BL4:BO4"/>
    <mergeCell ref="AB4:AE4"/>
    <mergeCell ref="CA4:CD4"/>
    <mergeCell ref="BQ4:BR4"/>
    <mergeCell ref="AN4:AQ4"/>
    <mergeCell ref="AJ4:AM4"/>
    <mergeCell ref="AF4:AI4"/>
    <mergeCell ref="BC4:BE4"/>
    <mergeCell ref="AZ4:BB4"/>
  </mergeCells>
  <phoneticPr fontId="7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167"/>
  <sheetViews>
    <sheetView zoomScaleNormal="100" workbookViewId="0">
      <pane xSplit="1" ySplit="5" topLeftCell="BE6" activePane="bottomRight" state="frozen"/>
      <selection activeCell="J83" sqref="J82:J83"/>
      <selection pane="topRight" activeCell="J83" sqref="J82:J83"/>
      <selection pane="bottomLeft" activeCell="J83" sqref="J82:J83"/>
      <selection pane="bottomRight" activeCell="A23" sqref="A23"/>
    </sheetView>
  </sheetViews>
  <sheetFormatPr defaultRowHeight="12.6" customHeight="1"/>
  <cols>
    <col min="1" max="1" width="21" customWidth="1"/>
    <col min="2" max="3" width="10.140625" customWidth="1"/>
    <col min="4" max="5" width="12" customWidth="1"/>
    <col min="6" max="6" width="11.28515625" customWidth="1"/>
    <col min="7" max="7" width="9.7109375" customWidth="1"/>
    <col min="8" max="8" width="11.7109375" customWidth="1"/>
    <col min="9" max="9" width="9.7109375" customWidth="1"/>
    <col min="10" max="10" width="11.7109375" customWidth="1"/>
    <col min="11" max="13" width="9.42578125" customWidth="1"/>
    <col min="14" max="14" width="8.42578125" customWidth="1"/>
    <col min="15" max="15" width="10.140625" customWidth="1"/>
    <col min="16" max="17" width="9.42578125" customWidth="1"/>
    <col min="18" max="18" width="8.42578125" customWidth="1"/>
    <col min="19" max="19" width="9" customWidth="1"/>
    <col min="20" max="20" width="8.5703125" customWidth="1"/>
    <col min="21" max="22" width="8.7109375" customWidth="1"/>
    <col min="23" max="23" width="8.28515625" customWidth="1"/>
    <col min="24" max="61" width="9.140625" customWidth="1"/>
    <col min="75" max="75" width="9.140625" customWidth="1"/>
    <col min="76" max="76" width="12.28515625" customWidth="1"/>
    <col min="78" max="78" width="3" customWidth="1"/>
    <col min="79" max="79" width="12.28515625" customWidth="1"/>
    <col min="81" max="81" width="3.7109375" customWidth="1"/>
    <col min="82" max="82" width="12.28515625" customWidth="1"/>
    <col min="96" max="96" width="11.28515625" bestFit="1" customWidth="1"/>
    <col min="97" max="97" width="11.7109375" customWidth="1"/>
    <col min="120" max="120" width="9.42578125" bestFit="1" customWidth="1"/>
  </cols>
  <sheetData>
    <row r="1" spans="1:122" s="86" customFormat="1" ht="12.6" customHeight="1">
      <c r="A1" s="28" t="s">
        <v>102</v>
      </c>
      <c r="B1" s="21">
        <f>1</f>
        <v>1</v>
      </c>
      <c r="C1" s="21"/>
      <c r="D1" s="21">
        <f>B1+1</f>
        <v>2</v>
      </c>
      <c r="E1" s="21">
        <f t="shared" ref="E1:AH1" si="0">D1+1</f>
        <v>3</v>
      </c>
      <c r="F1" s="21">
        <f t="shared" si="0"/>
        <v>4</v>
      </c>
      <c r="G1" s="21">
        <f t="shared" si="0"/>
        <v>5</v>
      </c>
      <c r="H1" s="21">
        <f t="shared" si="0"/>
        <v>6</v>
      </c>
      <c r="I1" s="21">
        <f t="shared" si="0"/>
        <v>7</v>
      </c>
      <c r="J1" s="21">
        <f t="shared" si="0"/>
        <v>8</v>
      </c>
      <c r="K1" s="21">
        <f t="shared" si="0"/>
        <v>9</v>
      </c>
      <c r="L1" s="21">
        <f t="shared" si="0"/>
        <v>10</v>
      </c>
      <c r="M1" s="21">
        <f t="shared" si="0"/>
        <v>11</v>
      </c>
      <c r="N1" s="21">
        <f t="shared" si="0"/>
        <v>12</v>
      </c>
      <c r="O1" s="21">
        <f t="shared" si="0"/>
        <v>13</v>
      </c>
      <c r="P1" s="21">
        <f t="shared" si="0"/>
        <v>14</v>
      </c>
      <c r="Q1" s="21">
        <f t="shared" si="0"/>
        <v>15</v>
      </c>
      <c r="R1" s="21">
        <f t="shared" si="0"/>
        <v>16</v>
      </c>
      <c r="S1" s="21">
        <f t="shared" si="0"/>
        <v>17</v>
      </c>
      <c r="T1" s="21">
        <f t="shared" si="0"/>
        <v>18</v>
      </c>
      <c r="U1" s="21">
        <f t="shared" si="0"/>
        <v>19</v>
      </c>
      <c r="V1" s="21">
        <f t="shared" si="0"/>
        <v>20</v>
      </c>
      <c r="W1" s="21">
        <f t="shared" si="0"/>
        <v>21</v>
      </c>
      <c r="X1" s="21">
        <f t="shared" si="0"/>
        <v>22</v>
      </c>
      <c r="Y1" s="21">
        <f t="shared" si="0"/>
        <v>23</v>
      </c>
      <c r="Z1" s="21">
        <f t="shared" si="0"/>
        <v>24</v>
      </c>
      <c r="AA1" s="21">
        <f t="shared" si="0"/>
        <v>25</v>
      </c>
      <c r="AB1" s="21">
        <f t="shared" si="0"/>
        <v>26</v>
      </c>
      <c r="AC1" s="21">
        <f t="shared" si="0"/>
        <v>27</v>
      </c>
      <c r="AD1" s="21">
        <f t="shared" si="0"/>
        <v>28</v>
      </c>
      <c r="AE1" s="21">
        <f t="shared" si="0"/>
        <v>29</v>
      </c>
      <c r="AF1" s="21">
        <f t="shared" si="0"/>
        <v>30</v>
      </c>
      <c r="AG1" s="21">
        <f t="shared" si="0"/>
        <v>31</v>
      </c>
      <c r="AH1" s="21">
        <f t="shared" si="0"/>
        <v>32</v>
      </c>
      <c r="AI1" s="21">
        <f t="shared" ref="AI1:BJ1" si="1">AH1+1</f>
        <v>33</v>
      </c>
      <c r="AJ1" s="21">
        <f t="shared" si="1"/>
        <v>34</v>
      </c>
      <c r="AK1" s="21">
        <f t="shared" si="1"/>
        <v>35</v>
      </c>
      <c r="AL1" s="21">
        <f t="shared" si="1"/>
        <v>36</v>
      </c>
      <c r="AM1" s="21">
        <f t="shared" si="1"/>
        <v>37</v>
      </c>
      <c r="AN1" s="21">
        <f t="shared" si="1"/>
        <v>38</v>
      </c>
      <c r="AO1" s="21">
        <f t="shared" si="1"/>
        <v>39</v>
      </c>
      <c r="AP1" s="21">
        <f t="shared" si="1"/>
        <v>40</v>
      </c>
      <c r="AQ1" s="21">
        <f t="shared" si="1"/>
        <v>41</v>
      </c>
      <c r="AR1" s="21">
        <f t="shared" si="1"/>
        <v>42</v>
      </c>
      <c r="AS1" s="21">
        <f t="shared" si="1"/>
        <v>43</v>
      </c>
      <c r="AT1" s="21">
        <f t="shared" si="1"/>
        <v>44</v>
      </c>
      <c r="AU1" s="21">
        <f t="shared" si="1"/>
        <v>45</v>
      </c>
      <c r="AV1" s="21">
        <f t="shared" si="1"/>
        <v>46</v>
      </c>
      <c r="AW1" s="21">
        <f t="shared" si="1"/>
        <v>47</v>
      </c>
      <c r="AX1" s="21">
        <f t="shared" si="1"/>
        <v>48</v>
      </c>
      <c r="AY1" s="21">
        <f t="shared" si="1"/>
        <v>49</v>
      </c>
      <c r="AZ1" s="21">
        <f t="shared" si="1"/>
        <v>50</v>
      </c>
      <c r="BA1" s="21">
        <f t="shared" si="1"/>
        <v>51</v>
      </c>
      <c r="BB1" s="21">
        <f t="shared" si="1"/>
        <v>52</v>
      </c>
      <c r="BC1" s="21">
        <f t="shared" si="1"/>
        <v>53</v>
      </c>
      <c r="BD1" s="21">
        <f t="shared" si="1"/>
        <v>54</v>
      </c>
      <c r="BE1" s="21">
        <f t="shared" si="1"/>
        <v>55</v>
      </c>
      <c r="BF1" s="21">
        <f t="shared" si="1"/>
        <v>56</v>
      </c>
      <c r="BG1" s="21">
        <f t="shared" si="1"/>
        <v>57</v>
      </c>
      <c r="BH1" s="21">
        <f t="shared" si="1"/>
        <v>58</v>
      </c>
      <c r="BI1" s="21">
        <f t="shared" si="1"/>
        <v>59</v>
      </c>
      <c r="BJ1" s="21">
        <f t="shared" si="1"/>
        <v>60</v>
      </c>
      <c r="BK1" s="21">
        <v>61</v>
      </c>
      <c r="BL1" s="21">
        <v>62</v>
      </c>
      <c r="BM1" s="21">
        <v>63</v>
      </c>
      <c r="BN1" s="21">
        <v>64</v>
      </c>
      <c r="BO1" s="21">
        <v>65</v>
      </c>
      <c r="BP1" s="21">
        <v>66</v>
      </c>
      <c r="BQ1" s="21">
        <v>67</v>
      </c>
      <c r="BR1" s="21">
        <v>68</v>
      </c>
      <c r="BS1" s="21">
        <v>69</v>
      </c>
      <c r="BT1" s="21">
        <v>70</v>
      </c>
      <c r="BU1" s="21">
        <v>71</v>
      </c>
      <c r="BV1" s="21">
        <v>73</v>
      </c>
      <c r="BW1" s="21">
        <v>74</v>
      </c>
      <c r="BX1" s="21">
        <f>BW1+1</f>
        <v>75</v>
      </c>
      <c r="BY1" s="21">
        <f>+BX1+1</f>
        <v>76</v>
      </c>
      <c r="BZ1" s="21">
        <f t="shared" ref="BZ1:CS1" si="2">BY1+1</f>
        <v>77</v>
      </c>
      <c r="CA1" s="21">
        <f t="shared" si="2"/>
        <v>78</v>
      </c>
      <c r="CB1" s="21">
        <f t="shared" si="2"/>
        <v>79</v>
      </c>
      <c r="CC1" s="21">
        <f t="shared" si="2"/>
        <v>80</v>
      </c>
      <c r="CD1" s="21">
        <f t="shared" si="2"/>
        <v>81</v>
      </c>
      <c r="CE1" s="21">
        <f t="shared" si="2"/>
        <v>82</v>
      </c>
      <c r="CF1" s="21">
        <f t="shared" si="2"/>
        <v>83</v>
      </c>
      <c r="CG1" s="21">
        <f t="shared" si="2"/>
        <v>84</v>
      </c>
      <c r="CH1" s="21">
        <f t="shared" si="2"/>
        <v>85</v>
      </c>
      <c r="CI1" s="21">
        <f t="shared" si="2"/>
        <v>86</v>
      </c>
      <c r="CJ1" s="21">
        <f t="shared" si="2"/>
        <v>87</v>
      </c>
      <c r="CK1" s="21">
        <f t="shared" si="2"/>
        <v>88</v>
      </c>
      <c r="CL1" s="21">
        <f t="shared" si="2"/>
        <v>89</v>
      </c>
      <c r="CM1" s="21">
        <f t="shared" si="2"/>
        <v>90</v>
      </c>
      <c r="CN1" s="21">
        <f t="shared" si="2"/>
        <v>91</v>
      </c>
      <c r="CO1" s="21">
        <f t="shared" si="2"/>
        <v>92</v>
      </c>
      <c r="CP1" s="21">
        <f t="shared" si="2"/>
        <v>93</v>
      </c>
      <c r="CQ1" s="21">
        <f t="shared" si="2"/>
        <v>94</v>
      </c>
      <c r="CR1" s="21">
        <f t="shared" si="2"/>
        <v>95</v>
      </c>
      <c r="CS1" s="21">
        <f t="shared" si="2"/>
        <v>96</v>
      </c>
    </row>
    <row r="2" spans="1:122" ht="15.75" customHeight="1" thickBot="1">
      <c r="A2" s="85" t="s">
        <v>135</v>
      </c>
      <c r="B2" s="28"/>
      <c r="C2" s="28"/>
      <c r="D2" s="28"/>
      <c r="E2" s="28"/>
      <c r="F2" s="28"/>
      <c r="G2" s="28"/>
      <c r="H2" s="28"/>
      <c r="I2" s="28"/>
      <c r="J2" s="86"/>
      <c r="K2" s="86"/>
      <c r="M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>
        <f>3042+70</f>
        <v>3112</v>
      </c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</row>
    <row r="3" spans="1:122" ht="15.75" customHeight="1" thickBot="1">
      <c r="A3" s="163"/>
      <c r="B3" s="549" t="s">
        <v>68</v>
      </c>
      <c r="C3" s="550"/>
      <c r="D3" s="550"/>
      <c r="E3" s="550"/>
      <c r="F3" s="550"/>
      <c r="G3" s="550"/>
      <c r="H3" s="550"/>
      <c r="I3" s="551"/>
      <c r="J3" s="172"/>
      <c r="K3" s="172"/>
      <c r="L3" s="172"/>
      <c r="M3" s="305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62"/>
      <c r="Y3" s="162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2"/>
      <c r="AK3" s="162"/>
      <c r="AL3" s="162"/>
      <c r="AM3" s="162"/>
      <c r="AN3" s="162"/>
      <c r="AO3" s="162"/>
      <c r="AP3" s="162"/>
      <c r="AQ3" s="162"/>
      <c r="AR3" s="162"/>
      <c r="AS3" s="162"/>
      <c r="AT3" s="162"/>
      <c r="AU3" s="162"/>
      <c r="AV3" s="162"/>
      <c r="AW3" s="162"/>
      <c r="AX3" s="162"/>
      <c r="AY3" s="162"/>
      <c r="AZ3" s="162"/>
      <c r="BA3" s="162"/>
      <c r="BB3" s="162"/>
      <c r="BC3" s="162"/>
      <c r="BD3" s="162"/>
      <c r="BE3" s="162"/>
      <c r="BF3" s="162"/>
      <c r="BG3" s="162"/>
      <c r="BH3" s="162"/>
      <c r="BI3" s="162"/>
      <c r="BK3" t="s">
        <v>93</v>
      </c>
      <c r="BW3" s="2"/>
      <c r="BX3" s="29" t="s">
        <v>95</v>
      </c>
      <c r="CA3" s="29" t="s">
        <v>3</v>
      </c>
      <c r="CD3" s="29" t="s">
        <v>89</v>
      </c>
    </row>
    <row r="4" spans="1:122" s="1" customFormat="1" ht="12.6" customHeight="1">
      <c r="A4" s="552" t="s">
        <v>10</v>
      </c>
      <c r="B4" s="137" t="s">
        <v>96</v>
      </c>
      <c r="C4" s="137" t="s">
        <v>100</v>
      </c>
      <c r="D4" s="262" t="s">
        <v>118</v>
      </c>
      <c r="E4" s="262" t="s">
        <v>116</v>
      </c>
      <c r="F4" s="262" t="s">
        <v>101</v>
      </c>
      <c r="G4" s="268"/>
      <c r="H4" s="262" t="s">
        <v>117</v>
      </c>
      <c r="I4" s="131"/>
      <c r="J4" s="546" t="s">
        <v>134</v>
      </c>
      <c r="K4" s="547"/>
      <c r="L4" s="547"/>
      <c r="M4" s="548"/>
      <c r="N4" s="546">
        <v>42461</v>
      </c>
      <c r="O4" s="547"/>
      <c r="P4" s="547"/>
      <c r="Q4" s="548"/>
      <c r="R4" s="546">
        <f>N4+31</f>
        <v>42492</v>
      </c>
      <c r="S4" s="547"/>
      <c r="T4" s="547"/>
      <c r="U4" s="548"/>
      <c r="V4" s="546">
        <f>R4+31</f>
        <v>42523</v>
      </c>
      <c r="W4" s="547"/>
      <c r="X4" s="547"/>
      <c r="Y4" s="548"/>
      <c r="Z4" s="546">
        <f>V4+31</f>
        <v>42554</v>
      </c>
      <c r="AA4" s="547"/>
      <c r="AB4" s="547"/>
      <c r="AC4" s="548"/>
      <c r="AD4" s="546">
        <f>Z4+31</f>
        <v>42585</v>
      </c>
      <c r="AE4" s="547"/>
      <c r="AF4" s="547"/>
      <c r="AG4" s="548"/>
      <c r="AH4" s="546">
        <f>AD4+31</f>
        <v>42616</v>
      </c>
      <c r="AI4" s="547"/>
      <c r="AJ4" s="547"/>
      <c r="AK4" s="548"/>
      <c r="AL4" s="546">
        <f>AH4+31</f>
        <v>42647</v>
      </c>
      <c r="AM4" s="547"/>
      <c r="AN4" s="547"/>
      <c r="AO4" s="548"/>
      <c r="AP4" s="546">
        <f>AL4+31</f>
        <v>42678</v>
      </c>
      <c r="AQ4" s="547"/>
      <c r="AR4" s="547"/>
      <c r="AS4" s="548"/>
      <c r="AT4" s="546">
        <f>AP4+31</f>
        <v>42709</v>
      </c>
      <c r="AU4" s="547"/>
      <c r="AV4" s="547"/>
      <c r="AW4" s="548"/>
      <c r="AX4" s="546">
        <f>AT4+31</f>
        <v>42740</v>
      </c>
      <c r="AY4" s="547"/>
      <c r="AZ4" s="547"/>
      <c r="BA4" s="548"/>
      <c r="BB4" s="546">
        <f>AX4+31</f>
        <v>42771</v>
      </c>
      <c r="BC4" s="547"/>
      <c r="BD4" s="547"/>
      <c r="BE4" s="548"/>
      <c r="BF4" s="546">
        <f>BB4+31</f>
        <v>42802</v>
      </c>
      <c r="BG4" s="547"/>
      <c r="BH4" s="547"/>
      <c r="BI4" s="548"/>
      <c r="BK4" s="554" t="s">
        <v>19</v>
      </c>
      <c r="BL4" s="555"/>
      <c r="BM4" s="554" t="s">
        <v>20</v>
      </c>
      <c r="BN4" s="555"/>
      <c r="BO4" s="554" t="s">
        <v>21</v>
      </c>
      <c r="BP4" s="555"/>
      <c r="BQ4" s="554" t="s">
        <v>22</v>
      </c>
      <c r="BR4" s="556"/>
      <c r="BS4" s="554" t="s">
        <v>89</v>
      </c>
      <c r="BT4" s="555"/>
      <c r="BU4" s="249"/>
      <c r="BW4" s="52"/>
      <c r="BX4" s="547" t="s">
        <v>94</v>
      </c>
      <c r="BY4" s="548"/>
      <c r="CA4" s="546" t="s">
        <v>94</v>
      </c>
      <c r="CB4" s="548"/>
      <c r="CD4" s="546" t="s">
        <v>94</v>
      </c>
      <c r="CE4" s="548"/>
      <c r="DJ4" s="1" t="s">
        <v>90</v>
      </c>
    </row>
    <row r="5" spans="1:122" s="1" customFormat="1" ht="26.25" customHeight="1" thickBot="1">
      <c r="A5" s="553"/>
      <c r="B5" s="136" t="s">
        <v>69</v>
      </c>
      <c r="C5" s="136" t="s">
        <v>69</v>
      </c>
      <c r="D5" s="263" t="s">
        <v>69</v>
      </c>
      <c r="E5" s="263" t="s">
        <v>70</v>
      </c>
      <c r="F5" s="263" t="s">
        <v>70</v>
      </c>
      <c r="G5" s="267" t="s">
        <v>29</v>
      </c>
      <c r="H5" s="263" t="s">
        <v>71</v>
      </c>
      <c r="I5" s="138" t="s">
        <v>18</v>
      </c>
      <c r="J5" s="57" t="s">
        <v>68</v>
      </c>
      <c r="K5" s="54" t="s">
        <v>67</v>
      </c>
      <c r="L5" s="54" t="s">
        <v>65</v>
      </c>
      <c r="M5" s="55" t="s">
        <v>66</v>
      </c>
      <c r="N5" s="57" t="s">
        <v>68</v>
      </c>
      <c r="O5" s="54" t="s">
        <v>67</v>
      </c>
      <c r="P5" s="54" t="s">
        <v>65</v>
      </c>
      <c r="Q5" s="55" t="s">
        <v>66</v>
      </c>
      <c r="R5" s="57" t="s">
        <v>68</v>
      </c>
      <c r="S5" s="54" t="s">
        <v>67</v>
      </c>
      <c r="T5" s="54" t="s">
        <v>65</v>
      </c>
      <c r="U5" s="55" t="s">
        <v>66</v>
      </c>
      <c r="V5" s="57" t="s">
        <v>68</v>
      </c>
      <c r="W5" s="54" t="s">
        <v>67</v>
      </c>
      <c r="X5" s="54" t="s">
        <v>65</v>
      </c>
      <c r="Y5" s="55" t="s">
        <v>66</v>
      </c>
      <c r="Z5" s="57" t="s">
        <v>68</v>
      </c>
      <c r="AA5" s="54" t="s">
        <v>67</v>
      </c>
      <c r="AB5" s="54" t="s">
        <v>65</v>
      </c>
      <c r="AC5" s="55" t="s">
        <v>66</v>
      </c>
      <c r="AD5" s="57" t="s">
        <v>68</v>
      </c>
      <c r="AE5" s="54" t="s">
        <v>67</v>
      </c>
      <c r="AF5" s="54" t="s">
        <v>65</v>
      </c>
      <c r="AG5" s="55" t="s">
        <v>66</v>
      </c>
      <c r="AH5" s="57" t="s">
        <v>68</v>
      </c>
      <c r="AI5" s="54" t="s">
        <v>67</v>
      </c>
      <c r="AJ5" s="54" t="s">
        <v>65</v>
      </c>
      <c r="AK5" s="55" t="s">
        <v>66</v>
      </c>
      <c r="AL5" s="57" t="s">
        <v>68</v>
      </c>
      <c r="AM5" s="54" t="s">
        <v>67</v>
      </c>
      <c r="AN5" s="54" t="s">
        <v>65</v>
      </c>
      <c r="AO5" s="55" t="s">
        <v>66</v>
      </c>
      <c r="AP5" s="57" t="s">
        <v>68</v>
      </c>
      <c r="AQ5" s="54" t="s">
        <v>67</v>
      </c>
      <c r="AR5" s="54" t="s">
        <v>65</v>
      </c>
      <c r="AS5" s="55" t="s">
        <v>66</v>
      </c>
      <c r="AT5" s="57" t="s">
        <v>68</v>
      </c>
      <c r="AU5" s="54" t="s">
        <v>67</v>
      </c>
      <c r="AV5" s="54" t="s">
        <v>65</v>
      </c>
      <c r="AW5" s="55" t="s">
        <v>66</v>
      </c>
      <c r="AX5" s="57" t="s">
        <v>68</v>
      </c>
      <c r="AY5" s="54" t="s">
        <v>67</v>
      </c>
      <c r="AZ5" s="54" t="s">
        <v>65</v>
      </c>
      <c r="BA5" s="55" t="s">
        <v>66</v>
      </c>
      <c r="BB5" s="57" t="s">
        <v>68</v>
      </c>
      <c r="BC5" s="54" t="s">
        <v>67</v>
      </c>
      <c r="BD5" s="54" t="s">
        <v>65</v>
      </c>
      <c r="BE5" s="55" t="s">
        <v>66</v>
      </c>
      <c r="BF5" s="57" t="s">
        <v>68</v>
      </c>
      <c r="BG5" s="54" t="s">
        <v>67</v>
      </c>
      <c r="BH5" s="54" t="s">
        <v>65</v>
      </c>
      <c r="BI5" s="55" t="s">
        <v>66</v>
      </c>
      <c r="BK5" s="238" t="s">
        <v>91</v>
      </c>
      <c r="BL5" s="239" t="s">
        <v>92</v>
      </c>
      <c r="BM5" s="238" t="s">
        <v>91</v>
      </c>
      <c r="BN5" s="239" t="s">
        <v>92</v>
      </c>
      <c r="BO5" s="238" t="s">
        <v>91</v>
      </c>
      <c r="BP5" s="239" t="s">
        <v>92</v>
      </c>
      <c r="BQ5" s="238" t="s">
        <v>91</v>
      </c>
      <c r="BR5" s="3" t="s">
        <v>92</v>
      </c>
      <c r="BS5" s="238" t="s">
        <v>91</v>
      </c>
      <c r="BT5" s="239" t="s">
        <v>92</v>
      </c>
      <c r="BU5" s="3"/>
      <c r="BW5" s="52"/>
      <c r="BX5" s="56" t="s">
        <v>68</v>
      </c>
      <c r="BY5" s="55" t="s">
        <v>66</v>
      </c>
      <c r="CA5" s="57" t="s">
        <v>68</v>
      </c>
      <c r="CB5" s="55" t="s">
        <v>66</v>
      </c>
      <c r="CD5" s="57" t="s">
        <v>68</v>
      </c>
      <c r="CE5" s="55" t="s">
        <v>66</v>
      </c>
      <c r="DJ5" s="57" t="s">
        <v>68</v>
      </c>
      <c r="DK5" s="54" t="s">
        <v>67</v>
      </c>
      <c r="DL5" s="54" t="s">
        <v>65</v>
      </c>
      <c r="DM5" s="55" t="s">
        <v>66</v>
      </c>
      <c r="DN5" s="57" t="s">
        <v>68</v>
      </c>
      <c r="DO5" s="54" t="s">
        <v>67</v>
      </c>
      <c r="DP5" s="55" t="s">
        <v>66</v>
      </c>
    </row>
    <row r="6" spans="1:122" ht="12.6" customHeight="1">
      <c r="A6" s="51" t="s">
        <v>43</v>
      </c>
      <c r="B6" s="264"/>
      <c r="C6" s="264"/>
      <c r="D6" s="149"/>
      <c r="E6" s="156"/>
      <c r="F6" s="149"/>
      <c r="G6" s="150"/>
      <c r="H6" s="135"/>
      <c r="I6" s="150">
        <f>IF(ISERROR(H6/F6-1),0,(H6/F6-1))</f>
        <v>0</v>
      </c>
      <c r="J6" s="26">
        <f>N6+R6+V6+Z6+AD6+AH6+AL6+AP6+AT6+AX6+BB6+BF6</f>
        <v>8880</v>
      </c>
      <c r="K6" s="24">
        <f>IF(ISERROR(L6/J6*1000000),0,(L6/J6*1000000))</f>
        <v>0</v>
      </c>
      <c r="L6" s="112" t="e">
        <f>P6+T6+X6+AB6+AF6+AJ6+AN6+AR6+AV6+AZ6+BD6+BH6</f>
        <v>#REF!</v>
      </c>
      <c r="M6" s="113" t="e">
        <f>Q6+U6+Y6+AC6+AG6+AK6+AO6+AS6+AW6+BA6+BE6+BI6</f>
        <v>#REF!</v>
      </c>
      <c r="N6" s="26">
        <f>Europe!D6+'Asia-Pacific'!D6+'Rest of world'!D6+'North America'!D6+'Latin America'!D6</f>
        <v>400</v>
      </c>
      <c r="O6" s="24">
        <f t="shared" ref="O6:O71" si="3">IF(ISERROR(P6/N6*1000000),0,(P6/N6*1000000))</f>
        <v>0</v>
      </c>
      <c r="P6" s="112" t="e">
        <f>'North America'!#REF!+Europe!#REF!+'Asia-Pacific'!#REF!+'Rest of world'!#REF!</f>
        <v>#REF!</v>
      </c>
      <c r="Q6" s="26" t="e">
        <f>Europe!#REF!+'Asia-Pacific'!#REF!+'Rest of world'!#REF!+'North America'!#REF!+'Latin America'!#REF!</f>
        <v>#REF!</v>
      </c>
      <c r="R6" s="26">
        <f>Europe!H6+'Asia-Pacific'!H6+'Rest of world'!H6+'North America'!H6+'Latin America'!H6</f>
        <v>480</v>
      </c>
      <c r="S6" s="24">
        <f t="shared" ref="S6:S71" si="4">IF(ISERROR(T6/R6*1000000),0,(T6/R6*1000000))</f>
        <v>0</v>
      </c>
      <c r="T6" s="112" t="e">
        <f>'North America'!#REF!+Europe!#REF!+'Asia-Pacific'!#REF!+'Rest of world'!#REF!</f>
        <v>#REF!</v>
      </c>
      <c r="U6" s="26" t="e">
        <f>Europe!#REF!+'Asia-Pacific'!#REF!+'Rest of world'!#REF!+'North America'!#REF!+'Latin America'!#REF!</f>
        <v>#REF!</v>
      </c>
      <c r="V6" s="26">
        <f>Europe!L6+'Asia-Pacific'!L6+'Rest of world'!L6+'North America'!L6+'Latin America'!L6</f>
        <v>440</v>
      </c>
      <c r="W6" s="24">
        <f>IF(ISERROR(X6/V6*1000000),0,(X6/V6*1000000))</f>
        <v>0</v>
      </c>
      <c r="X6" s="112" t="e">
        <f>'North America'!#REF!+Europe!#REF!+'Asia-Pacific'!#REF!+'Rest of world'!#REF!</f>
        <v>#REF!</v>
      </c>
      <c r="Y6" s="26" t="e">
        <f>Europe!#REF!+'Asia-Pacific'!#REF!+'Rest of world'!#REF!+'North America'!#REF!+'Latin America'!#REF!</f>
        <v>#REF!</v>
      </c>
      <c r="Z6" s="26">
        <f>Europe!P6+'Asia-Pacific'!P6+'Rest of world'!P6+'North America'!P6+'Latin America'!P6</f>
        <v>720</v>
      </c>
      <c r="AA6" s="24">
        <f>IF(ISERROR(AB6/Z6*1000000),0,(AB6/Z6*1000000))</f>
        <v>0</v>
      </c>
      <c r="AB6" s="112" t="e">
        <f>'North America'!#REF!+Europe!#REF!+'Asia-Pacific'!#REF!+'Rest of world'!#REF!</f>
        <v>#REF!</v>
      </c>
      <c r="AC6" s="26" t="e">
        <f>Europe!#REF!+'Asia-Pacific'!#REF!+'Rest of world'!#REF!+'North America'!#REF!+'Latin America'!#REF!</f>
        <v>#REF!</v>
      </c>
      <c r="AD6" s="26">
        <f>Europe!T6+'Asia-Pacific'!T6+'Rest of world'!T6+'North America'!T6+'Latin America'!T6</f>
        <v>840</v>
      </c>
      <c r="AE6" s="24">
        <f>IF(ISERROR(AF6/AD6*1000000),0,(AF6/AD6*1000000))</f>
        <v>2235714.2857142859</v>
      </c>
      <c r="AF6" s="112">
        <f>'North America'!V6+Europe!V6+'Asia-Pacific'!V6+'Rest of world'!V6</f>
        <v>1878</v>
      </c>
      <c r="AG6" s="26">
        <f>Europe!W6+'Asia-Pacific'!W6+'Rest of world'!W6+'North America'!W6+'Latin America'!W6</f>
        <v>2.0196395220000003</v>
      </c>
      <c r="AH6" s="26">
        <f>Europe!X6+'Asia-Pacific'!X6+'Rest of world'!X6+'North America'!X6+'Latin America'!X6</f>
        <v>920</v>
      </c>
      <c r="AI6" s="24">
        <f>IF(ISERROR(AJ6/AH6*1000000),0,(AJ6/AH6*1000000))</f>
        <v>0</v>
      </c>
      <c r="AJ6" s="112" t="e">
        <f>'North America'!Z6+Europe!Z6+'Asia-Pacific'!Z6+'Rest of world'!#REF!</f>
        <v>#REF!</v>
      </c>
      <c r="AK6" s="26">
        <f>Europe!AA6+'Asia-Pacific'!AA6+'Rest of world'!AA6+'North America'!AA6+'Latin America'!AA6</f>
        <v>3.0069562980000004</v>
      </c>
      <c r="AL6" s="26">
        <f>Europe!AB6+'Asia-Pacific'!AB6+'Rest of world'!AB6+'North America'!AB6+'Latin America'!AB6</f>
        <v>840</v>
      </c>
      <c r="AM6" s="24">
        <f>IF(ISERROR(AN6/AL6*1000000),0,(AN6/AL6*1000000))</f>
        <v>0</v>
      </c>
      <c r="AN6" s="112" t="e">
        <f>'North America'!#REF!+Europe!#REF!+'Asia-Pacific'!#REF!+'Rest of world'!#REF!</f>
        <v>#REF!</v>
      </c>
      <c r="AO6" s="26" t="e">
        <f>Europe!#REF!+'Asia-Pacific'!#REF!+'Rest of world'!#REF!+'North America'!#REF!+'Latin America'!#REF!</f>
        <v>#REF!</v>
      </c>
      <c r="AP6" s="26">
        <f>Europe!AF6+'Asia-Pacific'!AF6+'Rest of world'!AF6+'North America'!AF6+'Latin America'!AF6</f>
        <v>1020</v>
      </c>
      <c r="AQ6" s="24">
        <f>IF(ISERROR(AR6/AP6*1000000),0,(AR6/AP6*1000000))</f>
        <v>0</v>
      </c>
      <c r="AR6" s="112" t="e">
        <f>'North America'!#REF!+Europe!#REF!+'Asia-Pacific'!#REF!+'Rest of world'!#REF!</f>
        <v>#REF!</v>
      </c>
      <c r="AS6" s="26" t="e">
        <f>Europe!#REF!+'Asia-Pacific'!#REF!+'Rest of world'!#REF!+'North America'!#REF!+'Latin America'!#REF!</f>
        <v>#REF!</v>
      </c>
      <c r="AT6" s="26">
        <f>Europe!AJ6+'Asia-Pacific'!AJ6+'Rest of world'!AJ6+'North America'!AJ6+'Latin America'!AJ6</f>
        <v>940</v>
      </c>
      <c r="AU6" s="24">
        <f>IF(ISERROR(AV6/AT6*1000000),0,(AV6/AT6*1000000))</f>
        <v>0</v>
      </c>
      <c r="AV6" s="112" t="e">
        <f>'North America'!#REF!+Europe!#REF!+'Asia-Pacific'!#REF!+'Rest of world'!#REF!</f>
        <v>#REF!</v>
      </c>
      <c r="AW6" s="26" t="e">
        <f>Europe!#REF!+'Asia-Pacific'!#REF!+'Rest of world'!#REF!+'North America'!#REF!+'Latin America'!#REF!</f>
        <v>#REF!</v>
      </c>
      <c r="AX6" s="26">
        <f>Europe!AN6+'Asia-Pacific'!AN6+'Rest of world'!AN6+'North America'!AN6+'Latin America'!AN6</f>
        <v>920</v>
      </c>
      <c r="AY6" s="24">
        <f>IF(ISERROR(AZ6/AX6*1000000),0,(AZ6/AX6*1000000))</f>
        <v>0</v>
      </c>
      <c r="AZ6" s="112" t="e">
        <f>'North America'!#REF!+Europe!#REF!+'Asia-Pacific'!#REF!+'Rest of world'!#REF!</f>
        <v>#REF!</v>
      </c>
      <c r="BA6" s="26" t="e">
        <f>Europe!#REF!+'Asia-Pacific'!#REF!+'Rest of world'!#REF!+'North America'!#REF!+'Latin America'!#REF!</f>
        <v>#REF!</v>
      </c>
      <c r="BB6" s="26">
        <f>Europe!AR6+'Asia-Pacific'!AR6+'Rest of world'!AR6+'North America'!AR6+'Latin America'!AR6</f>
        <v>840</v>
      </c>
      <c r="BC6" s="24">
        <f>IF(ISERROR(BD6/BB6*1000000),0,(BD6/BB6*1000000))</f>
        <v>0</v>
      </c>
      <c r="BD6" s="112" t="e">
        <f>'North America'!#REF!+Europe!#REF!+'Asia-Pacific'!#REF!+'Rest of world'!#REF!</f>
        <v>#REF!</v>
      </c>
      <c r="BE6" s="26" t="e">
        <f>Europe!#REF!+'Asia-Pacific'!#REF!+'Rest of world'!#REF!+'North America'!#REF!+'Latin America'!#REF!</f>
        <v>#REF!</v>
      </c>
      <c r="BF6" s="26">
        <f>Europe!AV6+'Asia-Pacific'!AV6+'Rest of world'!AV6+'North America'!AV6+'Latin America'!AV6</f>
        <v>520</v>
      </c>
      <c r="BG6" s="24">
        <f>IF(ISERROR(BH6/BF6*1000000),0,(BH6/BF6*1000000))</f>
        <v>0</v>
      </c>
      <c r="BH6" s="112" t="e">
        <f>'North America'!#REF!+Europe!#REF!+'Asia-Pacific'!#REF!+'Rest of world'!#REF!</f>
        <v>#REF!</v>
      </c>
      <c r="BI6" s="26" t="e">
        <f>Europe!#REF!+'Asia-Pacific'!#REF!+'Rest of world'!#REF!+'North America'!#REF!+'Latin America'!#REF!</f>
        <v>#REF!</v>
      </c>
      <c r="BJ6" s="289"/>
      <c r="BK6" s="240">
        <f t="shared" ref="BK6:BK24" si="5">N6+R6+V6</f>
        <v>1320</v>
      </c>
      <c r="BL6" s="241" t="e">
        <f t="shared" ref="BL6:BL24" si="6">Q6+U6+Y6</f>
        <v>#REF!</v>
      </c>
      <c r="BM6" s="240">
        <f t="shared" ref="BM6:BM24" si="7">Z6+AD6+AH6</f>
        <v>2480</v>
      </c>
      <c r="BN6" s="241" t="e">
        <f t="shared" ref="BN6:BN24" si="8">AC6+AG6+AK6</f>
        <v>#REF!</v>
      </c>
      <c r="BO6" s="240">
        <f t="shared" ref="BO6:BO24" si="9">AL6+AP6+AT6</f>
        <v>2800</v>
      </c>
      <c r="BP6" s="241" t="e">
        <f t="shared" ref="BP6:BP24" si="10">AO6+AS6+AW6</f>
        <v>#REF!</v>
      </c>
      <c r="BQ6" s="201">
        <f t="shared" ref="BQ6:BQ24" si="11">BF6+BB6+AX6</f>
        <v>2280</v>
      </c>
      <c r="BR6" s="204" t="e">
        <f t="shared" ref="BR6:BR24" si="12">BA6+BE6+BI6</f>
        <v>#REF!</v>
      </c>
      <c r="BS6" s="240">
        <f>BK6+BM6+BO6+BQ6</f>
        <v>8880</v>
      </c>
      <c r="BT6" s="253" t="e">
        <f>BL6+BN6+BP6+BR6</f>
        <v>#REF!</v>
      </c>
      <c r="BU6" s="246" t="e">
        <f t="shared" ref="BU6:BU24" si="13">BT6-M6</f>
        <v>#REF!</v>
      </c>
      <c r="BV6" s="201">
        <f t="shared" ref="BV6:BV24" si="14">BS6-J6</f>
        <v>0</v>
      </c>
      <c r="BW6" s="2"/>
      <c r="BX6" s="32">
        <f>+N6+R6+V6+Z6+AD6+AH6+AL6+AP6+AT6+AX6+BB6+BF6</f>
        <v>8880</v>
      </c>
      <c r="BY6" s="255" t="e">
        <f>+Q6+U6+Y6+AC6+AG6+AK6+AO6+AS6+AW6+BA6+BE6+BI6</f>
        <v>#REF!</v>
      </c>
      <c r="CA6" s="26">
        <f>+Domestic!B6</f>
        <v>13490</v>
      </c>
      <c r="CB6" s="255" t="e">
        <f>+Domestic!#REF!</f>
        <v>#REF!</v>
      </c>
      <c r="CD6" s="26">
        <f>+BX6+CA6</f>
        <v>22370</v>
      </c>
      <c r="CE6" s="255" t="e">
        <f>+BY6+CB6</f>
        <v>#REF!</v>
      </c>
      <c r="CZ6" s="201">
        <f>BK6-CV6</f>
        <v>1320</v>
      </c>
      <c r="DA6" s="201">
        <f>BM6-CW6</f>
        <v>2480</v>
      </c>
      <c r="DB6" s="201">
        <f>BO6-CX6</f>
        <v>2800</v>
      </c>
      <c r="DC6" s="201">
        <f>BQ6-CY6</f>
        <v>2280</v>
      </c>
      <c r="DD6" s="201">
        <f>BS6-CZ6</f>
        <v>7560</v>
      </c>
      <c r="DJ6" s="207">
        <v>36499.666666666664</v>
      </c>
      <c r="DK6" s="208">
        <v>3184.4648626928106</v>
      </c>
      <c r="DL6" s="200">
        <v>116.23190600000001</v>
      </c>
      <c r="DM6" s="209">
        <v>523.04357700000003</v>
      </c>
      <c r="DN6" s="201">
        <f t="shared" ref="DN6:DN24" si="15">J6-DJ6</f>
        <v>-27619.666666666664</v>
      </c>
      <c r="DO6" s="201">
        <f t="shared" ref="DO6:DO24" si="16">K6-DK6</f>
        <v>-3184.4648626928106</v>
      </c>
      <c r="DP6" s="204" t="e">
        <f t="shared" ref="DP6:DP24" si="17">M6-DM6</f>
        <v>#REF!</v>
      </c>
      <c r="DQ6" s="204">
        <f>88*DJ6*45/10^7</f>
        <v>14.453868</v>
      </c>
      <c r="DR6" s="203" t="e">
        <f>SUM(DP6:DP8)/SUM(J6:J8)*10^7/45</f>
        <v>#REF!</v>
      </c>
    </row>
    <row r="7" spans="1:122" ht="12.6" customHeight="1">
      <c r="A7" s="35" t="s">
        <v>129</v>
      </c>
      <c r="B7" s="135"/>
      <c r="C7" s="135"/>
      <c r="D7" s="135"/>
      <c r="E7" s="157"/>
      <c r="F7" s="149"/>
      <c r="G7" s="151"/>
      <c r="H7" s="135"/>
      <c r="I7" s="150">
        <f t="shared" ref="I7:I60" si="18">IF(ISERROR(H7/F7-1),0,(H7/F7-1))</f>
        <v>0</v>
      </c>
      <c r="J7" s="27">
        <f t="shared" ref="J7:J23" si="19">N7+R7+V7+Z7+AD7+AH7+AL7+AP7+AT7+AX7+BB7+BF7</f>
        <v>0</v>
      </c>
      <c r="K7" s="23">
        <f t="shared" ref="K7:K24" si="20">IF(ISERROR(L7/J7*1000000),0,(L7/J7*1000000))</f>
        <v>0</v>
      </c>
      <c r="L7" s="112" t="e">
        <f t="shared" ref="L7:M23" si="21">P7+T7+X7+AB7+AF7+AJ7+AN7+AR7+AV7+AZ7+BD7+BH7</f>
        <v>#REF!</v>
      </c>
      <c r="M7" s="113" t="e">
        <f t="shared" si="21"/>
        <v>#REF!</v>
      </c>
      <c r="N7" s="26">
        <f>Europe!D7+'Asia-Pacific'!D7+'Rest of world'!D7+'North America'!D7+'Latin America'!D7</f>
        <v>0</v>
      </c>
      <c r="O7" s="23">
        <f t="shared" si="3"/>
        <v>0</v>
      </c>
      <c r="P7" s="112" t="e">
        <f>'North America'!#REF!+Europe!#REF!+'Asia-Pacific'!#REF!+'Rest of world'!#REF!</f>
        <v>#REF!</v>
      </c>
      <c r="Q7" s="26" t="e">
        <f>Europe!#REF!+'Asia-Pacific'!#REF!+'Rest of world'!#REF!+'North America'!#REF!+'Latin America'!#REF!</f>
        <v>#REF!</v>
      </c>
      <c r="R7" s="26">
        <f>Europe!H7+'Asia-Pacific'!H7+'Rest of world'!H7+'North America'!H7+'Latin America'!H7</f>
        <v>0</v>
      </c>
      <c r="S7" s="23">
        <f t="shared" si="4"/>
        <v>0</v>
      </c>
      <c r="T7" s="112" t="e">
        <f>'North America'!#REF!+Europe!#REF!+'Asia-Pacific'!#REF!+'Rest of world'!#REF!</f>
        <v>#REF!</v>
      </c>
      <c r="U7" s="26" t="e">
        <f>Europe!#REF!+'Asia-Pacific'!#REF!+'Rest of world'!#REF!+'North America'!#REF!+'Latin America'!#REF!</f>
        <v>#REF!</v>
      </c>
      <c r="V7" s="26">
        <f>Europe!L7+'Asia-Pacific'!L7+'Rest of world'!L7+'North America'!L7+'Latin America'!L7</f>
        <v>0</v>
      </c>
      <c r="W7" s="23">
        <f t="shared" ref="W7:W23" si="22">IF(ISERROR(X7/V7*1000000),0,(X7/V7*1000000))</f>
        <v>0</v>
      </c>
      <c r="X7" s="112" t="e">
        <f>'North America'!#REF!+Europe!#REF!+'Asia-Pacific'!#REF!+'Rest of world'!#REF!</f>
        <v>#REF!</v>
      </c>
      <c r="Y7" s="26" t="e">
        <f>Europe!#REF!+'Asia-Pacific'!#REF!+'Rest of world'!#REF!+'North America'!#REF!+'Latin America'!#REF!</f>
        <v>#REF!</v>
      </c>
      <c r="Z7" s="26">
        <f>Europe!P7+'Asia-Pacific'!P7+'Rest of world'!P7+'North America'!P7+'Latin America'!P7</f>
        <v>0</v>
      </c>
      <c r="AA7" s="23">
        <f t="shared" ref="AA7:AA23" si="23">IF(ISERROR(AB7/Z7*1000000),0,(AB7/Z7*1000000))</f>
        <v>0</v>
      </c>
      <c r="AB7" s="112" t="e">
        <f>'North America'!#REF!+Europe!#REF!+'Asia-Pacific'!#REF!+'Rest of world'!#REF!</f>
        <v>#REF!</v>
      </c>
      <c r="AC7" s="26" t="e">
        <f>Europe!#REF!+'Asia-Pacific'!#REF!+'Rest of world'!#REF!+'North America'!#REF!+'Latin America'!#REF!</f>
        <v>#REF!</v>
      </c>
      <c r="AD7" s="26">
        <f>Europe!T7+'Asia-Pacific'!T7+'Rest of world'!T7+'North America'!T7+'Latin America'!T7</f>
        <v>0</v>
      </c>
      <c r="AE7" s="23">
        <f t="shared" ref="AE7:AE23" si="24">IF(ISERROR(AF7/AD7*1000000),0,(AF7/AD7*1000000))</f>
        <v>0</v>
      </c>
      <c r="AF7" s="112">
        <f>'North America'!V7+Europe!V7+'Asia-Pacific'!V7+'Rest of world'!V7</f>
        <v>0</v>
      </c>
      <c r="AG7" s="26">
        <f>Europe!W7+'Asia-Pacific'!W7+'Rest of world'!W7+'North America'!W7+'Latin America'!W7</f>
        <v>0</v>
      </c>
      <c r="AH7" s="26">
        <f>Europe!X7+'Asia-Pacific'!X7+'Rest of world'!X7+'North America'!X7+'Latin America'!X7</f>
        <v>0</v>
      </c>
      <c r="AI7" s="23">
        <f t="shared" ref="AI7:AI23" si="25">IF(ISERROR(AJ7/AH7*1000000),0,(AJ7/AH7*1000000))</f>
        <v>0</v>
      </c>
      <c r="AJ7" s="112" t="e">
        <f>'North America'!Z7+Europe!Z7+'Asia-Pacific'!Z7+'Rest of world'!#REF!</f>
        <v>#REF!</v>
      </c>
      <c r="AK7" s="26">
        <f>Europe!AA7+'Asia-Pacific'!AA7+'Rest of world'!AA7+'North America'!AA7+'Latin America'!AA7</f>
        <v>0</v>
      </c>
      <c r="AL7" s="26">
        <f>Europe!AB7+'Asia-Pacific'!AB7+'Rest of world'!AB7+'North America'!AB7+'Latin America'!AB7</f>
        <v>0</v>
      </c>
      <c r="AM7" s="23">
        <f t="shared" ref="AM7:AM23" si="26">IF(ISERROR(AN7/AL7*1000000),0,(AN7/AL7*1000000))</f>
        <v>0</v>
      </c>
      <c r="AN7" s="112" t="e">
        <f>'North America'!#REF!+Europe!#REF!+'Asia-Pacific'!#REF!+'Rest of world'!#REF!</f>
        <v>#REF!</v>
      </c>
      <c r="AO7" s="26" t="e">
        <f>Europe!#REF!+'Asia-Pacific'!#REF!+'Rest of world'!#REF!+'North America'!#REF!+'Latin America'!#REF!</f>
        <v>#REF!</v>
      </c>
      <c r="AP7" s="26">
        <f>Europe!AF7+'Asia-Pacific'!AF7+'Rest of world'!AF7+'North America'!AF7+'Latin America'!AF7</f>
        <v>0</v>
      </c>
      <c r="AQ7" s="23">
        <f t="shared" ref="AQ7:AQ23" si="27">IF(ISERROR(AR7/AP7*1000000),0,(AR7/AP7*1000000))</f>
        <v>0</v>
      </c>
      <c r="AR7" s="112" t="e">
        <f>'North America'!#REF!+Europe!#REF!+'Asia-Pacific'!#REF!+'Rest of world'!#REF!</f>
        <v>#REF!</v>
      </c>
      <c r="AS7" s="26" t="e">
        <f>Europe!#REF!+'Asia-Pacific'!#REF!+'Rest of world'!#REF!+'North America'!#REF!+'Latin America'!#REF!</f>
        <v>#REF!</v>
      </c>
      <c r="AT7" s="26">
        <f>Europe!AJ7+'Asia-Pacific'!AJ7+'Rest of world'!AJ7+'North America'!AJ7+'Latin America'!AJ7</f>
        <v>0</v>
      </c>
      <c r="AU7" s="23">
        <f t="shared" ref="AU7:AU23" si="28">IF(ISERROR(AV7/AT7*1000000),0,(AV7/AT7*1000000))</f>
        <v>0</v>
      </c>
      <c r="AV7" s="112" t="e">
        <f>'North America'!#REF!+Europe!#REF!+'Asia-Pacific'!#REF!+'Rest of world'!#REF!</f>
        <v>#REF!</v>
      </c>
      <c r="AW7" s="26" t="e">
        <f>Europe!#REF!+'Asia-Pacific'!#REF!+'Rest of world'!#REF!+'North America'!#REF!+'Latin America'!#REF!</f>
        <v>#REF!</v>
      </c>
      <c r="AX7" s="26">
        <f>Europe!AN7+'Asia-Pacific'!AN7+'Rest of world'!AN7+'North America'!AN7+'Latin America'!AN7</f>
        <v>0</v>
      </c>
      <c r="AY7" s="23">
        <f t="shared" ref="AY7:AY23" si="29">IF(ISERROR(AZ7/AX7*1000000),0,(AZ7/AX7*1000000))</f>
        <v>0</v>
      </c>
      <c r="AZ7" s="112" t="e">
        <f>'North America'!#REF!+Europe!#REF!+'Asia-Pacific'!#REF!+'Rest of world'!#REF!</f>
        <v>#REF!</v>
      </c>
      <c r="BA7" s="26" t="e">
        <f>Europe!#REF!+'Asia-Pacific'!#REF!+'Rest of world'!#REF!+'North America'!#REF!+'Latin America'!#REF!</f>
        <v>#REF!</v>
      </c>
      <c r="BB7" s="26">
        <f>Europe!AR7+'Asia-Pacific'!AR7+'Rest of world'!AR7+'North America'!AR7+'Latin America'!AR7</f>
        <v>0</v>
      </c>
      <c r="BC7" s="23">
        <f t="shared" ref="BC7:BC23" si="30">IF(ISERROR(BD7/BB7*1000000),0,(BD7/BB7*1000000))</f>
        <v>0</v>
      </c>
      <c r="BD7" s="112" t="e">
        <f>'North America'!#REF!+Europe!#REF!+'Asia-Pacific'!#REF!+'Rest of world'!#REF!</f>
        <v>#REF!</v>
      </c>
      <c r="BE7" s="26" t="e">
        <f>Europe!#REF!+'Asia-Pacific'!#REF!+'Rest of world'!#REF!+'North America'!#REF!+'Latin America'!#REF!</f>
        <v>#REF!</v>
      </c>
      <c r="BF7" s="26">
        <f>Europe!AV7+'Asia-Pacific'!AV7+'Rest of world'!AV7+'North America'!AV7+'Latin America'!AV7</f>
        <v>0</v>
      </c>
      <c r="BG7" s="23">
        <f t="shared" ref="BG7:BG23" si="31">IF(ISERROR(BH7/BF7*1000000),0,(BH7/BF7*1000000))</f>
        <v>0</v>
      </c>
      <c r="BH7" s="112" t="e">
        <f>'North America'!#REF!+Europe!#REF!+'Asia-Pacific'!#REF!+'Rest of world'!#REF!</f>
        <v>#REF!</v>
      </c>
      <c r="BI7" s="26" t="e">
        <f>Europe!#REF!+'Asia-Pacific'!#REF!+'Rest of world'!#REF!+'North America'!#REF!+'Latin America'!#REF!</f>
        <v>#REF!</v>
      </c>
      <c r="BK7" s="240">
        <f t="shared" si="5"/>
        <v>0</v>
      </c>
      <c r="BL7" s="241" t="e">
        <f t="shared" si="6"/>
        <v>#REF!</v>
      </c>
      <c r="BM7" s="240">
        <f t="shared" si="7"/>
        <v>0</v>
      </c>
      <c r="BN7" s="241" t="e">
        <f t="shared" si="8"/>
        <v>#REF!</v>
      </c>
      <c r="BO7" s="240">
        <f t="shared" si="9"/>
        <v>0</v>
      </c>
      <c r="BP7" s="241" t="e">
        <f t="shared" si="10"/>
        <v>#REF!</v>
      </c>
      <c r="BQ7" s="201">
        <f t="shared" si="11"/>
        <v>0</v>
      </c>
      <c r="BR7" s="204" t="e">
        <f t="shared" si="12"/>
        <v>#REF!</v>
      </c>
      <c r="BS7" s="240">
        <f>BK7+BM7+BO7+BQ7</f>
        <v>0</v>
      </c>
      <c r="BT7" s="253" t="e">
        <f t="shared" ref="BT7:BT69" si="32">BL7+BN7+BP7+BR7</f>
        <v>#REF!</v>
      </c>
      <c r="BU7" s="246" t="e">
        <f t="shared" si="13"/>
        <v>#REF!</v>
      </c>
      <c r="BV7" s="201">
        <f t="shared" si="14"/>
        <v>0</v>
      </c>
      <c r="BW7" s="2"/>
      <c r="BX7" s="33">
        <f t="shared" ref="BX7:BX70" si="33">+N7+R7+V7+Z7+AD7+AH7+AL7+AP7+AT7+AX7+BB7+BF7</f>
        <v>0</v>
      </c>
      <c r="BY7" s="113" t="e">
        <f t="shared" ref="BY7:BY70" si="34">+Q7+U7+Y7+AC7+AG7+AK7+AO7+AS7+AW7+BA7+BE7+BI7</f>
        <v>#REF!</v>
      </c>
      <c r="CA7" s="27">
        <f>+Domestic!B7</f>
        <v>12240</v>
      </c>
      <c r="CB7" s="113" t="e">
        <f>+Domestic!#REF!</f>
        <v>#REF!</v>
      </c>
      <c r="CD7" s="27">
        <f t="shared" ref="CD7:CD70" si="35">+BX7+CA7</f>
        <v>12240</v>
      </c>
      <c r="CE7" s="113" t="e">
        <f t="shared" ref="CE7:CE70" si="36">+BY7+CB7</f>
        <v>#REF!</v>
      </c>
      <c r="CZ7" s="201">
        <f>BK7-CV7</f>
        <v>0</v>
      </c>
      <c r="DA7" s="201">
        <f>BM7-CW7</f>
        <v>0</v>
      </c>
      <c r="DB7" s="201">
        <f>BO7-CX7</f>
        <v>0</v>
      </c>
      <c r="DC7" s="201">
        <f>BQ7-CY7</f>
        <v>0</v>
      </c>
      <c r="DD7" s="201">
        <f>BS7-CZ7</f>
        <v>0</v>
      </c>
      <c r="DJ7" s="210">
        <v>6000</v>
      </c>
      <c r="DK7" s="211">
        <v>3175.6614999999997</v>
      </c>
      <c r="DL7" s="200">
        <v>19.053968999999999</v>
      </c>
      <c r="DM7" s="209">
        <v>85.742860500000035</v>
      </c>
      <c r="DN7" s="201">
        <f t="shared" si="15"/>
        <v>-6000</v>
      </c>
      <c r="DO7" s="201">
        <f t="shared" si="16"/>
        <v>-3175.6614999999997</v>
      </c>
      <c r="DP7" s="204" t="e">
        <f t="shared" si="17"/>
        <v>#REF!</v>
      </c>
      <c r="DQ7" s="204">
        <f>88*DJ7*45/10^7</f>
        <v>2.3759999999999999</v>
      </c>
    </row>
    <row r="8" spans="1:122" ht="12.6" customHeight="1">
      <c r="A8" s="35" t="s">
        <v>44</v>
      </c>
      <c r="B8" s="135"/>
      <c r="C8" s="135"/>
      <c r="D8" s="135"/>
      <c r="E8" s="157"/>
      <c r="F8" s="149"/>
      <c r="G8" s="151"/>
      <c r="H8" s="135"/>
      <c r="I8" s="150">
        <f t="shared" si="18"/>
        <v>0</v>
      </c>
      <c r="J8" s="27">
        <f t="shared" si="19"/>
        <v>0</v>
      </c>
      <c r="K8" s="23">
        <f t="shared" si="20"/>
        <v>0</v>
      </c>
      <c r="L8" s="112" t="e">
        <f t="shared" si="21"/>
        <v>#REF!</v>
      </c>
      <c r="M8" s="113" t="e">
        <f t="shared" si="21"/>
        <v>#REF!</v>
      </c>
      <c r="N8" s="26">
        <f>Europe!D8+'Asia-Pacific'!D8+'Rest of world'!D8+'North America'!D8+'Latin America'!D8</f>
        <v>0</v>
      </c>
      <c r="O8" s="23">
        <f t="shared" si="3"/>
        <v>0</v>
      </c>
      <c r="P8" s="112" t="e">
        <f>'North America'!#REF!+Europe!#REF!+'Asia-Pacific'!#REF!+'Rest of world'!#REF!</f>
        <v>#REF!</v>
      </c>
      <c r="Q8" s="26" t="e">
        <f>Europe!#REF!+'Asia-Pacific'!#REF!+'Rest of world'!#REF!+'North America'!#REF!+'Latin America'!#REF!</f>
        <v>#REF!</v>
      </c>
      <c r="R8" s="26">
        <f>Europe!H8+'Asia-Pacific'!H8+'Rest of world'!H8+'North America'!H8+'Latin America'!H8</f>
        <v>0</v>
      </c>
      <c r="S8" s="23">
        <f t="shared" si="4"/>
        <v>0</v>
      </c>
      <c r="T8" s="112" t="e">
        <f>'North America'!#REF!+Europe!#REF!+'Asia-Pacific'!#REF!+'Rest of world'!#REF!</f>
        <v>#REF!</v>
      </c>
      <c r="U8" s="26" t="e">
        <f>Europe!#REF!+'Asia-Pacific'!#REF!+'Rest of world'!#REF!+'North America'!#REF!+'Latin America'!#REF!</f>
        <v>#REF!</v>
      </c>
      <c r="V8" s="26">
        <f>Europe!L8+'Asia-Pacific'!L8+'Rest of world'!L8+'North America'!L8+'Latin America'!L8</f>
        <v>0</v>
      </c>
      <c r="W8" s="23">
        <f t="shared" si="22"/>
        <v>0</v>
      </c>
      <c r="X8" s="112" t="e">
        <f>'North America'!#REF!+Europe!#REF!+'Asia-Pacific'!#REF!+'Rest of world'!#REF!</f>
        <v>#REF!</v>
      </c>
      <c r="Y8" s="26" t="e">
        <f>Europe!#REF!+'Asia-Pacific'!#REF!+'Rest of world'!#REF!+'North America'!#REF!+'Latin America'!#REF!</f>
        <v>#REF!</v>
      </c>
      <c r="Z8" s="26">
        <f>Europe!P8+'Asia-Pacific'!P8+'Rest of world'!P8+'North America'!P8+'Latin America'!P8</f>
        <v>0</v>
      </c>
      <c r="AA8" s="23">
        <f t="shared" si="23"/>
        <v>0</v>
      </c>
      <c r="AB8" s="112" t="e">
        <f>'North America'!#REF!+Europe!#REF!+'Asia-Pacific'!#REF!+'Rest of world'!#REF!</f>
        <v>#REF!</v>
      </c>
      <c r="AC8" s="26" t="e">
        <f>Europe!#REF!+'Asia-Pacific'!#REF!+'Rest of world'!#REF!+'North America'!#REF!+'Latin America'!#REF!</f>
        <v>#REF!</v>
      </c>
      <c r="AD8" s="26">
        <f>Europe!T8+'Asia-Pacific'!T8+'Rest of world'!T8+'North America'!T8+'Latin America'!T8</f>
        <v>0</v>
      </c>
      <c r="AE8" s="23">
        <f t="shared" si="24"/>
        <v>0</v>
      </c>
      <c r="AF8" s="112">
        <f>'North America'!V8+Europe!V8+'Asia-Pacific'!V8+'Rest of world'!V8</f>
        <v>0</v>
      </c>
      <c r="AG8" s="26">
        <f>Europe!W8+'Asia-Pacific'!W8+'Rest of world'!W8+'North America'!W8+'Latin America'!W8</f>
        <v>0</v>
      </c>
      <c r="AH8" s="26">
        <f>Europe!X8+'Asia-Pacific'!X8+'Rest of world'!X8+'North America'!X8+'Latin America'!X8</f>
        <v>0</v>
      </c>
      <c r="AI8" s="23">
        <f t="shared" si="25"/>
        <v>0</v>
      </c>
      <c r="AJ8" s="112" t="e">
        <f>'North America'!Z8+Europe!Z8+'Asia-Pacific'!Z8+'Rest of world'!#REF!</f>
        <v>#REF!</v>
      </c>
      <c r="AK8" s="26">
        <f>Europe!AA8+'Asia-Pacific'!AA8+'Rest of world'!AA8+'North America'!AA8+'Latin America'!AA8</f>
        <v>7.0916683000000008E-2</v>
      </c>
      <c r="AL8" s="26">
        <f>Europe!AB8+'Asia-Pacific'!AB8+'Rest of world'!AB8+'North America'!AB8+'Latin America'!AB8</f>
        <v>0</v>
      </c>
      <c r="AM8" s="23">
        <f t="shared" si="26"/>
        <v>0</v>
      </c>
      <c r="AN8" s="112" t="e">
        <f>'North America'!#REF!+Europe!#REF!+'Asia-Pacific'!#REF!+'Rest of world'!#REF!</f>
        <v>#REF!</v>
      </c>
      <c r="AO8" s="26" t="e">
        <f>Europe!#REF!+'Asia-Pacific'!#REF!+'Rest of world'!#REF!+'North America'!#REF!+'Latin America'!#REF!</f>
        <v>#REF!</v>
      </c>
      <c r="AP8" s="26">
        <f>Europe!AF8+'Asia-Pacific'!AF8+'Rest of world'!AF8+'North America'!AF8+'Latin America'!AF8</f>
        <v>0</v>
      </c>
      <c r="AQ8" s="23">
        <f t="shared" si="27"/>
        <v>0</v>
      </c>
      <c r="AR8" s="112" t="e">
        <f>'North America'!#REF!+Europe!#REF!+'Asia-Pacific'!#REF!+'Rest of world'!#REF!</f>
        <v>#REF!</v>
      </c>
      <c r="AS8" s="26" t="e">
        <f>Europe!#REF!+'Asia-Pacific'!#REF!+'Rest of world'!#REF!+'North America'!#REF!+'Latin America'!#REF!</f>
        <v>#REF!</v>
      </c>
      <c r="AT8" s="26">
        <f>Europe!AJ8+'Asia-Pacific'!AJ8+'Rest of world'!AJ8+'North America'!AJ8+'Latin America'!AJ8</f>
        <v>0</v>
      </c>
      <c r="AU8" s="23">
        <f t="shared" si="28"/>
        <v>0</v>
      </c>
      <c r="AV8" s="112" t="e">
        <f>'North America'!#REF!+Europe!#REF!+'Asia-Pacific'!#REF!+'Rest of world'!#REF!</f>
        <v>#REF!</v>
      </c>
      <c r="AW8" s="26" t="e">
        <f>Europe!#REF!+'Asia-Pacific'!#REF!+'Rest of world'!#REF!+'North America'!#REF!+'Latin America'!#REF!</f>
        <v>#REF!</v>
      </c>
      <c r="AX8" s="26">
        <f>Europe!AN8+'Asia-Pacific'!AN8+'Rest of world'!AN8+'North America'!AN8+'Latin America'!AN8</f>
        <v>0</v>
      </c>
      <c r="AY8" s="23">
        <f t="shared" si="29"/>
        <v>0</v>
      </c>
      <c r="AZ8" s="112" t="e">
        <f>'North America'!#REF!+Europe!#REF!+'Asia-Pacific'!#REF!+'Rest of world'!#REF!</f>
        <v>#REF!</v>
      </c>
      <c r="BA8" s="26" t="e">
        <f>Europe!#REF!+'Asia-Pacific'!#REF!+'Rest of world'!#REF!+'North America'!#REF!+'Latin America'!#REF!</f>
        <v>#REF!</v>
      </c>
      <c r="BB8" s="26">
        <f>Europe!AR8+'Asia-Pacific'!AR8+'Rest of world'!AR8+'North America'!AR8+'Latin America'!AR8</f>
        <v>0</v>
      </c>
      <c r="BC8" s="23">
        <f t="shared" si="30"/>
        <v>0</v>
      </c>
      <c r="BD8" s="112" t="e">
        <f>'North America'!#REF!+Europe!#REF!+'Asia-Pacific'!#REF!+'Rest of world'!#REF!</f>
        <v>#REF!</v>
      </c>
      <c r="BE8" s="26" t="e">
        <f>Europe!#REF!+'Asia-Pacific'!#REF!+'Rest of world'!#REF!+'North America'!#REF!+'Latin America'!#REF!</f>
        <v>#REF!</v>
      </c>
      <c r="BF8" s="26">
        <f>Europe!AV8+'Asia-Pacific'!AV8+'Rest of world'!AV8+'North America'!AV8+'Latin America'!AV8</f>
        <v>0</v>
      </c>
      <c r="BG8" s="23">
        <f t="shared" si="31"/>
        <v>0</v>
      </c>
      <c r="BH8" s="112" t="e">
        <f>'North America'!#REF!+Europe!#REF!+'Asia-Pacific'!#REF!+'Rest of world'!#REF!</f>
        <v>#REF!</v>
      </c>
      <c r="BI8" s="26" t="e">
        <f>Europe!#REF!+'Asia-Pacific'!#REF!+'Rest of world'!#REF!+'North America'!#REF!+'Latin America'!#REF!</f>
        <v>#REF!</v>
      </c>
      <c r="BK8" s="240">
        <f t="shared" si="5"/>
        <v>0</v>
      </c>
      <c r="BL8" s="241" t="e">
        <f t="shared" si="6"/>
        <v>#REF!</v>
      </c>
      <c r="BM8" s="240">
        <f t="shared" si="7"/>
        <v>0</v>
      </c>
      <c r="BN8" s="241" t="e">
        <f t="shared" si="8"/>
        <v>#REF!</v>
      </c>
      <c r="BO8" s="240">
        <f t="shared" si="9"/>
        <v>0</v>
      </c>
      <c r="BP8" s="241" t="e">
        <f t="shared" si="10"/>
        <v>#REF!</v>
      </c>
      <c r="BQ8" s="201">
        <f t="shared" si="11"/>
        <v>0</v>
      </c>
      <c r="BR8" s="204" t="e">
        <f t="shared" si="12"/>
        <v>#REF!</v>
      </c>
      <c r="BS8" s="240">
        <f t="shared" ref="BS8:BS70" si="37">BK8+BM8+BO8+BQ8</f>
        <v>0</v>
      </c>
      <c r="BT8" s="253" t="e">
        <f t="shared" si="32"/>
        <v>#REF!</v>
      </c>
      <c r="BU8" s="246" t="e">
        <f t="shared" si="13"/>
        <v>#REF!</v>
      </c>
      <c r="BV8" s="201">
        <f t="shared" si="14"/>
        <v>0</v>
      </c>
      <c r="BW8" s="2"/>
      <c r="BX8" s="33">
        <f t="shared" si="33"/>
        <v>0</v>
      </c>
      <c r="BY8" s="113" t="e">
        <f t="shared" si="34"/>
        <v>#REF!</v>
      </c>
      <c r="CA8" s="27">
        <f>+Domestic!B8</f>
        <v>980</v>
      </c>
      <c r="CB8" s="113" t="e">
        <f>+Domestic!#REF!</f>
        <v>#REF!</v>
      </c>
      <c r="CD8" s="27">
        <f t="shared" si="35"/>
        <v>980</v>
      </c>
      <c r="CE8" s="113" t="e">
        <f t="shared" si="36"/>
        <v>#REF!</v>
      </c>
      <c r="CZ8" s="201">
        <f>BK8-CV8</f>
        <v>0</v>
      </c>
      <c r="DA8" s="201">
        <f>BM8-CW8</f>
        <v>0</v>
      </c>
      <c r="DB8" s="201">
        <f>BO8-CX8</f>
        <v>0</v>
      </c>
      <c r="DC8" s="201">
        <f>BQ8-CY8</f>
        <v>0</v>
      </c>
      <c r="DD8" s="201">
        <f>BS8-CZ8</f>
        <v>0</v>
      </c>
      <c r="DJ8" s="210">
        <v>2499.5</v>
      </c>
      <c r="DK8" s="211">
        <v>2975.6261252250451</v>
      </c>
      <c r="DL8" s="200">
        <v>7.4375774999999997</v>
      </c>
      <c r="DM8" s="209">
        <v>33.469098750000001</v>
      </c>
      <c r="DN8" s="201">
        <f t="shared" si="15"/>
        <v>-2499.5</v>
      </c>
      <c r="DO8" s="201">
        <f t="shared" si="16"/>
        <v>-2975.6261252250451</v>
      </c>
      <c r="DP8" s="204" t="e">
        <f t="shared" si="17"/>
        <v>#REF!</v>
      </c>
      <c r="DQ8" s="204">
        <f>88*DJ8*45/10^7</f>
        <v>0.98980199999999996</v>
      </c>
    </row>
    <row r="9" spans="1:122" ht="12.6" customHeight="1">
      <c r="A9" s="35" t="s">
        <v>45</v>
      </c>
      <c r="B9" s="135"/>
      <c r="C9" s="135"/>
      <c r="D9" s="135"/>
      <c r="E9" s="157"/>
      <c r="F9" s="149"/>
      <c r="G9" s="151"/>
      <c r="H9" s="135"/>
      <c r="I9" s="150">
        <f t="shared" si="18"/>
        <v>0</v>
      </c>
      <c r="J9" s="27">
        <f t="shared" si="19"/>
        <v>1600</v>
      </c>
      <c r="K9" s="23">
        <f t="shared" si="20"/>
        <v>0</v>
      </c>
      <c r="L9" s="112" t="e">
        <f t="shared" si="21"/>
        <v>#REF!</v>
      </c>
      <c r="M9" s="113" t="e">
        <f t="shared" si="21"/>
        <v>#REF!</v>
      </c>
      <c r="N9" s="26">
        <f>Europe!D9+'Asia-Pacific'!D9+'Rest of world'!D9+'North America'!D9+'Latin America'!D9</f>
        <v>0</v>
      </c>
      <c r="O9" s="23">
        <f t="shared" si="3"/>
        <v>0</v>
      </c>
      <c r="P9" s="112" t="e">
        <f>'North America'!#REF!+Europe!#REF!+'Asia-Pacific'!#REF!+'Rest of world'!#REF!</f>
        <v>#REF!</v>
      </c>
      <c r="Q9" s="26" t="e">
        <f>Europe!#REF!+'Asia-Pacific'!#REF!+'Rest of world'!#REF!+'North America'!#REF!+'Latin America'!#REF!</f>
        <v>#REF!</v>
      </c>
      <c r="R9" s="26">
        <f>Europe!H9+'Asia-Pacific'!H9+'Rest of world'!H9+'North America'!H9+'Latin America'!H9</f>
        <v>0</v>
      </c>
      <c r="S9" s="23">
        <f t="shared" si="4"/>
        <v>0</v>
      </c>
      <c r="T9" s="112" t="e">
        <f>'North America'!#REF!+Europe!#REF!+'Asia-Pacific'!#REF!+'Rest of world'!#REF!</f>
        <v>#REF!</v>
      </c>
      <c r="U9" s="26" t="e">
        <f>Europe!#REF!+'Asia-Pacific'!#REF!+'Rest of world'!#REF!+'North America'!#REF!+'Latin America'!#REF!</f>
        <v>#REF!</v>
      </c>
      <c r="V9" s="26">
        <f>Europe!L9+'Asia-Pacific'!L9+'Rest of world'!L9+'North America'!L9+'Latin America'!L9</f>
        <v>200</v>
      </c>
      <c r="W9" s="23">
        <f t="shared" si="22"/>
        <v>0</v>
      </c>
      <c r="X9" s="112" t="e">
        <f>'North America'!#REF!+Europe!#REF!+'Asia-Pacific'!#REF!+'Rest of world'!#REF!</f>
        <v>#REF!</v>
      </c>
      <c r="Y9" s="26" t="e">
        <f>Europe!#REF!+'Asia-Pacific'!#REF!+'Rest of world'!#REF!+'North America'!#REF!+'Latin America'!#REF!</f>
        <v>#REF!</v>
      </c>
      <c r="Z9" s="26">
        <f>Europe!P9+'Asia-Pacific'!P9+'Rest of world'!P9+'North America'!P9+'Latin America'!P9</f>
        <v>250</v>
      </c>
      <c r="AA9" s="23">
        <f t="shared" si="23"/>
        <v>0</v>
      </c>
      <c r="AB9" s="112" t="e">
        <f>'North America'!#REF!+Europe!#REF!+'Asia-Pacific'!#REF!+'Rest of world'!#REF!</f>
        <v>#REF!</v>
      </c>
      <c r="AC9" s="26" t="e">
        <f>Europe!#REF!+'Asia-Pacific'!#REF!+'Rest of world'!#REF!+'North America'!#REF!+'Latin America'!#REF!</f>
        <v>#REF!</v>
      </c>
      <c r="AD9" s="26">
        <f>Europe!T9+'Asia-Pacific'!T9+'Rest of world'!T9+'North America'!T9+'Latin America'!T9</f>
        <v>100</v>
      </c>
      <c r="AE9" s="23">
        <f t="shared" si="24"/>
        <v>0</v>
      </c>
      <c r="AF9" s="112">
        <f>'North America'!V9+Europe!V9+'Asia-Pacific'!V9+'Rest of world'!V9</f>
        <v>0</v>
      </c>
      <c r="AG9" s="26">
        <f>Europe!W9+'Asia-Pacific'!W9+'Rest of world'!W9+'North America'!W9+'Latin America'!W9</f>
        <v>0</v>
      </c>
      <c r="AH9" s="26">
        <f>Europe!X9+'Asia-Pacific'!X9+'Rest of world'!X9+'North America'!X9+'Latin America'!X9</f>
        <v>200</v>
      </c>
      <c r="AI9" s="23">
        <f t="shared" si="25"/>
        <v>0</v>
      </c>
      <c r="AJ9" s="112" t="e">
        <f>'North America'!Z9+Europe!Z9+'Asia-Pacific'!Z9+'Rest of world'!#REF!</f>
        <v>#REF!</v>
      </c>
      <c r="AK9" s="26">
        <f>Europe!AA9+'Asia-Pacific'!AA9+'Rest of world'!AA9+'North America'!AA9+'Latin America'!AA9</f>
        <v>1.4805180000000001E-3</v>
      </c>
      <c r="AL9" s="26">
        <f>Europe!AB9+'Asia-Pacific'!AB9+'Rest of world'!AB9+'North America'!AB9+'Latin America'!AB9</f>
        <v>250</v>
      </c>
      <c r="AM9" s="23">
        <f t="shared" si="26"/>
        <v>0</v>
      </c>
      <c r="AN9" s="112" t="e">
        <f>'North America'!#REF!+Europe!#REF!+'Asia-Pacific'!#REF!+'Rest of world'!#REF!</f>
        <v>#REF!</v>
      </c>
      <c r="AO9" s="26" t="e">
        <f>Europe!#REF!+'Asia-Pacific'!#REF!+'Rest of world'!#REF!+'North America'!#REF!+'Latin America'!#REF!</f>
        <v>#REF!</v>
      </c>
      <c r="AP9" s="26">
        <f>Europe!AF9+'Asia-Pacific'!AF9+'Rest of world'!AF9+'North America'!AF9+'Latin America'!AF9</f>
        <v>100</v>
      </c>
      <c r="AQ9" s="23">
        <f t="shared" si="27"/>
        <v>0</v>
      </c>
      <c r="AR9" s="112" t="e">
        <f>'North America'!#REF!+Europe!#REF!+'Asia-Pacific'!#REF!+'Rest of world'!#REF!</f>
        <v>#REF!</v>
      </c>
      <c r="AS9" s="26" t="e">
        <f>Europe!#REF!+'Asia-Pacific'!#REF!+'Rest of world'!#REF!+'North America'!#REF!+'Latin America'!#REF!</f>
        <v>#REF!</v>
      </c>
      <c r="AT9" s="26">
        <f>Europe!AJ9+'Asia-Pacific'!AJ9+'Rest of world'!AJ9+'North America'!AJ9+'Latin America'!AJ9</f>
        <v>200</v>
      </c>
      <c r="AU9" s="23">
        <f t="shared" si="28"/>
        <v>0</v>
      </c>
      <c r="AV9" s="112" t="e">
        <f>'North America'!#REF!+Europe!#REF!+'Asia-Pacific'!#REF!+'Rest of world'!#REF!</f>
        <v>#REF!</v>
      </c>
      <c r="AW9" s="26" t="e">
        <f>Europe!#REF!+'Asia-Pacific'!#REF!+'Rest of world'!#REF!+'North America'!#REF!+'Latin America'!#REF!</f>
        <v>#REF!</v>
      </c>
      <c r="AX9" s="26">
        <f>Europe!AN9+'Asia-Pacific'!AN9+'Rest of world'!AN9+'North America'!AN9+'Latin America'!AN9</f>
        <v>200</v>
      </c>
      <c r="AY9" s="23">
        <f t="shared" si="29"/>
        <v>0</v>
      </c>
      <c r="AZ9" s="112" t="e">
        <f>'North America'!#REF!+Europe!#REF!+'Asia-Pacific'!#REF!+'Rest of world'!#REF!</f>
        <v>#REF!</v>
      </c>
      <c r="BA9" s="26" t="e">
        <f>Europe!#REF!+'Asia-Pacific'!#REF!+'Rest of world'!#REF!+'North America'!#REF!+'Latin America'!#REF!</f>
        <v>#REF!</v>
      </c>
      <c r="BB9" s="26">
        <f>Europe!AR9+'Asia-Pacific'!AR9+'Rest of world'!AR9+'North America'!AR9+'Latin America'!AR9</f>
        <v>100</v>
      </c>
      <c r="BC9" s="23">
        <f t="shared" si="30"/>
        <v>0</v>
      </c>
      <c r="BD9" s="112" t="e">
        <f>'North America'!#REF!+Europe!#REF!+'Asia-Pacific'!#REF!+'Rest of world'!#REF!</f>
        <v>#REF!</v>
      </c>
      <c r="BE9" s="26" t="e">
        <f>Europe!#REF!+'Asia-Pacific'!#REF!+'Rest of world'!#REF!+'North America'!#REF!+'Latin America'!#REF!</f>
        <v>#REF!</v>
      </c>
      <c r="BF9" s="26">
        <f>Europe!AV9+'Asia-Pacific'!AV9+'Rest of world'!AV9+'North America'!AV9+'Latin America'!AV9</f>
        <v>0</v>
      </c>
      <c r="BG9" s="23">
        <f t="shared" si="31"/>
        <v>0</v>
      </c>
      <c r="BH9" s="112" t="e">
        <f>'North America'!#REF!+Europe!#REF!+'Asia-Pacific'!#REF!+'Rest of world'!#REF!</f>
        <v>#REF!</v>
      </c>
      <c r="BI9" s="26" t="e">
        <f>Europe!#REF!+'Asia-Pacific'!#REF!+'Rest of world'!#REF!+'North America'!#REF!+'Latin America'!#REF!</f>
        <v>#REF!</v>
      </c>
      <c r="BK9" s="240">
        <f t="shared" si="5"/>
        <v>200</v>
      </c>
      <c r="BL9" s="241" t="e">
        <f t="shared" si="6"/>
        <v>#REF!</v>
      </c>
      <c r="BM9" s="240">
        <f t="shared" si="7"/>
        <v>550</v>
      </c>
      <c r="BN9" s="241" t="e">
        <f t="shared" si="8"/>
        <v>#REF!</v>
      </c>
      <c r="BO9" s="240">
        <f t="shared" si="9"/>
        <v>550</v>
      </c>
      <c r="BP9" s="241" t="e">
        <f t="shared" si="10"/>
        <v>#REF!</v>
      </c>
      <c r="BQ9" s="201">
        <f t="shared" si="11"/>
        <v>300</v>
      </c>
      <c r="BR9" s="204" t="e">
        <f t="shared" si="12"/>
        <v>#REF!</v>
      </c>
      <c r="BS9" s="240">
        <f t="shared" si="37"/>
        <v>1600</v>
      </c>
      <c r="BT9" s="253" t="e">
        <f t="shared" si="32"/>
        <v>#REF!</v>
      </c>
      <c r="BU9" s="246" t="e">
        <f t="shared" si="13"/>
        <v>#REF!</v>
      </c>
      <c r="BV9" s="201">
        <f t="shared" si="14"/>
        <v>0</v>
      </c>
      <c r="BW9" s="2"/>
      <c r="BX9" s="33">
        <f t="shared" si="33"/>
        <v>1600</v>
      </c>
      <c r="BY9" s="113" t="e">
        <f t="shared" si="34"/>
        <v>#REF!</v>
      </c>
      <c r="CA9" s="27">
        <f>+Domestic!B9</f>
        <v>530</v>
      </c>
      <c r="CB9" s="113" t="e">
        <f>+Domestic!#REF!</f>
        <v>#REF!</v>
      </c>
      <c r="CD9" s="27">
        <f t="shared" si="35"/>
        <v>2130</v>
      </c>
      <c r="CE9" s="113" t="e">
        <f t="shared" si="36"/>
        <v>#REF!</v>
      </c>
      <c r="CZ9" s="201">
        <f>BK9-CV9</f>
        <v>200</v>
      </c>
      <c r="DA9" s="201">
        <f>BM9-CW9</f>
        <v>550</v>
      </c>
      <c r="DB9" s="201">
        <f>BO9-CX9</f>
        <v>550</v>
      </c>
      <c r="DC9" s="201">
        <f>BQ9-CY9</f>
        <v>300</v>
      </c>
      <c r="DD9" s="201">
        <f>BS9-CZ9</f>
        <v>1400</v>
      </c>
      <c r="DJ9" s="210">
        <v>14661.4</v>
      </c>
      <c r="DK9" s="211">
        <v>1694.0373224930775</v>
      </c>
      <c r="DL9" s="200">
        <v>24.836958800000005</v>
      </c>
      <c r="DM9" s="209">
        <v>111.76631459999999</v>
      </c>
      <c r="DN9" s="201">
        <f t="shared" si="15"/>
        <v>-13061.4</v>
      </c>
      <c r="DO9" s="201">
        <f t="shared" si="16"/>
        <v>-1694.0373224930775</v>
      </c>
      <c r="DP9" s="204" t="e">
        <f t="shared" si="17"/>
        <v>#REF!</v>
      </c>
    </row>
    <row r="10" spans="1:122" ht="12.6" customHeight="1">
      <c r="A10" s="35" t="s">
        <v>46</v>
      </c>
      <c r="B10" s="135"/>
      <c r="C10" s="135"/>
      <c r="D10" s="135"/>
      <c r="E10" s="157"/>
      <c r="F10" s="149"/>
      <c r="G10" s="151"/>
      <c r="H10" s="135"/>
      <c r="I10" s="150">
        <f t="shared" si="18"/>
        <v>0</v>
      </c>
      <c r="J10" s="27">
        <f t="shared" si="19"/>
        <v>17808</v>
      </c>
      <c r="K10" s="23">
        <f t="shared" si="20"/>
        <v>0</v>
      </c>
      <c r="L10" s="112" t="e">
        <f t="shared" si="21"/>
        <v>#REF!</v>
      </c>
      <c r="M10" s="113" t="e">
        <f t="shared" ca="1" si="21"/>
        <v>#REF!</v>
      </c>
      <c r="N10" s="26">
        <f>Europe!D10+'Asia-Pacific'!D10+'Rest of world'!D10+'North America'!D10+'Latin America'!D10</f>
        <v>462</v>
      </c>
      <c r="O10" s="23">
        <f t="shared" si="3"/>
        <v>0</v>
      </c>
      <c r="P10" s="112" t="e">
        <f>'North America'!#REF!+Europe!#REF!+'Asia-Pacific'!#REF!+'Rest of world'!#REF!</f>
        <v>#REF!</v>
      </c>
      <c r="Q10" s="26" t="e">
        <f>Europe!#REF!+'Asia-Pacific'!#REF!+'Rest of world'!#REF!+'North America'!#REF!+'Latin America'!#REF!</f>
        <v>#REF!</v>
      </c>
      <c r="R10" s="26">
        <f>Europe!H10+'Asia-Pacific'!H10+'Rest of world'!H10+'North America'!H10+'Latin America'!H10</f>
        <v>1802</v>
      </c>
      <c r="S10" s="23">
        <f t="shared" si="4"/>
        <v>0</v>
      </c>
      <c r="T10" s="112" t="e">
        <f>'North America'!#REF!+Europe!#REF!+'Asia-Pacific'!#REF!+'Rest of world'!#REF!</f>
        <v>#REF!</v>
      </c>
      <c r="U10" s="26" t="e">
        <f>Europe!#REF!+'Asia-Pacific'!#REF!+'Rest of world'!#REF!+'North America'!#REF!+'Latin America'!#REF!</f>
        <v>#REF!</v>
      </c>
      <c r="V10" s="26">
        <f>Europe!L10+'Asia-Pacific'!L10+'Rest of world'!L10+'North America'!L10+'Latin America'!L10</f>
        <v>1106</v>
      </c>
      <c r="W10" s="23">
        <f t="shared" si="22"/>
        <v>0</v>
      </c>
      <c r="X10" s="112" t="e">
        <f>'North America'!#REF!+Europe!#REF!+'Asia-Pacific'!#REF!+'Rest of world'!#REF!</f>
        <v>#REF!</v>
      </c>
      <c r="Y10" s="26" t="e">
        <f>Europe!#REF!+'Asia-Pacific'!#REF!+'Rest of world'!#REF!+'North America'!#REF!+'Latin America'!#REF!</f>
        <v>#REF!</v>
      </c>
      <c r="Z10" s="26">
        <f>Europe!P10+'Asia-Pacific'!P10+'Rest of world'!P10+'North America'!P10+'Latin America'!P10</f>
        <v>2228</v>
      </c>
      <c r="AA10" s="23">
        <f t="shared" si="23"/>
        <v>0</v>
      </c>
      <c r="AB10" s="112" t="e">
        <f>'North America'!#REF!+Europe!#REF!+'Asia-Pacific'!#REF!+'Rest of world'!#REF!</f>
        <v>#REF!</v>
      </c>
      <c r="AC10" s="26" t="e">
        <f>Europe!#REF!+'Asia-Pacific'!#REF!+'Rest of world'!#REF!+'North America'!#REF!+'Latin America'!#REF!</f>
        <v>#REF!</v>
      </c>
      <c r="AD10" s="26">
        <f>Europe!T10+'Asia-Pacific'!T10+'Rest of world'!T10+'North America'!T10+'Latin America'!T10</f>
        <v>1244</v>
      </c>
      <c r="AE10" s="23">
        <f t="shared" si="24"/>
        <v>4494372.9903536979</v>
      </c>
      <c r="AF10" s="112">
        <f>'North America'!V10+Europe!V10+'Asia-Pacific'!V10+'Rest of world'!V10</f>
        <v>5591</v>
      </c>
      <c r="AG10" s="26">
        <f>Europe!W10+'Asia-Pacific'!W10+'Rest of world'!W10+'North America'!W10+'Latin America'!W10</f>
        <v>1.0445095799999999</v>
      </c>
      <c r="AH10" s="26">
        <f>Europe!X10+'Asia-Pacific'!X10+'Rest of world'!X10+'North America'!X10+'Latin America'!X10</f>
        <v>2280</v>
      </c>
      <c r="AI10" s="23">
        <f t="shared" si="25"/>
        <v>0</v>
      </c>
      <c r="AJ10" s="112" t="e">
        <f>'North America'!Z10+Europe!Z10+'Asia-Pacific'!Z10+'Rest of world'!#REF!</f>
        <v>#REF!</v>
      </c>
      <c r="AK10" s="26">
        <f ca="1">Europe!AA10+'Asia-Pacific'!AA10+'Rest of world'!AA10+'North America'!AA10+'Latin America'!AA10</f>
        <v>0.28543500900000002</v>
      </c>
      <c r="AL10" s="26">
        <f>Europe!AB10+'Asia-Pacific'!AB10+'Rest of world'!AB10+'North America'!AB10+'Latin America'!AB10</f>
        <v>1195</v>
      </c>
      <c r="AM10" s="23">
        <f t="shared" si="26"/>
        <v>0</v>
      </c>
      <c r="AN10" s="112" t="e">
        <f>'North America'!#REF!+Europe!#REF!+'Asia-Pacific'!#REF!+'Rest of world'!#REF!</f>
        <v>#REF!</v>
      </c>
      <c r="AO10" s="26" t="e">
        <f>Europe!#REF!+'Asia-Pacific'!#REF!+'Rest of world'!#REF!+'North America'!#REF!+'Latin America'!#REF!</f>
        <v>#REF!</v>
      </c>
      <c r="AP10" s="26">
        <f>Europe!AF10+'Asia-Pacific'!AF10+'Rest of world'!AF10+'North America'!AF10+'Latin America'!AF10</f>
        <v>2113</v>
      </c>
      <c r="AQ10" s="23">
        <f t="shared" si="27"/>
        <v>0</v>
      </c>
      <c r="AR10" s="112" t="e">
        <f>'North America'!#REF!+Europe!#REF!+'Asia-Pacific'!#REF!+'Rest of world'!#REF!</f>
        <v>#REF!</v>
      </c>
      <c r="AS10" s="26" t="e">
        <f>Europe!#REF!+'Asia-Pacific'!#REF!+'Rest of world'!#REF!+'North America'!#REF!+'Latin America'!#REF!</f>
        <v>#REF!</v>
      </c>
      <c r="AT10" s="26">
        <f>Europe!AJ10+'Asia-Pacific'!AJ10+'Rest of world'!AJ10+'North America'!AJ10+'Latin America'!AJ10</f>
        <v>1209</v>
      </c>
      <c r="AU10" s="23">
        <f t="shared" si="28"/>
        <v>0</v>
      </c>
      <c r="AV10" s="112" t="e">
        <f>'North America'!#REF!+Europe!#REF!+'Asia-Pacific'!#REF!+'Rest of world'!#REF!</f>
        <v>#REF!</v>
      </c>
      <c r="AW10" s="26" t="e">
        <f>Europe!#REF!+'Asia-Pacific'!#REF!+'Rest of world'!#REF!+'North America'!#REF!+'Latin America'!#REF!</f>
        <v>#REF!</v>
      </c>
      <c r="AX10" s="26">
        <f>Europe!AN10+'Asia-Pacific'!AN10+'Rest of world'!AN10+'North America'!AN10+'Latin America'!AN10</f>
        <v>1045</v>
      </c>
      <c r="AY10" s="23">
        <f t="shared" si="29"/>
        <v>0</v>
      </c>
      <c r="AZ10" s="112" t="e">
        <f>'North America'!#REF!+Europe!#REF!+'Asia-Pacific'!#REF!+'Rest of world'!#REF!</f>
        <v>#REF!</v>
      </c>
      <c r="BA10" s="26" t="e">
        <f>Europe!#REF!+'Asia-Pacific'!#REF!+'Rest of world'!#REF!+'North America'!#REF!+'Latin America'!#REF!</f>
        <v>#REF!</v>
      </c>
      <c r="BB10" s="26">
        <f>Europe!AR10+'Asia-Pacific'!AR10+'Rest of world'!AR10+'North America'!AR10+'Latin America'!AR10</f>
        <v>2127</v>
      </c>
      <c r="BC10" s="23">
        <f t="shared" si="30"/>
        <v>0</v>
      </c>
      <c r="BD10" s="112" t="e">
        <f>'North America'!#REF!+Europe!#REF!+'Asia-Pacific'!#REF!+'Rest of world'!#REF!</f>
        <v>#REF!</v>
      </c>
      <c r="BE10" s="26" t="e">
        <f>Europe!#REF!+'Asia-Pacific'!#REF!+'Rest of world'!#REF!+'North America'!#REF!+'Latin America'!#REF!</f>
        <v>#REF!</v>
      </c>
      <c r="BF10" s="26">
        <f>Europe!AV10+'Asia-Pacific'!AV10+'Rest of world'!AV10+'North America'!AV10+'Latin America'!AV10</f>
        <v>997</v>
      </c>
      <c r="BG10" s="23">
        <f t="shared" si="31"/>
        <v>0</v>
      </c>
      <c r="BH10" s="112" t="e">
        <f>'North America'!#REF!+Europe!#REF!+'Asia-Pacific'!#REF!+'Rest of world'!#REF!</f>
        <v>#REF!</v>
      </c>
      <c r="BI10" s="26" t="e">
        <f>Europe!#REF!+'Asia-Pacific'!#REF!+'Rest of world'!#REF!+'North America'!#REF!+'Latin America'!#REF!</f>
        <v>#REF!</v>
      </c>
      <c r="BJ10" s="289"/>
      <c r="BK10" s="240">
        <f t="shared" si="5"/>
        <v>3370</v>
      </c>
      <c r="BL10" s="241" t="e">
        <f t="shared" si="6"/>
        <v>#REF!</v>
      </c>
      <c r="BM10" s="240">
        <f t="shared" si="7"/>
        <v>5752</v>
      </c>
      <c r="BN10" s="241" t="e">
        <f t="shared" ca="1" si="8"/>
        <v>#REF!</v>
      </c>
      <c r="BO10" s="240">
        <f t="shared" si="9"/>
        <v>4517</v>
      </c>
      <c r="BP10" s="241" t="e">
        <f t="shared" si="10"/>
        <v>#REF!</v>
      </c>
      <c r="BQ10" s="201">
        <f t="shared" si="11"/>
        <v>4169</v>
      </c>
      <c r="BR10" s="204" t="e">
        <f t="shared" si="12"/>
        <v>#REF!</v>
      </c>
      <c r="BS10" s="240">
        <f t="shared" si="37"/>
        <v>17808</v>
      </c>
      <c r="BT10" s="253" t="e">
        <f t="shared" ca="1" si="32"/>
        <v>#REF!</v>
      </c>
      <c r="BU10" s="246" t="e">
        <f t="shared" ca="1" si="13"/>
        <v>#REF!</v>
      </c>
      <c r="BV10" s="201">
        <f t="shared" si="14"/>
        <v>0</v>
      </c>
      <c r="BW10" s="2"/>
      <c r="BX10" s="33">
        <f t="shared" si="33"/>
        <v>17808</v>
      </c>
      <c r="BY10" s="113" t="e">
        <f t="shared" ca="1" si="34"/>
        <v>#REF!</v>
      </c>
      <c r="CA10" s="27">
        <f>+Domestic!B10</f>
        <v>3780</v>
      </c>
      <c r="CB10" s="113" t="e">
        <f>+Domestic!#REF!</f>
        <v>#REF!</v>
      </c>
      <c r="CD10" s="27">
        <f t="shared" si="35"/>
        <v>21588</v>
      </c>
      <c r="CE10" s="113" t="e">
        <f t="shared" ca="1" si="36"/>
        <v>#REF!</v>
      </c>
      <c r="CZ10" s="201">
        <f>BK10-CV10</f>
        <v>3370</v>
      </c>
      <c r="DJ10" s="210">
        <v>5000</v>
      </c>
      <c r="DK10" s="211">
        <v>1783.9632599999998</v>
      </c>
      <c r="DL10" s="200">
        <v>8.919816299999999</v>
      </c>
      <c r="DM10" s="209">
        <v>40.139173349999993</v>
      </c>
      <c r="DN10" s="201">
        <f t="shared" si="15"/>
        <v>12808</v>
      </c>
      <c r="DO10" s="201">
        <f t="shared" si="16"/>
        <v>-1783.9632599999998</v>
      </c>
      <c r="DP10" s="204" t="e">
        <f t="shared" ca="1" si="17"/>
        <v>#REF!</v>
      </c>
    </row>
    <row r="11" spans="1:122" ht="12.6" customHeight="1">
      <c r="A11" s="35" t="s">
        <v>130</v>
      </c>
      <c r="B11" s="135"/>
      <c r="C11" s="135"/>
      <c r="D11" s="135"/>
      <c r="E11" s="157"/>
      <c r="F11" s="149"/>
      <c r="G11" s="151"/>
      <c r="H11" s="135"/>
      <c r="I11" s="150">
        <f t="shared" si="18"/>
        <v>0</v>
      </c>
      <c r="J11" s="27">
        <f t="shared" si="19"/>
        <v>0</v>
      </c>
      <c r="K11" s="23">
        <f t="shared" si="20"/>
        <v>0</v>
      </c>
      <c r="L11" s="112" t="e">
        <f t="shared" si="21"/>
        <v>#REF!</v>
      </c>
      <c r="M11" s="113" t="e">
        <f t="shared" si="21"/>
        <v>#REF!</v>
      </c>
      <c r="N11" s="26">
        <f>Europe!D11+'Asia-Pacific'!D11+'Rest of world'!D11+'North America'!D11+'Latin America'!D11</f>
        <v>0</v>
      </c>
      <c r="O11" s="23">
        <f t="shared" si="3"/>
        <v>0</v>
      </c>
      <c r="P11" s="112" t="e">
        <f>'North America'!#REF!+Europe!#REF!+'Asia-Pacific'!#REF!+'Rest of world'!#REF!</f>
        <v>#REF!</v>
      </c>
      <c r="Q11" s="26" t="e">
        <f>Europe!#REF!+'Asia-Pacific'!#REF!+'Rest of world'!#REF!+'North America'!#REF!+'Latin America'!#REF!</f>
        <v>#REF!</v>
      </c>
      <c r="R11" s="26">
        <f>Europe!H11+'Asia-Pacific'!H11+'Rest of world'!H11+'North America'!H11+'Latin America'!H11</f>
        <v>0</v>
      </c>
      <c r="S11" s="23">
        <f t="shared" si="4"/>
        <v>0</v>
      </c>
      <c r="T11" s="112" t="e">
        <f>'North America'!#REF!+Europe!#REF!+'Asia-Pacific'!#REF!+'Rest of world'!#REF!</f>
        <v>#REF!</v>
      </c>
      <c r="U11" s="26" t="e">
        <f>Europe!#REF!+'Asia-Pacific'!#REF!+'Rest of world'!#REF!+'North America'!#REF!+'Latin America'!#REF!</f>
        <v>#REF!</v>
      </c>
      <c r="V11" s="26">
        <f>Europe!L11+'Asia-Pacific'!L11+'Rest of world'!L11+'North America'!L11+'Latin America'!L11</f>
        <v>0</v>
      </c>
      <c r="W11" s="23">
        <f t="shared" si="22"/>
        <v>0</v>
      </c>
      <c r="X11" s="112" t="e">
        <f>'North America'!#REF!+Europe!#REF!+'Asia-Pacific'!#REF!+'Rest of world'!#REF!</f>
        <v>#REF!</v>
      </c>
      <c r="Y11" s="26" t="e">
        <f>Europe!#REF!+'Asia-Pacific'!#REF!+'Rest of world'!#REF!+'North America'!#REF!+'Latin America'!#REF!</f>
        <v>#REF!</v>
      </c>
      <c r="Z11" s="26">
        <f>Europe!P11+'Asia-Pacific'!P11+'Rest of world'!P11+'North America'!P11+'Latin America'!P11</f>
        <v>0</v>
      </c>
      <c r="AA11" s="23">
        <f t="shared" si="23"/>
        <v>0</v>
      </c>
      <c r="AB11" s="112" t="e">
        <f>'North America'!#REF!+Europe!#REF!+'Asia-Pacific'!#REF!+'Rest of world'!#REF!</f>
        <v>#REF!</v>
      </c>
      <c r="AC11" s="26" t="e">
        <f>Europe!#REF!+'Asia-Pacific'!#REF!+'Rest of world'!#REF!+'North America'!#REF!+'Latin America'!#REF!</f>
        <v>#REF!</v>
      </c>
      <c r="AD11" s="26">
        <f>Europe!T11+'Asia-Pacific'!T11+'Rest of world'!T11+'North America'!T11+'Latin America'!T11</f>
        <v>0</v>
      </c>
      <c r="AE11" s="23">
        <f t="shared" si="24"/>
        <v>0</v>
      </c>
      <c r="AF11" s="112">
        <f>'North America'!V11+Europe!V11+'Asia-Pacific'!V11+'Rest of world'!V11</f>
        <v>0</v>
      </c>
      <c r="AG11" s="26">
        <f>Europe!W11+'Asia-Pacific'!W11+'Rest of world'!W11+'North America'!W11+'Latin America'!W11</f>
        <v>0</v>
      </c>
      <c r="AH11" s="26">
        <f>Europe!X11+'Asia-Pacific'!X11+'Rest of world'!X11+'North America'!X11+'Latin America'!X11</f>
        <v>0</v>
      </c>
      <c r="AI11" s="23">
        <f t="shared" si="25"/>
        <v>0</v>
      </c>
      <c r="AJ11" s="112" t="e">
        <f>'North America'!Z11+Europe!Z11+'Asia-Pacific'!Z11+'Rest of world'!#REF!</f>
        <v>#REF!</v>
      </c>
      <c r="AK11" s="26">
        <f>Europe!AA11+'Asia-Pacific'!AA11+'Rest of world'!AA11+'North America'!AA11+'Latin America'!AA11</f>
        <v>0</v>
      </c>
      <c r="AL11" s="26">
        <f>Europe!AB11+'Asia-Pacific'!AB11+'Rest of world'!AB11+'North America'!AB11+'Latin America'!AB11</f>
        <v>0</v>
      </c>
      <c r="AM11" s="23">
        <f t="shared" si="26"/>
        <v>0</v>
      </c>
      <c r="AN11" s="112" t="e">
        <f>'North America'!#REF!+Europe!#REF!+'Asia-Pacific'!#REF!+'Rest of world'!#REF!</f>
        <v>#REF!</v>
      </c>
      <c r="AO11" s="26" t="e">
        <f>Europe!#REF!+'Asia-Pacific'!#REF!+'Rest of world'!#REF!+'North America'!#REF!+'Latin America'!#REF!</f>
        <v>#REF!</v>
      </c>
      <c r="AP11" s="26">
        <f>Europe!AF11+'Asia-Pacific'!AF11+'Rest of world'!AF11+'North America'!AF11+'Latin America'!AF11</f>
        <v>0</v>
      </c>
      <c r="AQ11" s="23">
        <f t="shared" si="27"/>
        <v>0</v>
      </c>
      <c r="AR11" s="112" t="e">
        <f>'North America'!#REF!+Europe!#REF!+'Asia-Pacific'!#REF!+'Rest of world'!#REF!</f>
        <v>#REF!</v>
      </c>
      <c r="AS11" s="26" t="e">
        <f>Europe!#REF!+'Asia-Pacific'!#REF!+'Rest of world'!#REF!+'North America'!#REF!+'Latin America'!#REF!</f>
        <v>#REF!</v>
      </c>
      <c r="AT11" s="26">
        <f>Europe!AJ11+'Asia-Pacific'!AJ11+'Rest of world'!AJ11+'North America'!AJ11+'Latin America'!AJ11</f>
        <v>0</v>
      </c>
      <c r="AU11" s="23">
        <f t="shared" si="28"/>
        <v>0</v>
      </c>
      <c r="AV11" s="112" t="e">
        <f>'North America'!#REF!+Europe!#REF!+'Asia-Pacific'!#REF!+'Rest of world'!#REF!</f>
        <v>#REF!</v>
      </c>
      <c r="AW11" s="26" t="e">
        <f>Europe!#REF!+'Asia-Pacific'!#REF!+'Rest of world'!#REF!+'North America'!#REF!+'Latin America'!#REF!</f>
        <v>#REF!</v>
      </c>
      <c r="AX11" s="26">
        <f>Europe!AN11+'Asia-Pacific'!AN11+'Rest of world'!AN11+'North America'!AN11+'Latin America'!AN11</f>
        <v>0</v>
      </c>
      <c r="AY11" s="23">
        <f t="shared" si="29"/>
        <v>0</v>
      </c>
      <c r="AZ11" s="112" t="e">
        <f>'North America'!#REF!+Europe!#REF!+'Asia-Pacific'!#REF!+'Rest of world'!#REF!</f>
        <v>#REF!</v>
      </c>
      <c r="BA11" s="26" t="e">
        <f>Europe!#REF!+'Asia-Pacific'!#REF!+'Rest of world'!#REF!+'North America'!#REF!+'Latin America'!#REF!</f>
        <v>#REF!</v>
      </c>
      <c r="BB11" s="26">
        <f>Europe!AR11+'Asia-Pacific'!AR11+'Rest of world'!AR11+'North America'!AR11+'Latin America'!AR11</f>
        <v>0</v>
      </c>
      <c r="BC11" s="23">
        <f t="shared" si="30"/>
        <v>0</v>
      </c>
      <c r="BD11" s="112" t="e">
        <f>'North America'!#REF!+Europe!#REF!+'Asia-Pacific'!#REF!+'Rest of world'!#REF!</f>
        <v>#REF!</v>
      </c>
      <c r="BE11" s="26" t="e">
        <f>Europe!#REF!+'Asia-Pacific'!#REF!+'Rest of world'!#REF!+'North America'!#REF!+'Latin America'!#REF!</f>
        <v>#REF!</v>
      </c>
      <c r="BF11" s="26">
        <f>Europe!AV11+'Asia-Pacific'!AV11+'Rest of world'!AV11+'North America'!AV11+'Latin America'!AV11</f>
        <v>0</v>
      </c>
      <c r="BG11" s="23">
        <f t="shared" si="31"/>
        <v>0</v>
      </c>
      <c r="BH11" s="112" t="e">
        <f>'North America'!#REF!+Europe!#REF!+'Asia-Pacific'!#REF!+'Rest of world'!#REF!</f>
        <v>#REF!</v>
      </c>
      <c r="BI11" s="26" t="e">
        <f>Europe!#REF!+'Asia-Pacific'!#REF!+'Rest of world'!#REF!+'North America'!#REF!+'Latin America'!#REF!</f>
        <v>#REF!</v>
      </c>
      <c r="BK11" s="240">
        <f t="shared" si="5"/>
        <v>0</v>
      </c>
      <c r="BL11" s="241" t="e">
        <f t="shared" si="6"/>
        <v>#REF!</v>
      </c>
      <c r="BM11" s="240">
        <f t="shared" si="7"/>
        <v>0</v>
      </c>
      <c r="BN11" s="241" t="e">
        <f t="shared" si="8"/>
        <v>#REF!</v>
      </c>
      <c r="BO11" s="240">
        <f t="shared" si="9"/>
        <v>0</v>
      </c>
      <c r="BP11" s="241" t="e">
        <f t="shared" si="10"/>
        <v>#REF!</v>
      </c>
      <c r="BQ11" s="201">
        <f t="shared" si="11"/>
        <v>0</v>
      </c>
      <c r="BR11" s="204" t="e">
        <f t="shared" si="12"/>
        <v>#REF!</v>
      </c>
      <c r="BS11" s="240">
        <f t="shared" si="37"/>
        <v>0</v>
      </c>
      <c r="BT11" s="253" t="e">
        <f t="shared" si="32"/>
        <v>#REF!</v>
      </c>
      <c r="BU11" s="246" t="e">
        <f t="shared" si="13"/>
        <v>#REF!</v>
      </c>
      <c r="BV11" s="201">
        <f t="shared" si="14"/>
        <v>0</v>
      </c>
      <c r="BW11" s="2"/>
      <c r="BX11" s="33">
        <f t="shared" si="33"/>
        <v>0</v>
      </c>
      <c r="BY11" s="113" t="e">
        <f t="shared" si="34"/>
        <v>#REF!</v>
      </c>
      <c r="CA11" s="27">
        <f>+Domestic!B11</f>
        <v>7000</v>
      </c>
      <c r="CB11" s="113" t="e">
        <f>+Domestic!#REF!</f>
        <v>#REF!</v>
      </c>
      <c r="CD11" s="27">
        <f t="shared" si="35"/>
        <v>7000</v>
      </c>
      <c r="CE11" s="113" t="e">
        <f t="shared" si="36"/>
        <v>#REF!</v>
      </c>
      <c r="DJ11" s="210">
        <v>0</v>
      </c>
      <c r="DK11" s="211">
        <v>0</v>
      </c>
      <c r="DL11" s="200">
        <v>0</v>
      </c>
      <c r="DM11" s="209">
        <v>0</v>
      </c>
      <c r="DN11" s="201">
        <f t="shared" si="15"/>
        <v>0</v>
      </c>
      <c r="DO11" s="201">
        <f t="shared" si="16"/>
        <v>0</v>
      </c>
      <c r="DP11" s="204" t="e">
        <f t="shared" si="17"/>
        <v>#REF!</v>
      </c>
    </row>
    <row r="12" spans="1:122" ht="12.6" customHeight="1">
      <c r="A12" s="35" t="s">
        <v>131</v>
      </c>
      <c r="B12" s="135"/>
      <c r="C12" s="135"/>
      <c r="D12" s="135"/>
      <c r="E12" s="157"/>
      <c r="F12" s="149"/>
      <c r="G12" s="151"/>
      <c r="H12" s="135"/>
      <c r="I12" s="150">
        <f t="shared" si="18"/>
        <v>0</v>
      </c>
      <c r="J12" s="27">
        <f t="shared" si="19"/>
        <v>0</v>
      </c>
      <c r="K12" s="23">
        <f t="shared" si="20"/>
        <v>0</v>
      </c>
      <c r="L12" s="112" t="e">
        <f t="shared" si="21"/>
        <v>#REF!</v>
      </c>
      <c r="M12" s="113" t="e">
        <f t="shared" si="21"/>
        <v>#REF!</v>
      </c>
      <c r="N12" s="26">
        <f>Europe!D12+'Asia-Pacific'!D12+'Rest of world'!D12+'North America'!D12+'Latin America'!D12</f>
        <v>0</v>
      </c>
      <c r="O12" s="23">
        <f t="shared" si="3"/>
        <v>0</v>
      </c>
      <c r="P12" s="112" t="e">
        <f>'North America'!#REF!+Europe!#REF!+'Asia-Pacific'!#REF!+'Rest of world'!#REF!</f>
        <v>#REF!</v>
      </c>
      <c r="Q12" s="26" t="e">
        <f>Europe!#REF!+'Asia-Pacific'!#REF!+'Rest of world'!#REF!+'North America'!#REF!+'Latin America'!#REF!</f>
        <v>#REF!</v>
      </c>
      <c r="R12" s="26">
        <f>Europe!H12+'Asia-Pacific'!H12+'Rest of world'!H12+'North America'!H12+'Latin America'!H12</f>
        <v>0</v>
      </c>
      <c r="S12" s="23">
        <f t="shared" si="4"/>
        <v>0</v>
      </c>
      <c r="T12" s="112" t="e">
        <f>'North America'!#REF!+Europe!#REF!+'Asia-Pacific'!#REF!+'Rest of world'!#REF!</f>
        <v>#REF!</v>
      </c>
      <c r="U12" s="26" t="e">
        <f>Europe!#REF!+'Asia-Pacific'!#REF!+'Rest of world'!#REF!+'North America'!#REF!+'Latin America'!#REF!</f>
        <v>#REF!</v>
      </c>
      <c r="V12" s="26">
        <f>Europe!L12+'Asia-Pacific'!L12+'Rest of world'!L12+'North America'!L12+'Latin America'!L12</f>
        <v>0</v>
      </c>
      <c r="W12" s="23">
        <f t="shared" si="22"/>
        <v>0</v>
      </c>
      <c r="X12" s="112" t="e">
        <f>'North America'!#REF!+Europe!#REF!+'Asia-Pacific'!#REF!+'Rest of world'!#REF!</f>
        <v>#REF!</v>
      </c>
      <c r="Y12" s="26" t="e">
        <f>Europe!#REF!+'Asia-Pacific'!#REF!+'Rest of world'!#REF!+'North America'!#REF!+'Latin America'!#REF!</f>
        <v>#REF!</v>
      </c>
      <c r="Z12" s="26">
        <f>Europe!P12+'Asia-Pacific'!P12+'Rest of world'!P12+'North America'!P12+'Latin America'!P12</f>
        <v>0</v>
      </c>
      <c r="AA12" s="23">
        <f t="shared" si="23"/>
        <v>0</v>
      </c>
      <c r="AB12" s="112" t="e">
        <f>'North America'!#REF!+Europe!#REF!+'Asia-Pacific'!#REF!+'Rest of world'!#REF!</f>
        <v>#REF!</v>
      </c>
      <c r="AC12" s="26" t="e">
        <f>Europe!#REF!+'Asia-Pacific'!#REF!+'Rest of world'!#REF!+'North America'!#REF!+'Latin America'!#REF!</f>
        <v>#REF!</v>
      </c>
      <c r="AD12" s="26">
        <f>Europe!T12+'Asia-Pacific'!T12+'Rest of world'!T12+'North America'!T12+'Latin America'!T12</f>
        <v>0</v>
      </c>
      <c r="AE12" s="23">
        <f t="shared" si="24"/>
        <v>0</v>
      </c>
      <c r="AF12" s="112">
        <f>'North America'!V12+Europe!V12+'Asia-Pacific'!V12+'Rest of world'!V12</f>
        <v>0</v>
      </c>
      <c r="AG12" s="26">
        <f>Europe!W12+'Asia-Pacific'!W12+'Rest of world'!W12+'North America'!W12+'Latin America'!W12</f>
        <v>0</v>
      </c>
      <c r="AH12" s="26">
        <f>Europe!X12+'Asia-Pacific'!X12+'Rest of world'!X12+'North America'!X12+'Latin America'!X12</f>
        <v>0</v>
      </c>
      <c r="AI12" s="23">
        <f t="shared" si="25"/>
        <v>0</v>
      </c>
      <c r="AJ12" s="112" t="e">
        <f>'North America'!Z12+Europe!Z12+'Asia-Pacific'!Z12+'Rest of world'!#REF!</f>
        <v>#REF!</v>
      </c>
      <c r="AK12" s="26">
        <f>Europe!AA12+'Asia-Pacific'!AA12+'Rest of world'!AA12+'North America'!AA12+'Latin America'!AA12</f>
        <v>0</v>
      </c>
      <c r="AL12" s="26">
        <f>Europe!AB12+'Asia-Pacific'!AB12+'Rest of world'!AB12+'North America'!AB12+'Latin America'!AB12</f>
        <v>0</v>
      </c>
      <c r="AM12" s="23">
        <f t="shared" si="26"/>
        <v>0</v>
      </c>
      <c r="AN12" s="112" t="e">
        <f>'North America'!#REF!+Europe!#REF!+'Asia-Pacific'!#REF!+'Rest of world'!#REF!</f>
        <v>#REF!</v>
      </c>
      <c r="AO12" s="26" t="e">
        <f>Europe!#REF!+'Asia-Pacific'!#REF!+'Rest of world'!#REF!+'North America'!#REF!+'Latin America'!#REF!</f>
        <v>#REF!</v>
      </c>
      <c r="AP12" s="26">
        <f>Europe!AF12+'Asia-Pacific'!AF12+'Rest of world'!AF12+'North America'!AF12+'Latin America'!AF12</f>
        <v>0</v>
      </c>
      <c r="AQ12" s="23">
        <f t="shared" si="27"/>
        <v>0</v>
      </c>
      <c r="AR12" s="112" t="e">
        <f>'North America'!#REF!+Europe!#REF!+'Asia-Pacific'!#REF!+'Rest of world'!#REF!</f>
        <v>#REF!</v>
      </c>
      <c r="AS12" s="26" t="e">
        <f>Europe!#REF!+'Asia-Pacific'!#REF!+'Rest of world'!#REF!+'North America'!#REF!+'Latin America'!#REF!</f>
        <v>#REF!</v>
      </c>
      <c r="AT12" s="26">
        <f>Europe!AJ12+'Asia-Pacific'!AJ12+'Rest of world'!AJ12+'North America'!AJ12+'Latin America'!AJ12</f>
        <v>0</v>
      </c>
      <c r="AU12" s="23">
        <f t="shared" si="28"/>
        <v>0</v>
      </c>
      <c r="AV12" s="112" t="e">
        <f>'North America'!#REF!+Europe!#REF!+'Asia-Pacific'!#REF!+'Rest of world'!#REF!</f>
        <v>#REF!</v>
      </c>
      <c r="AW12" s="26" t="e">
        <f>Europe!#REF!+'Asia-Pacific'!#REF!+'Rest of world'!#REF!+'North America'!#REF!+'Latin America'!#REF!</f>
        <v>#REF!</v>
      </c>
      <c r="AX12" s="26">
        <f>Europe!AN12+'Asia-Pacific'!AN12+'Rest of world'!AN12+'North America'!AN12+'Latin America'!AN12</f>
        <v>0</v>
      </c>
      <c r="AY12" s="23">
        <f t="shared" si="29"/>
        <v>0</v>
      </c>
      <c r="AZ12" s="112" t="e">
        <f>'North America'!#REF!+Europe!#REF!+'Asia-Pacific'!#REF!+'Rest of world'!#REF!</f>
        <v>#REF!</v>
      </c>
      <c r="BA12" s="26" t="e">
        <f>Europe!#REF!+'Asia-Pacific'!#REF!+'Rest of world'!#REF!+'North America'!#REF!+'Latin America'!#REF!</f>
        <v>#REF!</v>
      </c>
      <c r="BB12" s="26">
        <f>Europe!AR12+'Asia-Pacific'!AR12+'Rest of world'!AR12+'North America'!AR12+'Latin America'!AR12</f>
        <v>0</v>
      </c>
      <c r="BC12" s="23">
        <f t="shared" si="30"/>
        <v>0</v>
      </c>
      <c r="BD12" s="112" t="e">
        <f>'North America'!#REF!+Europe!#REF!+'Asia-Pacific'!#REF!+'Rest of world'!#REF!</f>
        <v>#REF!</v>
      </c>
      <c r="BE12" s="26" t="e">
        <f>Europe!#REF!+'Asia-Pacific'!#REF!+'Rest of world'!#REF!+'North America'!#REF!+'Latin America'!#REF!</f>
        <v>#REF!</v>
      </c>
      <c r="BF12" s="26">
        <f>Europe!AV12+'Asia-Pacific'!AV12+'Rest of world'!AV12+'North America'!AV12+'Latin America'!AV12</f>
        <v>0</v>
      </c>
      <c r="BG12" s="23">
        <f t="shared" si="31"/>
        <v>0</v>
      </c>
      <c r="BH12" s="112" t="e">
        <f>'North America'!#REF!+Europe!#REF!+'Asia-Pacific'!#REF!+'Rest of world'!#REF!</f>
        <v>#REF!</v>
      </c>
      <c r="BI12" s="26" t="e">
        <f>Europe!#REF!+'Asia-Pacific'!#REF!+'Rest of world'!#REF!+'North America'!#REF!+'Latin America'!#REF!</f>
        <v>#REF!</v>
      </c>
      <c r="BK12" s="240">
        <f t="shared" si="5"/>
        <v>0</v>
      </c>
      <c r="BL12" s="241" t="e">
        <f t="shared" si="6"/>
        <v>#REF!</v>
      </c>
      <c r="BM12" s="240">
        <f t="shared" si="7"/>
        <v>0</v>
      </c>
      <c r="BN12" s="241" t="e">
        <f t="shared" si="8"/>
        <v>#REF!</v>
      </c>
      <c r="BO12" s="240">
        <f t="shared" si="9"/>
        <v>0</v>
      </c>
      <c r="BP12" s="241" t="e">
        <f t="shared" si="10"/>
        <v>#REF!</v>
      </c>
      <c r="BQ12" s="201">
        <f t="shared" si="11"/>
        <v>0</v>
      </c>
      <c r="BR12" s="204" t="e">
        <f t="shared" si="12"/>
        <v>#REF!</v>
      </c>
      <c r="BS12" s="240">
        <f t="shared" si="37"/>
        <v>0</v>
      </c>
      <c r="BT12" s="253" t="e">
        <f t="shared" si="32"/>
        <v>#REF!</v>
      </c>
      <c r="BU12" s="246" t="e">
        <f t="shared" si="13"/>
        <v>#REF!</v>
      </c>
      <c r="BV12" s="201">
        <f t="shared" si="14"/>
        <v>0</v>
      </c>
      <c r="BW12" s="2"/>
      <c r="BX12" s="33">
        <f t="shared" si="33"/>
        <v>0</v>
      </c>
      <c r="BY12" s="113" t="e">
        <f t="shared" si="34"/>
        <v>#REF!</v>
      </c>
      <c r="CA12" s="27">
        <f>+Domestic!B12</f>
        <v>4356</v>
      </c>
      <c r="CB12" s="113" t="e">
        <f>+Domestic!#REF!</f>
        <v>#REF!</v>
      </c>
      <c r="CD12" s="27">
        <f t="shared" si="35"/>
        <v>4356</v>
      </c>
      <c r="CE12" s="113" t="e">
        <f t="shared" si="36"/>
        <v>#REF!</v>
      </c>
      <c r="DJ12" s="210">
        <v>5208</v>
      </c>
      <c r="DK12" s="212">
        <v>2249.7716973886327</v>
      </c>
      <c r="DL12" s="200">
        <v>9.675275000000001</v>
      </c>
      <c r="DM12" s="213">
        <v>52.729737500000006</v>
      </c>
      <c r="DN12" s="201">
        <f t="shared" si="15"/>
        <v>-5208</v>
      </c>
      <c r="DO12" s="204">
        <f t="shared" si="16"/>
        <v>-2249.7716973886327</v>
      </c>
      <c r="DP12" s="204" t="e">
        <f t="shared" si="17"/>
        <v>#REF!</v>
      </c>
    </row>
    <row r="13" spans="1:122" ht="12.6" customHeight="1">
      <c r="A13" s="35" t="s">
        <v>48</v>
      </c>
      <c r="B13" s="135"/>
      <c r="C13" s="135"/>
      <c r="D13" s="135"/>
      <c r="E13" s="157"/>
      <c r="F13" s="149"/>
      <c r="G13" s="151"/>
      <c r="H13" s="135"/>
      <c r="I13" s="150">
        <f t="shared" si="18"/>
        <v>0</v>
      </c>
      <c r="J13" s="27">
        <f t="shared" si="19"/>
        <v>2250</v>
      </c>
      <c r="K13" s="23">
        <f t="shared" si="20"/>
        <v>0</v>
      </c>
      <c r="L13" s="112" t="e">
        <f t="shared" si="21"/>
        <v>#REF!</v>
      </c>
      <c r="M13" s="113" t="e">
        <f t="shared" si="21"/>
        <v>#REF!</v>
      </c>
      <c r="N13" s="26">
        <f>Europe!D13+'Asia-Pacific'!D13+'Rest of world'!D13+'North America'!D13+'Latin America'!D13</f>
        <v>108</v>
      </c>
      <c r="O13" s="23">
        <f t="shared" si="3"/>
        <v>0</v>
      </c>
      <c r="P13" s="112" t="e">
        <f>'North America'!#REF!+Europe!#REF!+'Asia-Pacific'!#REF!+'Rest of world'!#REF!</f>
        <v>#REF!</v>
      </c>
      <c r="Q13" s="26" t="e">
        <f>Europe!#REF!+'Asia-Pacific'!#REF!+'Rest of world'!#REF!+'North America'!#REF!+'Latin America'!#REF!</f>
        <v>#REF!</v>
      </c>
      <c r="R13" s="26">
        <f>Europe!H13+'Asia-Pacific'!H13+'Rest of world'!H13+'North America'!H13+'Latin America'!H13</f>
        <v>203</v>
      </c>
      <c r="S13" s="23">
        <f t="shared" si="4"/>
        <v>0</v>
      </c>
      <c r="T13" s="112" t="e">
        <f>'North America'!#REF!+Europe!#REF!+'Asia-Pacific'!#REF!+'Rest of world'!#REF!</f>
        <v>#REF!</v>
      </c>
      <c r="U13" s="26" t="e">
        <f>Europe!#REF!+'Asia-Pacific'!#REF!+'Rest of world'!#REF!+'North America'!#REF!+'Latin America'!#REF!</f>
        <v>#REF!</v>
      </c>
      <c r="V13" s="26">
        <f>Europe!L13+'Asia-Pacific'!L13+'Rest of world'!L13+'North America'!L13+'Latin America'!L13</f>
        <v>85</v>
      </c>
      <c r="W13" s="23">
        <f t="shared" si="22"/>
        <v>0</v>
      </c>
      <c r="X13" s="112" t="e">
        <f>'North America'!#REF!+Europe!#REF!+'Asia-Pacific'!#REF!+'Rest of world'!#REF!</f>
        <v>#REF!</v>
      </c>
      <c r="Y13" s="26" t="e">
        <f>Europe!#REF!+'Asia-Pacific'!#REF!+'Rest of world'!#REF!+'North America'!#REF!+'Latin America'!#REF!</f>
        <v>#REF!</v>
      </c>
      <c r="Z13" s="26">
        <f>Europe!P13+'Asia-Pacific'!P13+'Rest of world'!P13+'North America'!P13+'Latin America'!P13</f>
        <v>299</v>
      </c>
      <c r="AA13" s="23">
        <f t="shared" si="23"/>
        <v>0</v>
      </c>
      <c r="AB13" s="112" t="e">
        <f>'North America'!#REF!+Europe!#REF!+'Asia-Pacific'!#REF!+'Rest of world'!#REF!</f>
        <v>#REF!</v>
      </c>
      <c r="AC13" s="26" t="e">
        <f>Europe!#REF!+'Asia-Pacific'!#REF!+'Rest of world'!#REF!+'North America'!#REF!+'Latin America'!#REF!</f>
        <v>#REF!</v>
      </c>
      <c r="AD13" s="26">
        <f>Europe!T13+'Asia-Pacific'!T13+'Rest of world'!T13+'North America'!T13+'Latin America'!T13</f>
        <v>153</v>
      </c>
      <c r="AE13" s="23">
        <f t="shared" si="24"/>
        <v>26758169.934640523</v>
      </c>
      <c r="AF13" s="112">
        <f>'North America'!V13+Europe!V13+'Asia-Pacific'!V13+'Rest of world'!V13</f>
        <v>4094</v>
      </c>
      <c r="AG13" s="26">
        <f>Europe!W13+'Asia-Pacific'!W13+'Rest of world'!W13+'North America'!W13+'Latin America'!W13</f>
        <v>0.437708814</v>
      </c>
      <c r="AH13" s="26">
        <f>Europe!X13+'Asia-Pacific'!X13+'Rest of world'!X13+'North America'!X13+'Latin America'!X13</f>
        <v>227</v>
      </c>
      <c r="AI13" s="23">
        <f t="shared" si="25"/>
        <v>0</v>
      </c>
      <c r="AJ13" s="112" t="e">
        <f>'North America'!Z13+Europe!Z13+'Asia-Pacific'!Z13+'Rest of world'!#REF!</f>
        <v>#REF!</v>
      </c>
      <c r="AK13" s="26">
        <f>Europe!AA13+'Asia-Pacific'!AA13+'Rest of world'!AA13+'North America'!AA13+'Latin America'!AA13</f>
        <v>0.27931299000000004</v>
      </c>
      <c r="AL13" s="26">
        <f>Europe!AB13+'Asia-Pacific'!AB13+'Rest of world'!AB13+'North America'!AB13+'Latin America'!AB13</f>
        <v>205</v>
      </c>
      <c r="AM13" s="23">
        <f t="shared" si="26"/>
        <v>0</v>
      </c>
      <c r="AN13" s="112" t="e">
        <f>'North America'!#REF!+Europe!#REF!+'Asia-Pacific'!#REF!+'Rest of world'!#REF!</f>
        <v>#REF!</v>
      </c>
      <c r="AO13" s="26" t="e">
        <f>Europe!#REF!+'Asia-Pacific'!#REF!+'Rest of world'!#REF!+'North America'!#REF!+'Latin America'!#REF!</f>
        <v>#REF!</v>
      </c>
      <c r="AP13" s="26">
        <f>Europe!AF13+'Asia-Pacific'!AF13+'Rest of world'!AF13+'North America'!AF13+'Latin America'!AF13</f>
        <v>207</v>
      </c>
      <c r="AQ13" s="23">
        <f t="shared" si="27"/>
        <v>0</v>
      </c>
      <c r="AR13" s="112" t="e">
        <f>'North America'!#REF!+Europe!#REF!+'Asia-Pacific'!#REF!+'Rest of world'!#REF!</f>
        <v>#REF!</v>
      </c>
      <c r="AS13" s="26" t="e">
        <f>Europe!#REF!+'Asia-Pacific'!#REF!+'Rest of world'!#REF!+'North America'!#REF!+'Latin America'!#REF!</f>
        <v>#REF!</v>
      </c>
      <c r="AT13" s="26">
        <f>Europe!AJ13+'Asia-Pacific'!AJ13+'Rest of world'!AJ13+'North America'!AJ13+'Latin America'!AJ13</f>
        <v>129</v>
      </c>
      <c r="AU13" s="23">
        <f t="shared" si="28"/>
        <v>0</v>
      </c>
      <c r="AV13" s="112" t="e">
        <f>'North America'!#REF!+Europe!#REF!+'Asia-Pacific'!#REF!+'Rest of world'!#REF!</f>
        <v>#REF!</v>
      </c>
      <c r="AW13" s="26" t="e">
        <f>Europe!#REF!+'Asia-Pacific'!#REF!+'Rest of world'!#REF!+'North America'!#REF!+'Latin America'!#REF!</f>
        <v>#REF!</v>
      </c>
      <c r="AX13" s="26">
        <f>Europe!AN13+'Asia-Pacific'!AN13+'Rest of world'!AN13+'North America'!AN13+'Latin America'!AN13</f>
        <v>203</v>
      </c>
      <c r="AY13" s="23">
        <f t="shared" si="29"/>
        <v>0</v>
      </c>
      <c r="AZ13" s="112" t="e">
        <f>'North America'!#REF!+Europe!#REF!+'Asia-Pacific'!#REF!+'Rest of world'!#REF!</f>
        <v>#REF!</v>
      </c>
      <c r="BA13" s="26" t="e">
        <f>Europe!#REF!+'Asia-Pacific'!#REF!+'Rest of world'!#REF!+'North America'!#REF!+'Latin America'!#REF!</f>
        <v>#REF!</v>
      </c>
      <c r="BB13" s="26">
        <f>Europe!AR13+'Asia-Pacific'!AR13+'Rest of world'!AR13+'North America'!AR13+'Latin America'!AR13</f>
        <v>259</v>
      </c>
      <c r="BC13" s="23">
        <f t="shared" si="30"/>
        <v>0</v>
      </c>
      <c r="BD13" s="112" t="e">
        <f>'North America'!#REF!+Europe!#REF!+'Asia-Pacific'!#REF!+'Rest of world'!#REF!</f>
        <v>#REF!</v>
      </c>
      <c r="BE13" s="26" t="e">
        <f>Europe!#REF!+'Asia-Pacific'!#REF!+'Rest of world'!#REF!+'North America'!#REF!+'Latin America'!#REF!</f>
        <v>#REF!</v>
      </c>
      <c r="BF13" s="26">
        <f>Europe!AV13+'Asia-Pacific'!AV13+'Rest of world'!AV13+'North America'!AV13+'Latin America'!AV13</f>
        <v>172</v>
      </c>
      <c r="BG13" s="23">
        <f t="shared" si="31"/>
        <v>0</v>
      </c>
      <c r="BH13" s="112" t="e">
        <f>'North America'!#REF!+Europe!#REF!+'Asia-Pacific'!#REF!+'Rest of world'!#REF!</f>
        <v>#REF!</v>
      </c>
      <c r="BI13" s="26" t="e">
        <f>Europe!#REF!+'Asia-Pacific'!#REF!+'Rest of world'!#REF!+'North America'!#REF!+'Latin America'!#REF!</f>
        <v>#REF!</v>
      </c>
      <c r="BK13" s="240">
        <f t="shared" si="5"/>
        <v>396</v>
      </c>
      <c r="BL13" s="241" t="e">
        <f t="shared" si="6"/>
        <v>#REF!</v>
      </c>
      <c r="BM13" s="240">
        <f t="shared" si="7"/>
        <v>679</v>
      </c>
      <c r="BN13" s="241" t="e">
        <f t="shared" si="8"/>
        <v>#REF!</v>
      </c>
      <c r="BO13" s="240">
        <f t="shared" si="9"/>
        <v>541</v>
      </c>
      <c r="BP13" s="241" t="e">
        <f t="shared" si="10"/>
        <v>#REF!</v>
      </c>
      <c r="BQ13" s="201">
        <f t="shared" si="11"/>
        <v>634</v>
      </c>
      <c r="BR13" s="204" t="e">
        <f t="shared" si="12"/>
        <v>#REF!</v>
      </c>
      <c r="BS13" s="240">
        <f t="shared" si="37"/>
        <v>2250</v>
      </c>
      <c r="BT13" s="253" t="e">
        <f t="shared" si="32"/>
        <v>#REF!</v>
      </c>
      <c r="BU13" s="246" t="e">
        <f t="shared" si="13"/>
        <v>#REF!</v>
      </c>
      <c r="BV13" s="201">
        <f t="shared" si="14"/>
        <v>0</v>
      </c>
      <c r="BW13" s="2"/>
      <c r="BX13" s="33">
        <f t="shared" si="33"/>
        <v>2250</v>
      </c>
      <c r="BY13" s="113" t="e">
        <f t="shared" si="34"/>
        <v>#REF!</v>
      </c>
      <c r="CA13" s="27">
        <f>+Domestic!B13</f>
        <v>600</v>
      </c>
      <c r="CB13" s="113" t="e">
        <f>+Domestic!#REF!</f>
        <v>#REF!</v>
      </c>
      <c r="CD13" s="27">
        <f t="shared" si="35"/>
        <v>2850</v>
      </c>
      <c r="CE13" s="113" t="e">
        <f t="shared" si="36"/>
        <v>#REF!</v>
      </c>
      <c r="DJ13" s="214">
        <v>3000</v>
      </c>
      <c r="DK13" s="212">
        <v>2200</v>
      </c>
      <c r="DL13" s="215">
        <v>6.6</v>
      </c>
      <c r="DM13" s="213">
        <v>29.7</v>
      </c>
      <c r="DN13" s="201">
        <f t="shared" si="15"/>
        <v>-750</v>
      </c>
      <c r="DO13" s="201">
        <f t="shared" si="16"/>
        <v>-2200</v>
      </c>
      <c r="DP13" s="204" t="e">
        <f t="shared" si="17"/>
        <v>#REF!</v>
      </c>
    </row>
    <row r="14" spans="1:122" ht="12.6" customHeight="1">
      <c r="A14" s="35" t="s">
        <v>49</v>
      </c>
      <c r="B14" s="135"/>
      <c r="C14" s="135"/>
      <c r="D14" s="135"/>
      <c r="E14" s="157"/>
      <c r="F14" s="149"/>
      <c r="G14" s="151"/>
      <c r="H14" s="135"/>
      <c r="I14" s="150">
        <f t="shared" si="18"/>
        <v>0</v>
      </c>
      <c r="J14" s="27">
        <f t="shared" si="19"/>
        <v>1200</v>
      </c>
      <c r="K14" s="23">
        <f t="shared" si="20"/>
        <v>0</v>
      </c>
      <c r="L14" s="112" t="e">
        <f t="shared" si="21"/>
        <v>#REF!</v>
      </c>
      <c r="M14" s="113" t="e">
        <f t="shared" si="21"/>
        <v>#REF!</v>
      </c>
      <c r="N14" s="26">
        <f>Europe!D14+'Asia-Pacific'!D14+'Rest of world'!D14+'North America'!D14+'Latin America'!D14</f>
        <v>0</v>
      </c>
      <c r="O14" s="23">
        <f t="shared" si="3"/>
        <v>0</v>
      </c>
      <c r="P14" s="112" t="e">
        <f>'North America'!#REF!+Europe!#REF!+'Asia-Pacific'!#REF!+'Rest of world'!#REF!</f>
        <v>#REF!</v>
      </c>
      <c r="Q14" s="26" t="e">
        <f>Europe!#REF!+'Asia-Pacific'!#REF!+'Rest of world'!#REF!+'North America'!#REF!+'Latin America'!#REF!</f>
        <v>#REF!</v>
      </c>
      <c r="R14" s="26">
        <f>Europe!H14+'Asia-Pacific'!H14+'Rest of world'!H14+'North America'!H14+'Latin America'!H14</f>
        <v>0</v>
      </c>
      <c r="S14" s="23">
        <f t="shared" si="4"/>
        <v>0</v>
      </c>
      <c r="T14" s="112" t="e">
        <f>'North America'!#REF!+Europe!#REF!+'Asia-Pacific'!#REF!+'Rest of world'!#REF!</f>
        <v>#REF!</v>
      </c>
      <c r="U14" s="26" t="e">
        <f>Europe!#REF!+'Asia-Pacific'!#REF!+'Rest of world'!#REF!+'North America'!#REF!+'Latin America'!#REF!</f>
        <v>#REF!</v>
      </c>
      <c r="V14" s="26">
        <f>Europe!L14+'Asia-Pacific'!L14+'Rest of world'!L14+'North America'!L14+'Latin America'!L14</f>
        <v>0</v>
      </c>
      <c r="W14" s="23">
        <f t="shared" si="22"/>
        <v>0</v>
      </c>
      <c r="X14" s="112" t="e">
        <f>'North America'!#REF!+Europe!#REF!+'Asia-Pacific'!#REF!+'Rest of world'!#REF!</f>
        <v>#REF!</v>
      </c>
      <c r="Y14" s="26" t="e">
        <f>Europe!#REF!+'Asia-Pacific'!#REF!+'Rest of world'!#REF!+'North America'!#REF!+'Latin America'!#REF!</f>
        <v>#REF!</v>
      </c>
      <c r="Z14" s="26">
        <f>Europe!P14+'Asia-Pacific'!P14+'Rest of world'!P14+'North America'!P14+'Latin America'!P14</f>
        <v>0</v>
      </c>
      <c r="AA14" s="23">
        <f t="shared" si="23"/>
        <v>0</v>
      </c>
      <c r="AB14" s="112" t="e">
        <f>'North America'!#REF!+Europe!#REF!+'Asia-Pacific'!#REF!+'Rest of world'!#REF!</f>
        <v>#REF!</v>
      </c>
      <c r="AC14" s="26" t="e">
        <f>Europe!#REF!+'Asia-Pacific'!#REF!+'Rest of world'!#REF!+'North America'!#REF!+'Latin America'!#REF!</f>
        <v>#REF!</v>
      </c>
      <c r="AD14" s="26">
        <f>Europe!T14+'Asia-Pacific'!T14+'Rest of world'!T14+'North America'!T14+'Latin America'!T14</f>
        <v>100</v>
      </c>
      <c r="AE14" s="23">
        <f t="shared" si="24"/>
        <v>0</v>
      </c>
      <c r="AF14" s="112">
        <f>'North America'!V14+Europe!V14+'Asia-Pacific'!V14+'Rest of world'!V14</f>
        <v>0</v>
      </c>
      <c r="AG14" s="26">
        <f>Europe!W14+'Asia-Pacific'!W14+'Rest of world'!W14+'North America'!W14+'Latin America'!W14</f>
        <v>0.15567918</v>
      </c>
      <c r="AH14" s="26">
        <f>Europe!X14+'Asia-Pacific'!X14+'Rest of world'!X14+'North America'!X14+'Latin America'!X14</f>
        <v>100</v>
      </c>
      <c r="AI14" s="23">
        <f t="shared" si="25"/>
        <v>0</v>
      </c>
      <c r="AJ14" s="112" t="e">
        <f>'North America'!Z14+Europe!Z14+'Asia-Pacific'!Z14+'Rest of world'!#REF!</f>
        <v>#REF!</v>
      </c>
      <c r="AK14" s="26">
        <f>Europe!AA14+'Asia-Pacific'!AA14+'Rest of world'!AA14+'North America'!AA14+'Latin America'!AA14</f>
        <v>0</v>
      </c>
      <c r="AL14" s="26">
        <f>Europe!AB14+'Asia-Pacific'!AB14+'Rest of world'!AB14+'North America'!AB14+'Latin America'!AB14</f>
        <v>100</v>
      </c>
      <c r="AM14" s="23">
        <f t="shared" si="26"/>
        <v>0</v>
      </c>
      <c r="AN14" s="112" t="e">
        <f>'North America'!#REF!+Europe!#REF!+'Asia-Pacific'!#REF!+'Rest of world'!#REF!</f>
        <v>#REF!</v>
      </c>
      <c r="AO14" s="26" t="e">
        <f>Europe!#REF!+'Asia-Pacific'!#REF!+'Rest of world'!#REF!+'North America'!#REF!+'Latin America'!#REF!</f>
        <v>#REF!</v>
      </c>
      <c r="AP14" s="26">
        <f>Europe!AF14+'Asia-Pacific'!AF14+'Rest of world'!AF14+'North America'!AF14+'Latin America'!AF14</f>
        <v>100</v>
      </c>
      <c r="AQ14" s="23">
        <f t="shared" si="27"/>
        <v>0</v>
      </c>
      <c r="AR14" s="112" t="e">
        <f>'North America'!#REF!+Europe!#REF!+'Asia-Pacific'!#REF!+'Rest of world'!#REF!</f>
        <v>#REF!</v>
      </c>
      <c r="AS14" s="26" t="e">
        <f>Europe!#REF!+'Asia-Pacific'!#REF!+'Rest of world'!#REF!+'North America'!#REF!+'Latin America'!#REF!</f>
        <v>#REF!</v>
      </c>
      <c r="AT14" s="26">
        <f>Europe!AJ14+'Asia-Pacific'!AJ14+'Rest of world'!AJ14+'North America'!AJ14+'Latin America'!AJ14</f>
        <v>200</v>
      </c>
      <c r="AU14" s="23">
        <f t="shared" si="28"/>
        <v>0</v>
      </c>
      <c r="AV14" s="112" t="e">
        <f>'North America'!#REF!+Europe!#REF!+'Asia-Pacific'!#REF!+'Rest of world'!#REF!</f>
        <v>#REF!</v>
      </c>
      <c r="AW14" s="26" t="e">
        <f>Europe!#REF!+'Asia-Pacific'!#REF!+'Rest of world'!#REF!+'North America'!#REF!+'Latin America'!#REF!</f>
        <v>#REF!</v>
      </c>
      <c r="AX14" s="26">
        <f>Europe!AN14+'Asia-Pacific'!AN14+'Rest of world'!AN14+'North America'!AN14+'Latin America'!AN14</f>
        <v>200</v>
      </c>
      <c r="AY14" s="23">
        <f t="shared" si="29"/>
        <v>0</v>
      </c>
      <c r="AZ14" s="112" t="e">
        <f>'North America'!#REF!+Europe!#REF!+'Asia-Pacific'!#REF!+'Rest of world'!#REF!</f>
        <v>#REF!</v>
      </c>
      <c r="BA14" s="26" t="e">
        <f>Europe!#REF!+'Asia-Pacific'!#REF!+'Rest of world'!#REF!+'North America'!#REF!+'Latin America'!#REF!</f>
        <v>#REF!</v>
      </c>
      <c r="BB14" s="26">
        <f>Europe!AR14+'Asia-Pacific'!AR14+'Rest of world'!AR14+'North America'!AR14+'Latin America'!AR14</f>
        <v>200</v>
      </c>
      <c r="BC14" s="23">
        <f t="shared" si="30"/>
        <v>0</v>
      </c>
      <c r="BD14" s="112" t="e">
        <f>'North America'!#REF!+Europe!#REF!+'Asia-Pacific'!#REF!+'Rest of world'!#REF!</f>
        <v>#REF!</v>
      </c>
      <c r="BE14" s="26" t="e">
        <f>Europe!#REF!+'Asia-Pacific'!#REF!+'Rest of world'!#REF!+'North America'!#REF!+'Latin America'!#REF!</f>
        <v>#REF!</v>
      </c>
      <c r="BF14" s="26">
        <f>Europe!AV14+'Asia-Pacific'!AV14+'Rest of world'!AV14+'North America'!AV14+'Latin America'!AV14</f>
        <v>200</v>
      </c>
      <c r="BG14" s="23">
        <f t="shared" si="31"/>
        <v>0</v>
      </c>
      <c r="BH14" s="112" t="e">
        <f>'North America'!#REF!+Europe!#REF!+'Asia-Pacific'!#REF!+'Rest of world'!#REF!</f>
        <v>#REF!</v>
      </c>
      <c r="BI14" s="26" t="e">
        <f>Europe!#REF!+'Asia-Pacific'!#REF!+'Rest of world'!#REF!+'North America'!#REF!+'Latin America'!#REF!</f>
        <v>#REF!</v>
      </c>
      <c r="BK14" s="240">
        <f t="shared" si="5"/>
        <v>0</v>
      </c>
      <c r="BL14" s="241" t="e">
        <f t="shared" si="6"/>
        <v>#REF!</v>
      </c>
      <c r="BM14" s="240">
        <f t="shared" si="7"/>
        <v>200</v>
      </c>
      <c r="BN14" s="241" t="e">
        <f t="shared" si="8"/>
        <v>#REF!</v>
      </c>
      <c r="BO14" s="240">
        <f t="shared" si="9"/>
        <v>400</v>
      </c>
      <c r="BP14" s="241" t="e">
        <f t="shared" si="10"/>
        <v>#REF!</v>
      </c>
      <c r="BQ14" s="201">
        <f t="shared" si="11"/>
        <v>600</v>
      </c>
      <c r="BR14" s="204" t="e">
        <f t="shared" si="12"/>
        <v>#REF!</v>
      </c>
      <c r="BS14" s="240">
        <f t="shared" si="37"/>
        <v>1200</v>
      </c>
      <c r="BT14" s="253" t="e">
        <f t="shared" si="32"/>
        <v>#REF!</v>
      </c>
      <c r="BU14" s="246" t="e">
        <f t="shared" si="13"/>
        <v>#REF!</v>
      </c>
      <c r="BV14" s="201">
        <f t="shared" si="14"/>
        <v>0</v>
      </c>
      <c r="BW14" s="2"/>
      <c r="BX14" s="33">
        <f t="shared" si="33"/>
        <v>1200</v>
      </c>
      <c r="BY14" s="113" t="e">
        <f t="shared" si="34"/>
        <v>#REF!</v>
      </c>
      <c r="CA14" s="27">
        <f>+Domestic!B14</f>
        <v>0</v>
      </c>
      <c r="CB14" s="113" t="e">
        <f>+Domestic!#REF!</f>
        <v>#REF!</v>
      </c>
      <c r="CD14" s="27">
        <f t="shared" si="35"/>
        <v>1200</v>
      </c>
      <c r="CE14" s="113" t="e">
        <f t="shared" si="36"/>
        <v>#REF!</v>
      </c>
      <c r="DJ14" s="210">
        <v>1300</v>
      </c>
      <c r="DK14" s="211">
        <v>3700.3353846153841</v>
      </c>
      <c r="DL14" s="200">
        <v>4.8104359999999993</v>
      </c>
      <c r="DM14" s="209">
        <v>21.646962000000006</v>
      </c>
      <c r="DN14" s="201">
        <f t="shared" si="15"/>
        <v>-100</v>
      </c>
      <c r="DO14" s="201">
        <f t="shared" si="16"/>
        <v>-3700.3353846153841</v>
      </c>
      <c r="DP14" s="204" t="e">
        <f t="shared" si="17"/>
        <v>#REF!</v>
      </c>
    </row>
    <row r="15" spans="1:122" ht="12.6" customHeight="1">
      <c r="A15" s="35" t="s">
        <v>47</v>
      </c>
      <c r="B15" s="135"/>
      <c r="C15" s="135"/>
      <c r="D15" s="135"/>
      <c r="E15" s="157"/>
      <c r="F15" s="149"/>
      <c r="G15" s="151"/>
      <c r="H15" s="135"/>
      <c r="I15" s="150"/>
      <c r="J15" s="27">
        <f t="shared" ref="J15:J17" si="38">N15+R15+V15+Z15+AD15+AH15+AL15+AP15+AT15+AX15+BB15+BF15</f>
        <v>4085</v>
      </c>
      <c r="K15" s="23">
        <f t="shared" ref="K15:K17" si="39">IF(ISERROR(L15/J15*1000000),0,(L15/J15*1000000))</f>
        <v>0</v>
      </c>
      <c r="L15" s="112" t="e">
        <f t="shared" ref="L15:L17" si="40">P15+T15+X15+AB15+AF15+AJ15+AN15+AR15+AV15+AZ15+BD15+BH15</f>
        <v>#REF!</v>
      </c>
      <c r="M15" s="113" t="e">
        <f t="shared" ref="M15:M17" si="41">Q15+U15+Y15+AC15+AG15+AK15+AO15+AS15+AW15+BA15+BE15+BI15</f>
        <v>#REF!</v>
      </c>
      <c r="N15" s="26">
        <f>Europe!D15+'Asia-Pacific'!D15+'Rest of world'!D15+'North America'!D15+'Latin America'!D15</f>
        <v>369</v>
      </c>
      <c r="O15" s="23">
        <f t="shared" ref="O15:O17" si="42">IF(ISERROR(P15/N15*1000000),0,(P15/N15*1000000))</f>
        <v>0</v>
      </c>
      <c r="P15" s="112" t="e">
        <f>'North America'!#REF!+Europe!#REF!+'Asia-Pacific'!#REF!+'Rest of world'!#REF!</f>
        <v>#REF!</v>
      </c>
      <c r="Q15" s="26" t="e">
        <f>Europe!#REF!+'Asia-Pacific'!#REF!+'Rest of world'!#REF!+'North America'!#REF!+'Latin America'!#REF!</f>
        <v>#REF!</v>
      </c>
      <c r="R15" s="26">
        <f>Europe!H15+'Asia-Pacific'!H15+'Rest of world'!H15+'North America'!H15+'Latin America'!H15</f>
        <v>308</v>
      </c>
      <c r="S15" s="23">
        <f t="shared" ref="S15:S17" si="43">IF(ISERROR(T15/R15*1000000),0,(T15/R15*1000000))</f>
        <v>0</v>
      </c>
      <c r="T15" s="112" t="e">
        <f>'North America'!#REF!+Europe!#REF!+'Asia-Pacific'!#REF!+'Rest of world'!#REF!</f>
        <v>#REF!</v>
      </c>
      <c r="U15" s="26" t="e">
        <f>Europe!#REF!+'Asia-Pacific'!#REF!+'Rest of world'!#REF!+'North America'!#REF!+'Latin America'!#REF!</f>
        <v>#REF!</v>
      </c>
      <c r="V15" s="26">
        <f>Europe!L15+'Asia-Pacific'!L15+'Rest of world'!L15+'North America'!L15+'Latin America'!L15</f>
        <v>375</v>
      </c>
      <c r="W15" s="23">
        <f t="shared" ref="W15:W17" si="44">IF(ISERROR(X15/V15*1000000),0,(X15/V15*1000000))</f>
        <v>0</v>
      </c>
      <c r="X15" s="112" t="e">
        <f>'North America'!#REF!+Europe!#REF!+'Asia-Pacific'!#REF!+'Rest of world'!#REF!</f>
        <v>#REF!</v>
      </c>
      <c r="Y15" s="26" t="e">
        <f>Europe!#REF!+'Asia-Pacific'!#REF!+'Rest of world'!#REF!+'North America'!#REF!+'Latin America'!#REF!</f>
        <v>#REF!</v>
      </c>
      <c r="Z15" s="26">
        <f>Europe!P15+'Asia-Pacific'!P15+'Rest of world'!P15+'North America'!P15+'Latin America'!P15</f>
        <v>297</v>
      </c>
      <c r="AA15" s="23">
        <f t="shared" ref="AA15:AA17" si="45">IF(ISERROR(AB15/Z15*1000000),0,(AB15/Z15*1000000))</f>
        <v>0</v>
      </c>
      <c r="AB15" s="112" t="e">
        <f>'North America'!#REF!+Europe!#REF!+'Asia-Pacific'!#REF!+'Rest of world'!#REF!</f>
        <v>#REF!</v>
      </c>
      <c r="AC15" s="26" t="e">
        <f>Europe!#REF!+'Asia-Pacific'!#REF!+'Rest of world'!#REF!+'North America'!#REF!+'Latin America'!#REF!</f>
        <v>#REF!</v>
      </c>
      <c r="AD15" s="26">
        <f>Europe!T15+'Asia-Pacific'!T15+'Rest of world'!T15+'North America'!T15+'Latin America'!T15</f>
        <v>329</v>
      </c>
      <c r="AE15" s="23">
        <f t="shared" ref="AE15:AE17" si="46">IF(ISERROR(AF15/AD15*1000000),0,(AF15/AD15*1000000))</f>
        <v>16221884.498480244</v>
      </c>
      <c r="AF15" s="112">
        <f>'North America'!V15+Europe!V15+'Asia-Pacific'!V15+'Rest of world'!V15</f>
        <v>5337</v>
      </c>
      <c r="AG15" s="26">
        <f>Europe!W15+'Asia-Pacific'!W15+'Rest of world'!W15+'North America'!W15+'Latin America'!W15</f>
        <v>1.6920064632000003</v>
      </c>
      <c r="AH15" s="26">
        <f>Europe!X15+'Asia-Pacific'!X15+'Rest of world'!X15+'North America'!X15+'Latin America'!X15</f>
        <v>362</v>
      </c>
      <c r="AI15" s="23">
        <f t="shared" ref="AI15:AI17" si="47">IF(ISERROR(AJ15/AH15*1000000),0,(AJ15/AH15*1000000))</f>
        <v>0</v>
      </c>
      <c r="AJ15" s="112" t="e">
        <f>'North America'!Z15+Europe!Z15+'Asia-Pacific'!Z15+'Rest of world'!#REF!</f>
        <v>#REF!</v>
      </c>
      <c r="AK15" s="26">
        <f>Europe!AA15+'Asia-Pacific'!AA15+'Rest of world'!AA15+'North America'!AA15+'Latin America'!AA15</f>
        <v>4.8919114369000001</v>
      </c>
      <c r="AL15" s="26">
        <f>Europe!AB15+'Asia-Pacific'!AB15+'Rest of world'!AB15+'North America'!AB15+'Latin America'!AB15</f>
        <v>345</v>
      </c>
      <c r="AM15" s="23">
        <f t="shared" ref="AM15:AM17" si="48">IF(ISERROR(AN15/AL15*1000000),0,(AN15/AL15*1000000))</f>
        <v>0</v>
      </c>
      <c r="AN15" s="112" t="e">
        <f>'North America'!#REF!+Europe!#REF!+'Asia-Pacific'!#REF!+'Rest of world'!#REF!</f>
        <v>#REF!</v>
      </c>
      <c r="AO15" s="26" t="e">
        <f>Europe!#REF!+'Asia-Pacific'!#REF!+'Rest of world'!#REF!+'North America'!#REF!+'Latin America'!#REF!</f>
        <v>#REF!</v>
      </c>
      <c r="AP15" s="26">
        <f>Europe!AF15+'Asia-Pacific'!AF15+'Rest of world'!AF15+'North America'!AF15+'Latin America'!AF15</f>
        <v>301</v>
      </c>
      <c r="AQ15" s="23">
        <f t="shared" ref="AQ15:AQ17" si="49">IF(ISERROR(AR15/AP15*1000000),0,(AR15/AP15*1000000))</f>
        <v>0</v>
      </c>
      <c r="AR15" s="112" t="e">
        <f>'North America'!#REF!+Europe!#REF!+'Asia-Pacific'!#REF!+'Rest of world'!#REF!</f>
        <v>#REF!</v>
      </c>
      <c r="AS15" s="26" t="e">
        <f>Europe!#REF!+'Asia-Pacific'!#REF!+'Rest of world'!#REF!+'North America'!#REF!+'Latin America'!#REF!</f>
        <v>#REF!</v>
      </c>
      <c r="AT15" s="26">
        <f>Europe!AJ15+'Asia-Pacific'!AJ15+'Rest of world'!AJ15+'North America'!AJ15+'Latin America'!AJ15</f>
        <v>380</v>
      </c>
      <c r="AU15" s="23">
        <f t="shared" ref="AU15:AU17" si="50">IF(ISERROR(AV15/AT15*1000000),0,(AV15/AT15*1000000))</f>
        <v>0</v>
      </c>
      <c r="AV15" s="112" t="e">
        <f>'North America'!#REF!+Europe!#REF!+'Asia-Pacific'!#REF!+'Rest of world'!#REF!</f>
        <v>#REF!</v>
      </c>
      <c r="AW15" s="26" t="e">
        <f>Europe!#REF!+'Asia-Pacific'!#REF!+'Rest of world'!#REF!+'North America'!#REF!+'Latin America'!#REF!</f>
        <v>#REF!</v>
      </c>
      <c r="AX15" s="26">
        <f>Europe!AN15+'Asia-Pacific'!AN15+'Rest of world'!AN15+'North America'!AN15+'Latin America'!AN15</f>
        <v>332</v>
      </c>
      <c r="AY15" s="23">
        <f t="shared" ref="AY15:AY17" si="51">IF(ISERROR(AZ15/AX15*1000000),0,(AZ15/AX15*1000000))</f>
        <v>0</v>
      </c>
      <c r="AZ15" s="112" t="e">
        <f>'North America'!#REF!+Europe!#REF!+'Asia-Pacific'!#REF!+'Rest of world'!#REF!</f>
        <v>#REF!</v>
      </c>
      <c r="BA15" s="26" t="e">
        <f>Europe!#REF!+'Asia-Pacific'!#REF!+'Rest of world'!#REF!+'North America'!#REF!+'Latin America'!#REF!</f>
        <v>#REF!</v>
      </c>
      <c r="BB15" s="26">
        <f>Europe!AR15+'Asia-Pacific'!AR15+'Rest of world'!AR15+'North America'!AR15+'Latin America'!AR15</f>
        <v>329</v>
      </c>
      <c r="BC15" s="23">
        <f t="shared" ref="BC15:BC17" si="52">IF(ISERROR(BD15/BB15*1000000),0,(BD15/BB15*1000000))</f>
        <v>0</v>
      </c>
      <c r="BD15" s="112" t="e">
        <f>'North America'!#REF!+Europe!#REF!+'Asia-Pacific'!#REF!+'Rest of world'!#REF!</f>
        <v>#REF!</v>
      </c>
      <c r="BE15" s="26" t="e">
        <f>Europe!#REF!+'Asia-Pacific'!#REF!+'Rest of world'!#REF!+'North America'!#REF!+'Latin America'!#REF!</f>
        <v>#REF!</v>
      </c>
      <c r="BF15" s="26">
        <f>Europe!AV15+'Asia-Pacific'!AV15+'Rest of world'!AV15+'North America'!AV15+'Latin America'!AV15</f>
        <v>358</v>
      </c>
      <c r="BG15" s="23">
        <f t="shared" ref="BG15:BG17" si="53">IF(ISERROR(BH15/BF15*1000000),0,(BH15/BF15*1000000))</f>
        <v>0</v>
      </c>
      <c r="BH15" s="112" t="e">
        <f>'North America'!#REF!+Europe!#REF!+'Asia-Pacific'!#REF!+'Rest of world'!#REF!</f>
        <v>#REF!</v>
      </c>
      <c r="BI15" s="26" t="e">
        <f>Europe!#REF!+'Asia-Pacific'!#REF!+'Rest of world'!#REF!+'North America'!#REF!+'Latin America'!#REF!</f>
        <v>#REF!</v>
      </c>
      <c r="BK15" s="240">
        <f t="shared" ref="BK15:BK17" si="54">N15+R15+V15</f>
        <v>1052</v>
      </c>
      <c r="BL15" s="241" t="e">
        <f t="shared" ref="BL15:BL17" si="55">Q15+U15+Y15</f>
        <v>#REF!</v>
      </c>
      <c r="BM15" s="240">
        <f t="shared" ref="BM15:BM17" si="56">Z15+AD15+AH15</f>
        <v>988</v>
      </c>
      <c r="BN15" s="241" t="e">
        <f t="shared" ref="BN15:BN17" si="57">AC15+AG15+AK15</f>
        <v>#REF!</v>
      </c>
      <c r="BO15" s="240">
        <f t="shared" ref="BO15:BO17" si="58">AL15+AP15+AT15</f>
        <v>1026</v>
      </c>
      <c r="BP15" s="241" t="e">
        <f t="shared" ref="BP15:BP17" si="59">AO15+AS15+AW15</f>
        <v>#REF!</v>
      </c>
      <c r="BQ15" s="201">
        <f t="shared" ref="BQ15:BQ17" si="60">BF15+BB15+AX15</f>
        <v>1019</v>
      </c>
      <c r="BR15" s="204" t="e">
        <f t="shared" ref="BR15:BR17" si="61">BA15+BE15+BI15</f>
        <v>#REF!</v>
      </c>
      <c r="BS15" s="240">
        <f t="shared" ref="BS15:BS17" si="62">BK15+BM15+BO15+BQ15</f>
        <v>4085</v>
      </c>
      <c r="BT15" s="253" t="e">
        <f t="shared" ref="BT15:BT17" si="63">BL15+BN15+BP15+BR15</f>
        <v>#REF!</v>
      </c>
      <c r="BU15" s="246"/>
      <c r="BV15" s="201"/>
      <c r="BW15" s="2"/>
      <c r="BX15" s="33"/>
      <c r="BY15" s="113"/>
      <c r="CA15" s="27"/>
      <c r="CB15" s="113"/>
      <c r="CD15" s="27"/>
      <c r="CE15" s="113"/>
      <c r="DJ15" s="210"/>
      <c r="DK15" s="211"/>
      <c r="DL15" s="200"/>
      <c r="DM15" s="209"/>
      <c r="DN15" s="201"/>
      <c r="DO15" s="201"/>
      <c r="DP15" s="204"/>
    </row>
    <row r="16" spans="1:122" ht="12.6" customHeight="1">
      <c r="A16" s="35" t="s">
        <v>51</v>
      </c>
      <c r="B16" s="135"/>
      <c r="C16" s="135"/>
      <c r="D16" s="135"/>
      <c r="E16" s="157"/>
      <c r="F16" s="149"/>
      <c r="G16" s="151"/>
      <c r="H16" s="135"/>
      <c r="I16" s="150"/>
      <c r="J16" s="27">
        <f t="shared" si="38"/>
        <v>4827</v>
      </c>
      <c r="K16" s="23">
        <f t="shared" si="39"/>
        <v>0</v>
      </c>
      <c r="L16" s="112" t="e">
        <f t="shared" si="40"/>
        <v>#REF!</v>
      </c>
      <c r="M16" s="113" t="e">
        <f t="shared" si="41"/>
        <v>#REF!</v>
      </c>
      <c r="N16" s="26">
        <f>Europe!D16+'Asia-Pacific'!D16+'Rest of world'!D16+'North America'!D16+'Latin America'!D16</f>
        <v>20</v>
      </c>
      <c r="O16" s="23">
        <f t="shared" si="42"/>
        <v>0</v>
      </c>
      <c r="P16" s="112" t="e">
        <f>'North America'!#REF!+Europe!#REF!+'Asia-Pacific'!#REF!+'Rest of world'!#REF!</f>
        <v>#REF!</v>
      </c>
      <c r="Q16" s="26" t="e">
        <f>Europe!#REF!+'Asia-Pacific'!#REF!+'Rest of world'!#REF!+'North America'!#REF!+'Latin America'!#REF!</f>
        <v>#REF!</v>
      </c>
      <c r="R16" s="26">
        <f>Europe!H16+'Asia-Pacific'!H16+'Rest of world'!H16+'North America'!H16+'Latin America'!H16</f>
        <v>287</v>
      </c>
      <c r="S16" s="23">
        <f t="shared" si="43"/>
        <v>0</v>
      </c>
      <c r="T16" s="112" t="e">
        <f>'North America'!#REF!+Europe!#REF!+'Asia-Pacific'!#REF!+'Rest of world'!#REF!</f>
        <v>#REF!</v>
      </c>
      <c r="U16" s="26" t="e">
        <f>Europe!#REF!+'Asia-Pacific'!#REF!+'Rest of world'!#REF!+'North America'!#REF!+'Latin America'!#REF!</f>
        <v>#REF!</v>
      </c>
      <c r="V16" s="26">
        <f>Europe!L16+'Asia-Pacific'!L16+'Rest of world'!L16+'North America'!L16+'Latin America'!L16</f>
        <v>455</v>
      </c>
      <c r="W16" s="23">
        <f t="shared" si="44"/>
        <v>0</v>
      </c>
      <c r="X16" s="112" t="e">
        <f>'North America'!#REF!+Europe!#REF!+'Asia-Pacific'!#REF!+'Rest of world'!#REF!</f>
        <v>#REF!</v>
      </c>
      <c r="Y16" s="26" t="e">
        <f>Europe!#REF!+'Asia-Pacific'!#REF!+'Rest of world'!#REF!+'North America'!#REF!+'Latin America'!#REF!</f>
        <v>#REF!</v>
      </c>
      <c r="Z16" s="26">
        <f>Europe!P16+'Asia-Pacific'!P16+'Rest of world'!P16+'North America'!P16+'Latin America'!P16</f>
        <v>445</v>
      </c>
      <c r="AA16" s="23">
        <f t="shared" si="45"/>
        <v>0</v>
      </c>
      <c r="AB16" s="112" t="e">
        <f>'North America'!#REF!+Europe!#REF!+'Asia-Pacific'!#REF!+'Rest of world'!#REF!</f>
        <v>#REF!</v>
      </c>
      <c r="AC16" s="26" t="e">
        <f>Europe!#REF!+'Asia-Pacific'!#REF!+'Rest of world'!#REF!+'North America'!#REF!+'Latin America'!#REF!</f>
        <v>#REF!</v>
      </c>
      <c r="AD16" s="26">
        <f>Europe!T16+'Asia-Pacific'!T16+'Rest of world'!T16+'North America'!T16+'Latin America'!T16</f>
        <v>475</v>
      </c>
      <c r="AE16" s="23">
        <f t="shared" si="46"/>
        <v>6654736.8421052638</v>
      </c>
      <c r="AF16" s="112">
        <f>'North America'!V16+Europe!V16+'Asia-Pacific'!V16+'Rest of world'!V16</f>
        <v>3161</v>
      </c>
      <c r="AG16" s="26">
        <f>Europe!W16+'Asia-Pacific'!W16+'Rest of world'!W16+'North America'!W16+'Latin America'!W16</f>
        <v>4.7736550830000004</v>
      </c>
      <c r="AH16" s="26">
        <f>Europe!X16+'Asia-Pacific'!X16+'Rest of world'!X16+'North America'!X16+'Latin America'!X16</f>
        <v>440</v>
      </c>
      <c r="AI16" s="23">
        <f t="shared" si="47"/>
        <v>0</v>
      </c>
      <c r="AJ16" s="112" t="e">
        <f>'North America'!Z16+Europe!Z16+'Asia-Pacific'!Z16+'Rest of world'!#REF!</f>
        <v>#REF!</v>
      </c>
      <c r="AK16" s="26">
        <f>Europe!AA16+'Asia-Pacific'!AA16+'Rest of world'!AA16+'North America'!AA16+'Latin America'!AA16</f>
        <v>0.76447579500000007</v>
      </c>
      <c r="AL16" s="26">
        <f>Europe!AB16+'Asia-Pacific'!AB16+'Rest of world'!AB16+'North America'!AB16+'Latin America'!AB16</f>
        <v>450</v>
      </c>
      <c r="AM16" s="23">
        <f t="shared" si="48"/>
        <v>0</v>
      </c>
      <c r="AN16" s="112" t="e">
        <f>'North America'!#REF!+Europe!#REF!+'Asia-Pacific'!#REF!+'Rest of world'!#REF!</f>
        <v>#REF!</v>
      </c>
      <c r="AO16" s="26" t="e">
        <f>Europe!#REF!+'Asia-Pacific'!#REF!+'Rest of world'!#REF!+'North America'!#REF!+'Latin America'!#REF!</f>
        <v>#REF!</v>
      </c>
      <c r="AP16" s="26">
        <f>Europe!AF16+'Asia-Pacific'!AF16+'Rest of world'!AF16+'North America'!AF16+'Latin America'!AF16</f>
        <v>470</v>
      </c>
      <c r="AQ16" s="23">
        <f t="shared" si="49"/>
        <v>0</v>
      </c>
      <c r="AR16" s="112" t="e">
        <f>'North America'!#REF!+Europe!#REF!+'Asia-Pacific'!#REF!+'Rest of world'!#REF!</f>
        <v>#REF!</v>
      </c>
      <c r="AS16" s="26" t="e">
        <f>Europe!#REF!+'Asia-Pacific'!#REF!+'Rest of world'!#REF!+'North America'!#REF!+'Latin America'!#REF!</f>
        <v>#REF!</v>
      </c>
      <c r="AT16" s="26">
        <f>Europe!AJ16+'Asia-Pacific'!AJ16+'Rest of world'!AJ16+'North America'!AJ16+'Latin America'!AJ16</f>
        <v>435</v>
      </c>
      <c r="AU16" s="23">
        <f t="shared" si="50"/>
        <v>0</v>
      </c>
      <c r="AV16" s="112" t="e">
        <f>'North America'!#REF!+Europe!#REF!+'Asia-Pacific'!#REF!+'Rest of world'!#REF!</f>
        <v>#REF!</v>
      </c>
      <c r="AW16" s="26" t="e">
        <f>Europe!#REF!+'Asia-Pacific'!#REF!+'Rest of world'!#REF!+'North America'!#REF!+'Latin America'!#REF!</f>
        <v>#REF!</v>
      </c>
      <c r="AX16" s="26">
        <f>Europe!AN16+'Asia-Pacific'!AN16+'Rest of world'!AN16+'North America'!AN16+'Latin America'!AN16</f>
        <v>450</v>
      </c>
      <c r="AY16" s="23">
        <f t="shared" si="51"/>
        <v>0</v>
      </c>
      <c r="AZ16" s="112" t="e">
        <f>'North America'!#REF!+Europe!#REF!+'Asia-Pacific'!#REF!+'Rest of world'!#REF!</f>
        <v>#REF!</v>
      </c>
      <c r="BA16" s="26" t="e">
        <f>Europe!#REF!+'Asia-Pacific'!#REF!+'Rest of world'!#REF!+'North America'!#REF!+'Latin America'!#REF!</f>
        <v>#REF!</v>
      </c>
      <c r="BB16" s="26">
        <f>Europe!AR16+'Asia-Pacific'!AR16+'Rest of world'!AR16+'North America'!AR16+'Latin America'!AR16</f>
        <v>480</v>
      </c>
      <c r="BC16" s="23">
        <f t="shared" si="52"/>
        <v>0</v>
      </c>
      <c r="BD16" s="112" t="e">
        <f>'North America'!#REF!+Europe!#REF!+'Asia-Pacific'!#REF!+'Rest of world'!#REF!</f>
        <v>#REF!</v>
      </c>
      <c r="BE16" s="26" t="e">
        <f>Europe!#REF!+'Asia-Pacific'!#REF!+'Rest of world'!#REF!+'North America'!#REF!+'Latin America'!#REF!</f>
        <v>#REF!</v>
      </c>
      <c r="BF16" s="26">
        <f>Europe!AV16+'Asia-Pacific'!AV16+'Rest of world'!AV16+'North America'!AV16+'Latin America'!AV16</f>
        <v>420</v>
      </c>
      <c r="BG16" s="23">
        <f t="shared" si="53"/>
        <v>0</v>
      </c>
      <c r="BH16" s="112" t="e">
        <f>'North America'!#REF!+Europe!#REF!+'Asia-Pacific'!#REF!+'Rest of world'!#REF!</f>
        <v>#REF!</v>
      </c>
      <c r="BI16" s="26" t="e">
        <f>Europe!#REF!+'Asia-Pacific'!#REF!+'Rest of world'!#REF!+'North America'!#REF!+'Latin America'!#REF!</f>
        <v>#REF!</v>
      </c>
      <c r="BK16" s="240">
        <f t="shared" si="54"/>
        <v>762</v>
      </c>
      <c r="BL16" s="241" t="e">
        <f t="shared" si="55"/>
        <v>#REF!</v>
      </c>
      <c r="BM16" s="240">
        <f t="shared" si="56"/>
        <v>1360</v>
      </c>
      <c r="BN16" s="241" t="e">
        <f t="shared" si="57"/>
        <v>#REF!</v>
      </c>
      <c r="BO16" s="240">
        <f t="shared" si="58"/>
        <v>1355</v>
      </c>
      <c r="BP16" s="241" t="e">
        <f t="shared" si="59"/>
        <v>#REF!</v>
      </c>
      <c r="BQ16" s="201">
        <f t="shared" si="60"/>
        <v>1350</v>
      </c>
      <c r="BR16" s="204" t="e">
        <f t="shared" si="61"/>
        <v>#REF!</v>
      </c>
      <c r="BS16" s="240">
        <f t="shared" si="62"/>
        <v>4827</v>
      </c>
      <c r="BT16" s="253" t="e">
        <f t="shared" si="63"/>
        <v>#REF!</v>
      </c>
      <c r="BU16" s="246"/>
      <c r="BV16" s="201"/>
      <c r="BW16" s="2"/>
      <c r="BX16" s="33"/>
      <c r="BY16" s="113"/>
      <c r="CA16" s="27"/>
      <c r="CB16" s="113"/>
      <c r="CD16" s="27"/>
      <c r="CE16" s="113"/>
      <c r="DJ16" s="210"/>
      <c r="DK16" s="211"/>
      <c r="DL16" s="200"/>
      <c r="DM16" s="209"/>
      <c r="DN16" s="201"/>
      <c r="DO16" s="201"/>
      <c r="DP16" s="204"/>
    </row>
    <row r="17" spans="1:120" ht="12.6" customHeight="1">
      <c r="A17" s="35" t="s">
        <v>54</v>
      </c>
      <c r="B17" s="135"/>
      <c r="C17" s="135"/>
      <c r="D17" s="135"/>
      <c r="E17" s="157"/>
      <c r="F17" s="149"/>
      <c r="G17" s="151"/>
      <c r="H17" s="135"/>
      <c r="I17" s="150"/>
      <c r="J17" s="27">
        <f t="shared" si="38"/>
        <v>800</v>
      </c>
      <c r="K17" s="23">
        <f t="shared" si="39"/>
        <v>0</v>
      </c>
      <c r="L17" s="112" t="e">
        <f t="shared" si="40"/>
        <v>#REF!</v>
      </c>
      <c r="M17" s="113" t="e">
        <f t="shared" si="41"/>
        <v>#REF!</v>
      </c>
      <c r="N17" s="26">
        <f>Europe!D17+'Asia-Pacific'!D17+'Rest of world'!D17+'North America'!D17+'Latin America'!D17</f>
        <v>72</v>
      </c>
      <c r="O17" s="23">
        <f t="shared" si="42"/>
        <v>0</v>
      </c>
      <c r="P17" s="112" t="e">
        <f>'North America'!#REF!+Europe!#REF!+'Asia-Pacific'!#REF!+'Rest of world'!#REF!</f>
        <v>#REF!</v>
      </c>
      <c r="Q17" s="26" t="e">
        <f>Europe!#REF!+'Asia-Pacific'!#REF!+'Rest of world'!#REF!+'North America'!#REF!+'Latin America'!#REF!</f>
        <v>#REF!</v>
      </c>
      <c r="R17" s="26">
        <f>Europe!H17+'Asia-Pacific'!H17+'Rest of world'!H17+'North America'!H17+'Latin America'!H17</f>
        <v>40</v>
      </c>
      <c r="S17" s="23">
        <f t="shared" si="43"/>
        <v>0</v>
      </c>
      <c r="T17" s="112" t="e">
        <f>'North America'!#REF!+Europe!#REF!+'Asia-Pacific'!#REF!+'Rest of world'!#REF!</f>
        <v>#REF!</v>
      </c>
      <c r="U17" s="26" t="e">
        <f>Europe!#REF!+'Asia-Pacific'!#REF!+'Rest of world'!#REF!+'North America'!#REF!+'Latin America'!#REF!</f>
        <v>#REF!</v>
      </c>
      <c r="V17" s="26">
        <f>Europe!L17+'Asia-Pacific'!L17+'Rest of world'!L17+'North America'!L17+'Latin America'!L17</f>
        <v>99</v>
      </c>
      <c r="W17" s="23">
        <f t="shared" si="44"/>
        <v>0</v>
      </c>
      <c r="X17" s="112" t="e">
        <f>'North America'!#REF!+Europe!#REF!+'Asia-Pacific'!#REF!+'Rest of world'!#REF!</f>
        <v>#REF!</v>
      </c>
      <c r="Y17" s="26" t="e">
        <f>Europe!#REF!+'Asia-Pacific'!#REF!+'Rest of world'!#REF!+'North America'!#REF!+'Latin America'!#REF!</f>
        <v>#REF!</v>
      </c>
      <c r="Z17" s="26">
        <f>Europe!P17+'Asia-Pacific'!P17+'Rest of world'!P17+'North America'!P17+'Latin America'!P17</f>
        <v>60</v>
      </c>
      <c r="AA17" s="23">
        <f t="shared" si="45"/>
        <v>0</v>
      </c>
      <c r="AB17" s="112" t="e">
        <f>'North America'!#REF!+Europe!#REF!+'Asia-Pacific'!#REF!+'Rest of world'!#REF!</f>
        <v>#REF!</v>
      </c>
      <c r="AC17" s="26" t="e">
        <f>Europe!#REF!+'Asia-Pacific'!#REF!+'Rest of world'!#REF!+'North America'!#REF!+'Latin America'!#REF!</f>
        <v>#REF!</v>
      </c>
      <c r="AD17" s="26">
        <f>Europe!T17+'Asia-Pacific'!T17+'Rest of world'!T17+'North America'!T17+'Latin America'!T17</f>
        <v>83</v>
      </c>
      <c r="AE17" s="23">
        <f t="shared" si="46"/>
        <v>92891566.265060231</v>
      </c>
      <c r="AF17" s="112">
        <f>'North America'!V17+Europe!V17+'Asia-Pacific'!V17+'Rest of world'!V17</f>
        <v>7710</v>
      </c>
      <c r="AG17" s="26">
        <f>Europe!W17+'Asia-Pacific'!W17+'Rest of world'!W17+'North America'!W17+'Latin America'!W17</f>
        <v>0.82648510500000005</v>
      </c>
      <c r="AH17" s="26">
        <f>Europe!X17+'Asia-Pacific'!X17+'Rest of world'!X17+'North America'!X17+'Latin America'!X17</f>
        <v>72</v>
      </c>
      <c r="AI17" s="23">
        <f t="shared" si="47"/>
        <v>0</v>
      </c>
      <c r="AJ17" s="112" t="e">
        <f>'North America'!Z17+Europe!Z17+'Asia-Pacific'!Z17+'Rest of world'!#REF!</f>
        <v>#REF!</v>
      </c>
      <c r="AK17" s="26">
        <f>Europe!AA17+'Asia-Pacific'!AA17+'Rest of world'!AA17+'North America'!AA17+'Latin America'!AA17</f>
        <v>2.6082458999999999E-2</v>
      </c>
      <c r="AL17" s="26">
        <f>Europe!AB17+'Asia-Pacific'!AB17+'Rest of world'!AB17+'North America'!AB17+'Latin America'!AB17</f>
        <v>84</v>
      </c>
      <c r="AM17" s="23">
        <f t="shared" si="48"/>
        <v>0</v>
      </c>
      <c r="AN17" s="112" t="e">
        <f>'North America'!#REF!+Europe!#REF!+'Asia-Pacific'!#REF!+'Rest of world'!#REF!</f>
        <v>#REF!</v>
      </c>
      <c r="AO17" s="26" t="e">
        <f>Europe!#REF!+'Asia-Pacific'!#REF!+'Rest of world'!#REF!+'North America'!#REF!+'Latin America'!#REF!</f>
        <v>#REF!</v>
      </c>
      <c r="AP17" s="26">
        <f>Europe!AF17+'Asia-Pacific'!AF17+'Rest of world'!AF17+'North America'!AF17+'Latin America'!AF17</f>
        <v>62</v>
      </c>
      <c r="AQ17" s="23">
        <f t="shared" si="49"/>
        <v>0</v>
      </c>
      <c r="AR17" s="112" t="e">
        <f>'North America'!#REF!+Europe!#REF!+'Asia-Pacific'!#REF!+'Rest of world'!#REF!</f>
        <v>#REF!</v>
      </c>
      <c r="AS17" s="26" t="e">
        <f>Europe!#REF!+'Asia-Pacific'!#REF!+'Rest of world'!#REF!+'North America'!#REF!+'Latin America'!#REF!</f>
        <v>#REF!</v>
      </c>
      <c r="AT17" s="26">
        <f>Europe!AJ17+'Asia-Pacific'!AJ17+'Rest of world'!AJ17+'North America'!AJ17+'Latin America'!AJ17</f>
        <v>52</v>
      </c>
      <c r="AU17" s="23">
        <f t="shared" si="50"/>
        <v>0</v>
      </c>
      <c r="AV17" s="112" t="e">
        <f>'North America'!#REF!+Europe!#REF!+'Asia-Pacific'!#REF!+'Rest of world'!#REF!</f>
        <v>#REF!</v>
      </c>
      <c r="AW17" s="26" t="e">
        <f>Europe!#REF!+'Asia-Pacific'!#REF!+'Rest of world'!#REF!+'North America'!#REF!+'Latin America'!#REF!</f>
        <v>#REF!</v>
      </c>
      <c r="AX17" s="26">
        <f>Europe!AN17+'Asia-Pacific'!AN17+'Rest of world'!AN17+'North America'!AN17+'Latin America'!AN17</f>
        <v>62</v>
      </c>
      <c r="AY17" s="23">
        <f t="shared" si="51"/>
        <v>0</v>
      </c>
      <c r="AZ17" s="112" t="e">
        <f>'North America'!#REF!+Europe!#REF!+'Asia-Pacific'!#REF!+'Rest of world'!#REF!</f>
        <v>#REF!</v>
      </c>
      <c r="BA17" s="26" t="e">
        <f>Europe!#REF!+'Asia-Pacific'!#REF!+'Rest of world'!#REF!+'North America'!#REF!+'Latin America'!#REF!</f>
        <v>#REF!</v>
      </c>
      <c r="BB17" s="26">
        <f>Europe!AR17+'Asia-Pacific'!AR17+'Rest of world'!AR17+'North America'!AR17+'Latin America'!AR17</f>
        <v>72</v>
      </c>
      <c r="BC17" s="23">
        <f t="shared" si="52"/>
        <v>0</v>
      </c>
      <c r="BD17" s="112" t="e">
        <f>'North America'!#REF!+Europe!#REF!+'Asia-Pacific'!#REF!+'Rest of world'!#REF!</f>
        <v>#REF!</v>
      </c>
      <c r="BE17" s="26" t="e">
        <f>Europe!#REF!+'Asia-Pacific'!#REF!+'Rest of world'!#REF!+'North America'!#REF!+'Latin America'!#REF!</f>
        <v>#REF!</v>
      </c>
      <c r="BF17" s="26">
        <f>Europe!AV17+'Asia-Pacific'!AV17+'Rest of world'!AV17+'North America'!AV17+'Latin America'!AV17</f>
        <v>42</v>
      </c>
      <c r="BG17" s="23">
        <f t="shared" si="53"/>
        <v>0</v>
      </c>
      <c r="BH17" s="112" t="e">
        <f>'North America'!#REF!+Europe!#REF!+'Asia-Pacific'!#REF!+'Rest of world'!#REF!</f>
        <v>#REF!</v>
      </c>
      <c r="BI17" s="26" t="e">
        <f>Europe!#REF!+'Asia-Pacific'!#REF!+'Rest of world'!#REF!+'North America'!#REF!+'Latin America'!#REF!</f>
        <v>#REF!</v>
      </c>
      <c r="BK17" s="240">
        <f t="shared" si="54"/>
        <v>211</v>
      </c>
      <c r="BL17" s="241" t="e">
        <f t="shared" si="55"/>
        <v>#REF!</v>
      </c>
      <c r="BM17" s="240">
        <f t="shared" si="56"/>
        <v>215</v>
      </c>
      <c r="BN17" s="241" t="e">
        <f t="shared" si="57"/>
        <v>#REF!</v>
      </c>
      <c r="BO17" s="240">
        <f t="shared" si="58"/>
        <v>198</v>
      </c>
      <c r="BP17" s="241" t="e">
        <f t="shared" si="59"/>
        <v>#REF!</v>
      </c>
      <c r="BQ17" s="201">
        <f t="shared" si="60"/>
        <v>176</v>
      </c>
      <c r="BR17" s="204" t="e">
        <f t="shared" si="61"/>
        <v>#REF!</v>
      </c>
      <c r="BS17" s="240">
        <f t="shared" si="62"/>
        <v>800</v>
      </c>
      <c r="BT17" s="253" t="e">
        <f t="shared" si="63"/>
        <v>#REF!</v>
      </c>
      <c r="BU17" s="246"/>
      <c r="BV17" s="201"/>
      <c r="BW17" s="2"/>
      <c r="BX17" s="33"/>
      <c r="BY17" s="113"/>
      <c r="CA17" s="27"/>
      <c r="CB17" s="113"/>
      <c r="CD17" s="27"/>
      <c r="CE17" s="113"/>
      <c r="DJ17" s="210"/>
      <c r="DK17" s="211"/>
      <c r="DL17" s="200"/>
      <c r="DM17" s="209"/>
      <c r="DN17" s="201"/>
      <c r="DO17" s="201"/>
      <c r="DP17" s="204"/>
    </row>
    <row r="18" spans="1:120" ht="12.6" customHeight="1">
      <c r="A18" s="35" t="s">
        <v>55</v>
      </c>
      <c r="B18" s="135"/>
      <c r="C18" s="135"/>
      <c r="D18" s="135"/>
      <c r="E18" s="157"/>
      <c r="F18" s="149"/>
      <c r="G18" s="151"/>
      <c r="H18" s="135"/>
      <c r="I18" s="150">
        <f t="shared" si="18"/>
        <v>0</v>
      </c>
      <c r="J18" s="27">
        <f t="shared" si="19"/>
        <v>1066</v>
      </c>
      <c r="K18" s="23">
        <f t="shared" si="20"/>
        <v>0</v>
      </c>
      <c r="L18" s="112" t="e">
        <f t="shared" si="21"/>
        <v>#REF!</v>
      </c>
      <c r="M18" s="113" t="e">
        <f t="shared" si="21"/>
        <v>#REF!</v>
      </c>
      <c r="N18" s="26">
        <f>Europe!D18+'Asia-Pacific'!D18+'Rest of world'!D18+'North America'!D18+'Latin America'!D18</f>
        <v>80</v>
      </c>
      <c r="O18" s="23">
        <f t="shared" si="3"/>
        <v>0</v>
      </c>
      <c r="P18" s="112" t="e">
        <f>'North America'!#REF!+Europe!#REF!+'Asia-Pacific'!#REF!+'Rest of world'!#REF!</f>
        <v>#REF!</v>
      </c>
      <c r="Q18" s="26" t="e">
        <f>Europe!#REF!+'Asia-Pacific'!#REF!+'Rest of world'!#REF!+'North America'!#REF!+'Latin America'!#REF!</f>
        <v>#REF!</v>
      </c>
      <c r="R18" s="26">
        <f>Europe!H18+'Asia-Pacific'!H18+'Rest of world'!H18+'North America'!H18+'Latin America'!H18</f>
        <v>80</v>
      </c>
      <c r="S18" s="23">
        <f t="shared" si="4"/>
        <v>0</v>
      </c>
      <c r="T18" s="112" t="e">
        <f>'North America'!#REF!+Europe!#REF!+'Asia-Pacific'!#REF!+'Rest of world'!#REF!</f>
        <v>#REF!</v>
      </c>
      <c r="U18" s="26" t="e">
        <f>Europe!#REF!+'Asia-Pacific'!#REF!+'Rest of world'!#REF!+'North America'!#REF!+'Latin America'!#REF!</f>
        <v>#REF!</v>
      </c>
      <c r="V18" s="26">
        <f>Europe!L18+'Asia-Pacific'!L18+'Rest of world'!L18+'North America'!L18+'Latin America'!L18</f>
        <v>80</v>
      </c>
      <c r="W18" s="23">
        <f t="shared" si="22"/>
        <v>0</v>
      </c>
      <c r="X18" s="112" t="e">
        <f>'North America'!#REF!+Europe!#REF!+'Asia-Pacific'!#REF!+'Rest of world'!#REF!</f>
        <v>#REF!</v>
      </c>
      <c r="Y18" s="26" t="e">
        <f>Europe!#REF!+'Asia-Pacific'!#REF!+'Rest of world'!#REF!+'North America'!#REF!+'Latin America'!#REF!</f>
        <v>#REF!</v>
      </c>
      <c r="Z18" s="26">
        <f>Europe!P18+'Asia-Pacific'!P18+'Rest of world'!P18+'North America'!P18+'Latin America'!P18</f>
        <v>130</v>
      </c>
      <c r="AA18" s="23">
        <f t="shared" si="23"/>
        <v>0</v>
      </c>
      <c r="AB18" s="112" t="e">
        <f>'North America'!#REF!+Europe!#REF!+'Asia-Pacific'!#REF!+'Rest of world'!#REF!</f>
        <v>#REF!</v>
      </c>
      <c r="AC18" s="26" t="e">
        <f>Europe!#REF!+'Asia-Pacific'!#REF!+'Rest of world'!#REF!+'North America'!#REF!+'Latin America'!#REF!</f>
        <v>#REF!</v>
      </c>
      <c r="AD18" s="26">
        <f>Europe!T18+'Asia-Pacific'!T18+'Rest of world'!T18+'North America'!T18+'Latin America'!T18</f>
        <v>80</v>
      </c>
      <c r="AE18" s="23">
        <f t="shared" si="24"/>
        <v>0</v>
      </c>
      <c r="AF18" s="112">
        <f>'North America'!V18+Europe!V18+'Asia-Pacific'!V18+'Rest of world'!V18</f>
        <v>0</v>
      </c>
      <c r="AG18" s="26">
        <f>Europe!W18+'Asia-Pacific'!W18+'Rest of world'!W18+'North America'!W18+'Latin America'!W18</f>
        <v>0</v>
      </c>
      <c r="AH18" s="26">
        <f>Europe!X18+'Asia-Pacific'!X18+'Rest of world'!X18+'North America'!X18+'Latin America'!X18</f>
        <v>80</v>
      </c>
      <c r="AI18" s="23">
        <f t="shared" si="25"/>
        <v>0</v>
      </c>
      <c r="AJ18" s="112" t="e">
        <f>'North America'!Z18+Europe!Z18+'Asia-Pacific'!Z18+'Rest of world'!#REF!</f>
        <v>#REF!</v>
      </c>
      <c r="AK18" s="26">
        <f>Europe!AA18+'Asia-Pacific'!AA18+'Rest of world'!AA18+'North America'!AA18+'Latin America'!AA18</f>
        <v>0.19953648000000002</v>
      </c>
      <c r="AL18" s="26">
        <f>Europe!AB18+'Asia-Pacific'!AB18+'Rest of world'!AB18+'North America'!AB18+'Latin America'!AB18</f>
        <v>80</v>
      </c>
      <c r="AM18" s="23">
        <f t="shared" si="26"/>
        <v>0</v>
      </c>
      <c r="AN18" s="112" t="e">
        <f>'North America'!#REF!+Europe!#REF!+'Asia-Pacific'!#REF!+'Rest of world'!#REF!</f>
        <v>#REF!</v>
      </c>
      <c r="AO18" s="26" t="e">
        <f>Europe!#REF!+'Asia-Pacific'!#REF!+'Rest of world'!#REF!+'North America'!#REF!+'Latin America'!#REF!</f>
        <v>#REF!</v>
      </c>
      <c r="AP18" s="26">
        <f>Europe!AF18+'Asia-Pacific'!AF18+'Rest of world'!AF18+'North America'!AF18+'Latin America'!AF18</f>
        <v>80</v>
      </c>
      <c r="AQ18" s="23">
        <f t="shared" si="27"/>
        <v>0</v>
      </c>
      <c r="AR18" s="112" t="e">
        <f>'North America'!#REF!+Europe!#REF!+'Asia-Pacific'!#REF!+'Rest of world'!#REF!</f>
        <v>#REF!</v>
      </c>
      <c r="AS18" s="26" t="e">
        <f>Europe!#REF!+'Asia-Pacific'!#REF!+'Rest of world'!#REF!+'North America'!#REF!+'Latin America'!#REF!</f>
        <v>#REF!</v>
      </c>
      <c r="AT18" s="26">
        <f>Europe!AJ18+'Asia-Pacific'!AJ18+'Rest of world'!AJ18+'North America'!AJ18+'Latin America'!AJ18</f>
        <v>136</v>
      </c>
      <c r="AU18" s="23">
        <f t="shared" si="28"/>
        <v>0</v>
      </c>
      <c r="AV18" s="112" t="e">
        <f>'North America'!#REF!+Europe!#REF!+'Asia-Pacific'!#REF!+'Rest of world'!#REF!</f>
        <v>#REF!</v>
      </c>
      <c r="AW18" s="26" t="e">
        <f>Europe!#REF!+'Asia-Pacific'!#REF!+'Rest of world'!#REF!+'North America'!#REF!+'Latin America'!#REF!</f>
        <v>#REF!</v>
      </c>
      <c r="AX18" s="26">
        <f>Europe!AN18+'Asia-Pacific'!AN18+'Rest of world'!AN18+'North America'!AN18+'Latin America'!AN18</f>
        <v>80</v>
      </c>
      <c r="AY18" s="23">
        <f t="shared" si="29"/>
        <v>0</v>
      </c>
      <c r="AZ18" s="112" t="e">
        <f>'North America'!#REF!+Europe!#REF!+'Asia-Pacific'!#REF!+'Rest of world'!#REF!</f>
        <v>#REF!</v>
      </c>
      <c r="BA18" s="26" t="e">
        <f>Europe!#REF!+'Asia-Pacific'!#REF!+'Rest of world'!#REF!+'North America'!#REF!+'Latin America'!#REF!</f>
        <v>#REF!</v>
      </c>
      <c r="BB18" s="26">
        <f>Europe!AR18+'Asia-Pacific'!AR18+'Rest of world'!AR18+'North America'!AR18+'Latin America'!AR18</f>
        <v>80</v>
      </c>
      <c r="BC18" s="23">
        <f t="shared" si="30"/>
        <v>0</v>
      </c>
      <c r="BD18" s="112" t="e">
        <f>'North America'!#REF!+Europe!#REF!+'Asia-Pacific'!#REF!+'Rest of world'!#REF!</f>
        <v>#REF!</v>
      </c>
      <c r="BE18" s="26" t="e">
        <f>Europe!#REF!+'Asia-Pacific'!#REF!+'Rest of world'!#REF!+'North America'!#REF!+'Latin America'!#REF!</f>
        <v>#REF!</v>
      </c>
      <c r="BF18" s="26">
        <f>Europe!AV18+'Asia-Pacific'!AV18+'Rest of world'!AV18+'North America'!AV18+'Latin America'!AV18</f>
        <v>80</v>
      </c>
      <c r="BG18" s="23">
        <f t="shared" si="31"/>
        <v>0</v>
      </c>
      <c r="BH18" s="112" t="e">
        <f>'North America'!#REF!+Europe!#REF!+'Asia-Pacific'!#REF!+'Rest of world'!#REF!</f>
        <v>#REF!</v>
      </c>
      <c r="BI18" s="26" t="e">
        <f>Europe!#REF!+'Asia-Pacific'!#REF!+'Rest of world'!#REF!+'North America'!#REF!+'Latin America'!#REF!</f>
        <v>#REF!</v>
      </c>
      <c r="BK18" s="240">
        <f t="shared" si="5"/>
        <v>240</v>
      </c>
      <c r="BL18" s="241" t="e">
        <f t="shared" si="6"/>
        <v>#REF!</v>
      </c>
      <c r="BM18" s="240">
        <f t="shared" si="7"/>
        <v>290</v>
      </c>
      <c r="BN18" s="241" t="e">
        <f t="shared" si="8"/>
        <v>#REF!</v>
      </c>
      <c r="BO18" s="240">
        <f t="shared" si="9"/>
        <v>296</v>
      </c>
      <c r="BP18" s="241" t="e">
        <f t="shared" si="10"/>
        <v>#REF!</v>
      </c>
      <c r="BQ18" s="201">
        <f t="shared" si="11"/>
        <v>240</v>
      </c>
      <c r="BR18" s="204" t="e">
        <f t="shared" si="12"/>
        <v>#REF!</v>
      </c>
      <c r="BS18" s="240">
        <f t="shared" si="37"/>
        <v>1066</v>
      </c>
      <c r="BT18" s="253" t="e">
        <f t="shared" si="32"/>
        <v>#REF!</v>
      </c>
      <c r="BU18" s="246" t="e">
        <f t="shared" si="13"/>
        <v>#REF!</v>
      </c>
      <c r="BV18" s="201">
        <f t="shared" si="14"/>
        <v>0</v>
      </c>
      <c r="BW18" s="2"/>
      <c r="BX18" s="33">
        <f t="shared" si="33"/>
        <v>1066</v>
      </c>
      <c r="BY18" s="113" t="e">
        <f t="shared" si="34"/>
        <v>#REF!</v>
      </c>
      <c r="CA18" s="27">
        <f>+Domestic!B15</f>
        <v>288</v>
      </c>
      <c r="CB18" s="113" t="e">
        <f>+Domestic!#REF!</f>
        <v>#REF!</v>
      </c>
      <c r="CD18" s="27">
        <f t="shared" si="35"/>
        <v>1354</v>
      </c>
      <c r="CE18" s="113" t="e">
        <f t="shared" si="36"/>
        <v>#REF!</v>
      </c>
      <c r="DJ18" s="210">
        <v>350</v>
      </c>
      <c r="DK18" s="211">
        <v>3899.7857142857147</v>
      </c>
      <c r="DL18" s="200">
        <v>1.3649250000000002</v>
      </c>
      <c r="DM18" s="209">
        <v>6.1421624999999986</v>
      </c>
      <c r="DN18" s="201">
        <f t="shared" si="15"/>
        <v>716</v>
      </c>
      <c r="DO18" s="201">
        <f t="shared" si="16"/>
        <v>-3899.7857142857147</v>
      </c>
      <c r="DP18" s="204" t="e">
        <f t="shared" si="17"/>
        <v>#REF!</v>
      </c>
    </row>
    <row r="19" spans="1:120" ht="12.6" customHeight="1">
      <c r="A19" s="35" t="s">
        <v>50</v>
      </c>
      <c r="B19" s="135"/>
      <c r="C19" s="135"/>
      <c r="D19" s="135"/>
      <c r="E19" s="157"/>
      <c r="F19" s="149"/>
      <c r="G19" s="151"/>
      <c r="H19" s="135"/>
      <c r="I19" s="150">
        <f t="shared" si="18"/>
        <v>0</v>
      </c>
      <c r="J19" s="27">
        <f t="shared" si="19"/>
        <v>510</v>
      </c>
      <c r="K19" s="23">
        <f t="shared" si="20"/>
        <v>0</v>
      </c>
      <c r="L19" s="112" t="e">
        <f t="shared" si="21"/>
        <v>#REF!</v>
      </c>
      <c r="M19" s="113" t="e">
        <f t="shared" si="21"/>
        <v>#REF!</v>
      </c>
      <c r="N19" s="26">
        <f>Europe!D19+'Asia-Pacific'!D19+'Rest of world'!D19+'North America'!D19+'Latin America'!D19</f>
        <v>35</v>
      </c>
      <c r="O19" s="23">
        <f t="shared" si="3"/>
        <v>0</v>
      </c>
      <c r="P19" s="112" t="e">
        <f>'North America'!#REF!+Europe!#REF!+'Asia-Pacific'!#REF!+'Rest of world'!#REF!</f>
        <v>#REF!</v>
      </c>
      <c r="Q19" s="26" t="e">
        <f>Europe!#REF!+'Asia-Pacific'!#REF!+'Rest of world'!#REF!+'North America'!#REF!+'Latin America'!#REF!</f>
        <v>#REF!</v>
      </c>
      <c r="R19" s="26">
        <f>Europe!H19+'Asia-Pacific'!H19+'Rest of world'!H19+'North America'!H19+'Latin America'!H19</f>
        <v>35</v>
      </c>
      <c r="S19" s="23">
        <f t="shared" si="4"/>
        <v>0</v>
      </c>
      <c r="T19" s="112" t="e">
        <f>'North America'!#REF!+Europe!#REF!+'Asia-Pacific'!#REF!+'Rest of world'!#REF!</f>
        <v>#REF!</v>
      </c>
      <c r="U19" s="26" t="e">
        <f>Europe!#REF!+'Asia-Pacific'!#REF!+'Rest of world'!#REF!+'North America'!#REF!+'Latin America'!#REF!</f>
        <v>#REF!</v>
      </c>
      <c r="V19" s="26">
        <f>Europe!L19+'Asia-Pacific'!L19+'Rest of world'!L19+'North America'!L19+'Latin America'!L19</f>
        <v>35</v>
      </c>
      <c r="W19" s="23">
        <f t="shared" si="22"/>
        <v>0</v>
      </c>
      <c r="X19" s="112" t="e">
        <f>'North America'!#REF!+Europe!#REF!+'Asia-Pacific'!#REF!+'Rest of world'!#REF!</f>
        <v>#REF!</v>
      </c>
      <c r="Y19" s="26" t="e">
        <f>Europe!#REF!+'Asia-Pacific'!#REF!+'Rest of world'!#REF!+'North America'!#REF!+'Latin America'!#REF!</f>
        <v>#REF!</v>
      </c>
      <c r="Z19" s="26">
        <f>Europe!P19+'Asia-Pacific'!P19+'Rest of world'!P19+'North America'!P19+'Latin America'!P19</f>
        <v>35</v>
      </c>
      <c r="AA19" s="23">
        <f t="shared" si="23"/>
        <v>0</v>
      </c>
      <c r="AB19" s="112" t="e">
        <f>'North America'!#REF!+Europe!#REF!+'Asia-Pacific'!#REF!+'Rest of world'!#REF!</f>
        <v>#REF!</v>
      </c>
      <c r="AC19" s="26" t="e">
        <f>Europe!#REF!+'Asia-Pacific'!#REF!+'Rest of world'!#REF!+'North America'!#REF!+'Latin America'!#REF!</f>
        <v>#REF!</v>
      </c>
      <c r="AD19" s="26">
        <f>Europe!T19+'Asia-Pacific'!T19+'Rest of world'!T19+'North America'!T19+'Latin America'!T19</f>
        <v>35</v>
      </c>
      <c r="AE19" s="23">
        <f t="shared" si="24"/>
        <v>98428571.428571433</v>
      </c>
      <c r="AF19" s="112">
        <f>'North America'!V19+Europe!V19+'Asia-Pacific'!V19+'Rest of world'!V19</f>
        <v>3445</v>
      </c>
      <c r="AG19" s="26">
        <f>Europe!W19+'Asia-Pacific'!W19+'Rest of world'!W19+'North America'!W19+'Latin America'!W19</f>
        <v>0.41871408000000004</v>
      </c>
      <c r="AH19" s="26">
        <f>Europe!X19+'Asia-Pacific'!X19+'Rest of world'!X19+'North America'!X19+'Latin America'!X19</f>
        <v>55</v>
      </c>
      <c r="AI19" s="23">
        <f t="shared" si="25"/>
        <v>0</v>
      </c>
      <c r="AJ19" s="112" t="e">
        <f>'North America'!Z19+Europe!Z19+'Asia-Pacific'!Z19+'Rest of world'!#REF!</f>
        <v>#REF!</v>
      </c>
      <c r="AK19" s="26">
        <f>Europe!AA19+'Asia-Pacific'!AA19+'Rest of world'!AA19+'North America'!AA19+'Latin America'!AA19</f>
        <v>0.19713564</v>
      </c>
      <c r="AL19" s="26">
        <f>Europe!AB19+'Asia-Pacific'!AB19+'Rest of world'!AB19+'North America'!AB19+'Latin America'!AB19</f>
        <v>40</v>
      </c>
      <c r="AM19" s="23">
        <f t="shared" si="26"/>
        <v>0</v>
      </c>
      <c r="AN19" s="112" t="e">
        <f>'North America'!#REF!+Europe!#REF!+'Asia-Pacific'!#REF!+'Rest of world'!#REF!</f>
        <v>#REF!</v>
      </c>
      <c r="AO19" s="26" t="e">
        <f>Europe!#REF!+'Asia-Pacific'!#REF!+'Rest of world'!#REF!+'North America'!#REF!+'Latin America'!#REF!</f>
        <v>#REF!</v>
      </c>
      <c r="AP19" s="26">
        <f>Europe!AF19+'Asia-Pacific'!AF19+'Rest of world'!AF19+'North America'!AF19+'Latin America'!AF19</f>
        <v>60</v>
      </c>
      <c r="AQ19" s="23">
        <f t="shared" si="27"/>
        <v>0</v>
      </c>
      <c r="AR19" s="112" t="e">
        <f>'North America'!#REF!+Europe!#REF!+'Asia-Pacific'!#REF!+'Rest of world'!#REF!</f>
        <v>#REF!</v>
      </c>
      <c r="AS19" s="26" t="e">
        <f>Europe!#REF!+'Asia-Pacific'!#REF!+'Rest of world'!#REF!+'North America'!#REF!+'Latin America'!#REF!</f>
        <v>#REF!</v>
      </c>
      <c r="AT19" s="26">
        <f>Europe!AJ19+'Asia-Pacific'!AJ19+'Rest of world'!AJ19+'North America'!AJ19+'Latin America'!AJ19</f>
        <v>40</v>
      </c>
      <c r="AU19" s="23">
        <f t="shared" si="28"/>
        <v>0</v>
      </c>
      <c r="AV19" s="112" t="e">
        <f>'North America'!#REF!+Europe!#REF!+'Asia-Pacific'!#REF!+'Rest of world'!#REF!</f>
        <v>#REF!</v>
      </c>
      <c r="AW19" s="26" t="e">
        <f>Europe!#REF!+'Asia-Pacific'!#REF!+'Rest of world'!#REF!+'North America'!#REF!+'Latin America'!#REF!</f>
        <v>#REF!</v>
      </c>
      <c r="AX19" s="26">
        <f>Europe!AN19+'Asia-Pacific'!AN19+'Rest of world'!AN19+'North America'!AN19+'Latin America'!AN19</f>
        <v>60</v>
      </c>
      <c r="AY19" s="23">
        <f t="shared" si="29"/>
        <v>0</v>
      </c>
      <c r="AZ19" s="112" t="e">
        <f>'North America'!#REF!+Europe!#REF!+'Asia-Pacific'!#REF!+'Rest of world'!#REF!</f>
        <v>#REF!</v>
      </c>
      <c r="BA19" s="26" t="e">
        <f>Europe!#REF!+'Asia-Pacific'!#REF!+'Rest of world'!#REF!+'North America'!#REF!+'Latin America'!#REF!</f>
        <v>#REF!</v>
      </c>
      <c r="BB19" s="26">
        <f>Europe!AR19+'Asia-Pacific'!AR19+'Rest of world'!AR19+'North America'!AR19+'Latin America'!AR19</f>
        <v>40</v>
      </c>
      <c r="BC19" s="23">
        <f t="shared" si="30"/>
        <v>0</v>
      </c>
      <c r="BD19" s="112" t="e">
        <f>'North America'!#REF!+Europe!#REF!+'Asia-Pacific'!#REF!+'Rest of world'!#REF!</f>
        <v>#REF!</v>
      </c>
      <c r="BE19" s="26" t="e">
        <f>Europe!#REF!+'Asia-Pacific'!#REF!+'Rest of world'!#REF!+'North America'!#REF!+'Latin America'!#REF!</f>
        <v>#REF!</v>
      </c>
      <c r="BF19" s="26">
        <f>Europe!AV19+'Asia-Pacific'!AV19+'Rest of world'!AV19+'North America'!AV19+'Latin America'!AV19</f>
        <v>40</v>
      </c>
      <c r="BG19" s="23">
        <f t="shared" si="31"/>
        <v>0</v>
      </c>
      <c r="BH19" s="112" t="e">
        <f>'North America'!#REF!+Europe!#REF!+'Asia-Pacific'!#REF!+'Rest of world'!#REF!</f>
        <v>#REF!</v>
      </c>
      <c r="BI19" s="26" t="e">
        <f>Europe!#REF!+'Asia-Pacific'!#REF!+'Rest of world'!#REF!+'North America'!#REF!+'Latin America'!#REF!</f>
        <v>#REF!</v>
      </c>
      <c r="BK19" s="240">
        <f t="shared" si="5"/>
        <v>105</v>
      </c>
      <c r="BL19" s="241" t="e">
        <f t="shared" si="6"/>
        <v>#REF!</v>
      </c>
      <c r="BM19" s="240">
        <f t="shared" si="7"/>
        <v>125</v>
      </c>
      <c r="BN19" s="241" t="e">
        <f t="shared" si="8"/>
        <v>#REF!</v>
      </c>
      <c r="BO19" s="240">
        <f t="shared" si="9"/>
        <v>140</v>
      </c>
      <c r="BP19" s="241" t="e">
        <f t="shared" si="10"/>
        <v>#REF!</v>
      </c>
      <c r="BQ19" s="201">
        <f t="shared" si="11"/>
        <v>140</v>
      </c>
      <c r="BR19" s="204" t="e">
        <f t="shared" si="12"/>
        <v>#REF!</v>
      </c>
      <c r="BS19" s="240">
        <f t="shared" si="37"/>
        <v>510</v>
      </c>
      <c r="BT19" s="253" t="e">
        <f t="shared" si="32"/>
        <v>#REF!</v>
      </c>
      <c r="BU19" s="246" t="e">
        <f t="shared" si="13"/>
        <v>#REF!</v>
      </c>
      <c r="BV19" s="201">
        <f t="shared" si="14"/>
        <v>0</v>
      </c>
      <c r="BW19" s="2"/>
      <c r="BX19" s="33">
        <f t="shared" si="33"/>
        <v>510</v>
      </c>
      <c r="BY19" s="113" t="e">
        <f t="shared" si="34"/>
        <v>#REF!</v>
      </c>
      <c r="CA19" s="27">
        <f>+Domestic!B16</f>
        <v>780</v>
      </c>
      <c r="CB19" s="113" t="e">
        <f>+Domestic!#REF!</f>
        <v>#REF!</v>
      </c>
      <c r="CD19" s="27">
        <f t="shared" si="35"/>
        <v>1290</v>
      </c>
      <c r="CE19" s="113" t="e">
        <f t="shared" si="36"/>
        <v>#REF!</v>
      </c>
      <c r="DJ19" s="210">
        <v>900.4</v>
      </c>
      <c r="DK19" s="211">
        <v>3199.9600177698803</v>
      </c>
      <c r="DL19" s="200">
        <v>2.8812440000000001</v>
      </c>
      <c r="DM19" s="209">
        <v>12.965598</v>
      </c>
      <c r="DN19" s="201">
        <f t="shared" si="15"/>
        <v>-390.4</v>
      </c>
      <c r="DO19" s="201">
        <f t="shared" si="16"/>
        <v>-3199.9600177698803</v>
      </c>
      <c r="DP19" s="204" t="e">
        <f t="shared" si="17"/>
        <v>#REF!</v>
      </c>
    </row>
    <row r="20" spans="1:120" ht="12.6" customHeight="1">
      <c r="A20" s="160" t="s">
        <v>84</v>
      </c>
      <c r="B20" s="135"/>
      <c r="C20" s="135"/>
      <c r="D20" s="135"/>
      <c r="E20" s="157"/>
      <c r="F20" s="149"/>
      <c r="G20" s="151"/>
      <c r="H20" s="135"/>
      <c r="I20" s="150">
        <f t="shared" si="18"/>
        <v>0</v>
      </c>
      <c r="J20" s="27">
        <f t="shared" si="19"/>
        <v>300</v>
      </c>
      <c r="K20" s="23">
        <f t="shared" si="20"/>
        <v>0</v>
      </c>
      <c r="L20" s="112" t="e">
        <f t="shared" si="21"/>
        <v>#REF!</v>
      </c>
      <c r="M20" s="113" t="e">
        <f t="shared" si="21"/>
        <v>#REF!</v>
      </c>
      <c r="N20" s="26">
        <f>Europe!D20+'Asia-Pacific'!D20+'Rest of world'!D20+'North America'!D20+'Latin America'!D20</f>
        <v>24</v>
      </c>
      <c r="O20" s="23">
        <f t="shared" si="3"/>
        <v>0</v>
      </c>
      <c r="P20" s="112" t="e">
        <f>'North America'!#REF!+Europe!#REF!+'Asia-Pacific'!#REF!+'Rest of world'!#REF!</f>
        <v>#REF!</v>
      </c>
      <c r="Q20" s="26" t="e">
        <f>Europe!#REF!+'Asia-Pacific'!#REF!+'Rest of world'!#REF!+'North America'!#REF!+'Latin America'!#REF!</f>
        <v>#REF!</v>
      </c>
      <c r="R20" s="26">
        <f>Europe!H20+'Asia-Pacific'!H20+'Rest of world'!H20+'North America'!H20+'Latin America'!H20</f>
        <v>60</v>
      </c>
      <c r="S20" s="23">
        <f t="shared" si="4"/>
        <v>0</v>
      </c>
      <c r="T20" s="112" t="e">
        <f>'North America'!#REF!+Europe!#REF!+'Asia-Pacific'!#REF!+'Rest of world'!#REF!</f>
        <v>#REF!</v>
      </c>
      <c r="U20" s="26" t="e">
        <f>Europe!#REF!+'Asia-Pacific'!#REF!+'Rest of world'!#REF!+'North America'!#REF!+'Latin America'!#REF!</f>
        <v>#REF!</v>
      </c>
      <c r="V20" s="26">
        <f>Europe!L20+'Asia-Pacific'!L20+'Rest of world'!L20+'North America'!L20+'Latin America'!L20</f>
        <v>60</v>
      </c>
      <c r="W20" s="23">
        <f t="shared" si="22"/>
        <v>0</v>
      </c>
      <c r="X20" s="112" t="e">
        <f>'North America'!#REF!+Europe!#REF!+'Asia-Pacific'!#REF!+'Rest of world'!#REF!</f>
        <v>#REF!</v>
      </c>
      <c r="Y20" s="26" t="e">
        <f>Europe!#REF!+'Asia-Pacific'!#REF!+'Rest of world'!#REF!+'North America'!#REF!+'Latin America'!#REF!</f>
        <v>#REF!</v>
      </c>
      <c r="Z20" s="26">
        <f>Europe!P20+'Asia-Pacific'!P20+'Rest of world'!P20+'North America'!P20+'Latin America'!P20</f>
        <v>0</v>
      </c>
      <c r="AA20" s="23">
        <f t="shared" si="23"/>
        <v>0</v>
      </c>
      <c r="AB20" s="112" t="e">
        <f>'North America'!#REF!+Europe!#REF!+'Asia-Pacific'!#REF!+'Rest of world'!#REF!</f>
        <v>#REF!</v>
      </c>
      <c r="AC20" s="26" t="e">
        <f>Europe!#REF!+'Asia-Pacific'!#REF!+'Rest of world'!#REF!+'North America'!#REF!+'Latin America'!#REF!</f>
        <v>#REF!</v>
      </c>
      <c r="AD20" s="26">
        <f>Europe!T20+'Asia-Pacific'!T20+'Rest of world'!T20+'North America'!T20+'Latin America'!T20</f>
        <v>0</v>
      </c>
      <c r="AE20" s="23">
        <f t="shared" si="24"/>
        <v>0</v>
      </c>
      <c r="AF20" s="112">
        <f>'North America'!V20+Europe!V20+'Asia-Pacific'!V20+'Rest of world'!V20</f>
        <v>0</v>
      </c>
      <c r="AG20" s="26">
        <f>Europe!W20+'Asia-Pacific'!W20+'Rest of world'!W20+'North America'!W20+'Latin America'!W20</f>
        <v>0</v>
      </c>
      <c r="AH20" s="26">
        <f>Europe!X20+'Asia-Pacific'!X20+'Rest of world'!X20+'North America'!X20+'Latin America'!X20</f>
        <v>0</v>
      </c>
      <c r="AI20" s="23">
        <f t="shared" si="25"/>
        <v>0</v>
      </c>
      <c r="AJ20" s="112" t="e">
        <f>'North America'!Z20+Europe!Z20+'Asia-Pacific'!Z20+'Rest of world'!#REF!</f>
        <v>#REF!</v>
      </c>
      <c r="AK20" s="26">
        <f>Europe!AA20+'Asia-Pacific'!AA20+'Rest of world'!AA20+'North America'!AA20+'Latin America'!AA20</f>
        <v>0</v>
      </c>
      <c r="AL20" s="26">
        <f>Europe!AB20+'Asia-Pacific'!AB20+'Rest of world'!AB20+'North America'!AB20+'Latin America'!AB20</f>
        <v>60</v>
      </c>
      <c r="AM20" s="23">
        <f t="shared" si="26"/>
        <v>0</v>
      </c>
      <c r="AN20" s="112" t="e">
        <f>'North America'!#REF!+Europe!#REF!+'Asia-Pacific'!#REF!+'Rest of world'!#REF!</f>
        <v>#REF!</v>
      </c>
      <c r="AO20" s="26" t="e">
        <f>Europe!#REF!+'Asia-Pacific'!#REF!+'Rest of world'!#REF!+'North America'!#REF!+'Latin America'!#REF!</f>
        <v>#REF!</v>
      </c>
      <c r="AP20" s="26">
        <f>Europe!AF20+'Asia-Pacific'!AF20+'Rest of world'!AF20+'North America'!AF20+'Latin America'!AF20</f>
        <v>0</v>
      </c>
      <c r="AQ20" s="23">
        <f t="shared" si="27"/>
        <v>0</v>
      </c>
      <c r="AR20" s="112" t="e">
        <f>'North America'!#REF!+Europe!#REF!+'Asia-Pacific'!#REF!+'Rest of world'!#REF!</f>
        <v>#REF!</v>
      </c>
      <c r="AS20" s="26" t="e">
        <f>Europe!#REF!+'Asia-Pacific'!#REF!+'Rest of world'!#REF!+'North America'!#REF!+'Latin America'!#REF!</f>
        <v>#REF!</v>
      </c>
      <c r="AT20" s="26">
        <f>Europe!AJ20+'Asia-Pacific'!AJ20+'Rest of world'!AJ20+'North America'!AJ20+'Latin America'!AJ20</f>
        <v>36</v>
      </c>
      <c r="AU20" s="23">
        <f t="shared" si="28"/>
        <v>0</v>
      </c>
      <c r="AV20" s="112" t="e">
        <f>'North America'!#REF!+Europe!#REF!+'Asia-Pacific'!#REF!+'Rest of world'!#REF!</f>
        <v>#REF!</v>
      </c>
      <c r="AW20" s="26" t="e">
        <f>Europe!#REF!+'Asia-Pacific'!#REF!+'Rest of world'!#REF!+'North America'!#REF!+'Latin America'!#REF!</f>
        <v>#REF!</v>
      </c>
      <c r="AX20" s="26">
        <f>Europe!AN20+'Asia-Pacific'!AN20+'Rest of world'!AN20+'North America'!AN20+'Latin America'!AN20</f>
        <v>0</v>
      </c>
      <c r="AY20" s="23">
        <f t="shared" si="29"/>
        <v>0</v>
      </c>
      <c r="AZ20" s="112" t="e">
        <f>'North America'!#REF!+Europe!#REF!+'Asia-Pacific'!#REF!+'Rest of world'!#REF!</f>
        <v>#REF!</v>
      </c>
      <c r="BA20" s="26" t="e">
        <f>Europe!#REF!+'Asia-Pacific'!#REF!+'Rest of world'!#REF!+'North America'!#REF!+'Latin America'!#REF!</f>
        <v>#REF!</v>
      </c>
      <c r="BB20" s="26">
        <f>Europe!AR20+'Asia-Pacific'!AR20+'Rest of world'!AR20+'North America'!AR20+'Latin America'!AR20</f>
        <v>60</v>
      </c>
      <c r="BC20" s="23">
        <f t="shared" si="30"/>
        <v>0</v>
      </c>
      <c r="BD20" s="112" t="e">
        <f>'North America'!#REF!+Europe!#REF!+'Asia-Pacific'!#REF!+'Rest of world'!#REF!</f>
        <v>#REF!</v>
      </c>
      <c r="BE20" s="26" t="e">
        <f>Europe!#REF!+'Asia-Pacific'!#REF!+'Rest of world'!#REF!+'North America'!#REF!+'Latin America'!#REF!</f>
        <v>#REF!</v>
      </c>
      <c r="BF20" s="26">
        <f>Europe!AV20+'Asia-Pacific'!AV20+'Rest of world'!AV20+'North America'!AV20+'Latin America'!AV20</f>
        <v>0</v>
      </c>
      <c r="BG20" s="23">
        <f t="shared" si="31"/>
        <v>0</v>
      </c>
      <c r="BH20" s="112" t="e">
        <f>'North America'!#REF!+Europe!#REF!+'Asia-Pacific'!#REF!+'Rest of world'!#REF!</f>
        <v>#REF!</v>
      </c>
      <c r="BI20" s="26" t="e">
        <f>Europe!#REF!+'Asia-Pacific'!#REF!+'Rest of world'!#REF!+'North America'!#REF!+'Latin America'!#REF!</f>
        <v>#REF!</v>
      </c>
      <c r="BK20" s="240">
        <f t="shared" si="5"/>
        <v>144</v>
      </c>
      <c r="BL20" s="241" t="e">
        <f t="shared" si="6"/>
        <v>#REF!</v>
      </c>
      <c r="BM20" s="240">
        <f t="shared" si="7"/>
        <v>0</v>
      </c>
      <c r="BN20" s="241" t="e">
        <f t="shared" si="8"/>
        <v>#REF!</v>
      </c>
      <c r="BO20" s="240">
        <f t="shared" si="9"/>
        <v>96</v>
      </c>
      <c r="BP20" s="241" t="e">
        <f t="shared" si="10"/>
        <v>#REF!</v>
      </c>
      <c r="BQ20" s="201">
        <f t="shared" si="11"/>
        <v>60</v>
      </c>
      <c r="BR20" s="204" t="e">
        <f t="shared" si="12"/>
        <v>#REF!</v>
      </c>
      <c r="BS20" s="240">
        <f t="shared" si="37"/>
        <v>300</v>
      </c>
      <c r="BT20" s="253" t="e">
        <f t="shared" si="32"/>
        <v>#REF!</v>
      </c>
      <c r="BU20" s="246" t="e">
        <f t="shared" si="13"/>
        <v>#REF!</v>
      </c>
      <c r="BV20" s="201">
        <f t="shared" si="14"/>
        <v>0</v>
      </c>
      <c r="BW20" s="2"/>
      <c r="BX20" s="33">
        <f t="shared" si="33"/>
        <v>300</v>
      </c>
      <c r="BY20" s="113" t="e">
        <f t="shared" si="34"/>
        <v>#REF!</v>
      </c>
      <c r="CA20" s="27">
        <f>+Domestic!B17</f>
        <v>510</v>
      </c>
      <c r="CB20" s="113" t="e">
        <f>+Domestic!#REF!</f>
        <v>#REF!</v>
      </c>
      <c r="CD20" s="27">
        <f t="shared" si="35"/>
        <v>810</v>
      </c>
      <c r="CE20" s="113" t="e">
        <f t="shared" si="36"/>
        <v>#REF!</v>
      </c>
      <c r="DJ20" s="210">
        <v>50</v>
      </c>
      <c r="DK20" s="211">
        <v>3949.9999999999995</v>
      </c>
      <c r="DL20" s="200">
        <v>0.19749999999999998</v>
      </c>
      <c r="DM20" s="209">
        <v>0.88874999999999993</v>
      </c>
      <c r="DN20" s="201">
        <f t="shared" si="15"/>
        <v>250</v>
      </c>
      <c r="DO20" s="201">
        <f t="shared" si="16"/>
        <v>-3949.9999999999995</v>
      </c>
      <c r="DP20" s="204" t="e">
        <f t="shared" si="17"/>
        <v>#REF!</v>
      </c>
    </row>
    <row r="21" spans="1:120" ht="12.6" customHeight="1">
      <c r="A21" s="35" t="s">
        <v>111</v>
      </c>
      <c r="B21" s="135"/>
      <c r="C21" s="135"/>
      <c r="D21" s="135"/>
      <c r="E21" s="157"/>
      <c r="F21" s="149"/>
      <c r="G21" s="151"/>
      <c r="H21" s="135"/>
      <c r="I21" s="150">
        <f t="shared" si="18"/>
        <v>0</v>
      </c>
      <c r="J21" s="27">
        <f t="shared" si="19"/>
        <v>420</v>
      </c>
      <c r="K21" s="23">
        <f t="shared" si="20"/>
        <v>0</v>
      </c>
      <c r="L21" s="112" t="e">
        <f t="shared" si="21"/>
        <v>#REF!</v>
      </c>
      <c r="M21" s="113" t="e">
        <f t="shared" si="21"/>
        <v>#REF!</v>
      </c>
      <c r="N21" s="26">
        <f>Europe!D21+'Asia-Pacific'!D21+'Rest of world'!D21+'North America'!D21+'Latin America'!D21</f>
        <v>20</v>
      </c>
      <c r="O21" s="23">
        <f t="shared" si="3"/>
        <v>0</v>
      </c>
      <c r="P21" s="112" t="e">
        <f>'North America'!#REF!+Europe!#REF!+'Asia-Pacific'!#REF!+'Rest of world'!#REF!</f>
        <v>#REF!</v>
      </c>
      <c r="Q21" s="26" t="e">
        <f>Europe!#REF!+'Asia-Pacific'!#REF!+'Rest of world'!#REF!+'North America'!#REF!+'Latin America'!#REF!</f>
        <v>#REF!</v>
      </c>
      <c r="R21" s="26">
        <f>Europe!H21+'Asia-Pacific'!H21+'Rest of world'!H21+'North America'!H21+'Latin America'!H21</f>
        <v>38</v>
      </c>
      <c r="S21" s="23">
        <f t="shared" si="4"/>
        <v>0</v>
      </c>
      <c r="T21" s="112" t="e">
        <f>'North America'!#REF!+Europe!#REF!+'Asia-Pacific'!#REF!+'Rest of world'!#REF!</f>
        <v>#REF!</v>
      </c>
      <c r="U21" s="26" t="e">
        <f>Europe!#REF!+'Asia-Pacific'!#REF!+'Rest of world'!#REF!+'North America'!#REF!+'Latin America'!#REF!</f>
        <v>#REF!</v>
      </c>
      <c r="V21" s="26">
        <f>Europe!L21+'Asia-Pacific'!L21+'Rest of world'!L21+'North America'!L21+'Latin America'!L21</f>
        <v>38</v>
      </c>
      <c r="W21" s="23">
        <f t="shared" si="22"/>
        <v>0</v>
      </c>
      <c r="X21" s="112" t="e">
        <f>'North America'!#REF!+Europe!#REF!+'Asia-Pacific'!#REF!+'Rest of world'!#REF!</f>
        <v>#REF!</v>
      </c>
      <c r="Y21" s="26" t="e">
        <f>Europe!#REF!+'Asia-Pacific'!#REF!+'Rest of world'!#REF!+'North America'!#REF!+'Latin America'!#REF!</f>
        <v>#REF!</v>
      </c>
      <c r="Z21" s="26">
        <f>Europe!P21+'Asia-Pacific'!P21+'Rest of world'!P21+'North America'!P21+'Latin America'!P21</f>
        <v>38</v>
      </c>
      <c r="AA21" s="23">
        <f t="shared" si="23"/>
        <v>0</v>
      </c>
      <c r="AB21" s="112" t="e">
        <f>'North America'!#REF!+Europe!#REF!+'Asia-Pacific'!#REF!+'Rest of world'!#REF!</f>
        <v>#REF!</v>
      </c>
      <c r="AC21" s="26" t="e">
        <f>Europe!#REF!+'Asia-Pacific'!#REF!+'Rest of world'!#REF!+'North America'!#REF!+'Latin America'!#REF!</f>
        <v>#REF!</v>
      </c>
      <c r="AD21" s="26">
        <f>Europe!T21+'Asia-Pacific'!T21+'Rest of world'!T21+'North America'!T21+'Latin America'!T21</f>
        <v>20</v>
      </c>
      <c r="AE21" s="23">
        <f t="shared" si="24"/>
        <v>83600000</v>
      </c>
      <c r="AF21" s="112">
        <f>'North America'!V21+Europe!V21+'Asia-Pacific'!V21+'Rest of world'!V21</f>
        <v>1672</v>
      </c>
      <c r="AG21" s="26">
        <f>Europe!W21+'Asia-Pacific'!W21+'Rest of world'!W21+'North America'!W21+'Latin America'!W21</f>
        <v>0.10712146500000001</v>
      </c>
      <c r="AH21" s="26">
        <f>Europe!X21+'Asia-Pacific'!X21+'Rest of world'!X21+'North America'!X21+'Latin America'!X21</f>
        <v>38</v>
      </c>
      <c r="AI21" s="23">
        <f t="shared" si="25"/>
        <v>0</v>
      </c>
      <c r="AJ21" s="112" t="e">
        <f>'North America'!Z21+Europe!Z21+'Asia-Pacific'!Z21+'Rest of world'!#REF!</f>
        <v>#REF!</v>
      </c>
      <c r="AK21" s="26">
        <f>Europe!AA21+'Asia-Pacific'!AA21+'Rest of world'!AA21+'North America'!AA21+'Latin America'!AA21</f>
        <v>1.9926972000000001E-2</v>
      </c>
      <c r="AL21" s="26">
        <f>Europe!AB21+'Asia-Pacific'!AB21+'Rest of world'!AB21+'North America'!AB21+'Latin America'!AB21</f>
        <v>38</v>
      </c>
      <c r="AM21" s="23">
        <f t="shared" si="26"/>
        <v>0</v>
      </c>
      <c r="AN21" s="112" t="e">
        <f>'North America'!#REF!+Europe!#REF!+'Asia-Pacific'!#REF!+'Rest of world'!#REF!</f>
        <v>#REF!</v>
      </c>
      <c r="AO21" s="26" t="e">
        <f>Europe!#REF!+'Asia-Pacific'!#REF!+'Rest of world'!#REF!+'North America'!#REF!+'Latin America'!#REF!</f>
        <v>#REF!</v>
      </c>
      <c r="AP21" s="26">
        <f>Europe!AF21+'Asia-Pacific'!AF21+'Rest of world'!AF21+'North America'!AF21+'Latin America'!AF21</f>
        <v>38</v>
      </c>
      <c r="AQ21" s="23">
        <f t="shared" si="27"/>
        <v>0</v>
      </c>
      <c r="AR21" s="112" t="e">
        <f>'North America'!#REF!+Europe!#REF!+'Asia-Pacific'!#REF!+'Rest of world'!#REF!</f>
        <v>#REF!</v>
      </c>
      <c r="AS21" s="26" t="e">
        <f>Europe!#REF!+'Asia-Pacific'!#REF!+'Rest of world'!#REF!+'North America'!#REF!+'Latin America'!#REF!</f>
        <v>#REF!</v>
      </c>
      <c r="AT21" s="26">
        <f>Europe!AJ21+'Asia-Pacific'!AJ21+'Rest of world'!AJ21+'North America'!AJ21+'Latin America'!AJ21</f>
        <v>38</v>
      </c>
      <c r="AU21" s="23">
        <f t="shared" si="28"/>
        <v>0</v>
      </c>
      <c r="AV21" s="112" t="e">
        <f>'North America'!#REF!+Europe!#REF!+'Asia-Pacific'!#REF!+'Rest of world'!#REF!</f>
        <v>#REF!</v>
      </c>
      <c r="AW21" s="26" t="e">
        <f>Europe!#REF!+'Asia-Pacific'!#REF!+'Rest of world'!#REF!+'North America'!#REF!+'Latin America'!#REF!</f>
        <v>#REF!</v>
      </c>
      <c r="AX21" s="26">
        <f>Europe!AN21+'Asia-Pacific'!AN21+'Rest of world'!AN21+'North America'!AN21+'Latin America'!AN21</f>
        <v>38</v>
      </c>
      <c r="AY21" s="23">
        <f t="shared" si="29"/>
        <v>0</v>
      </c>
      <c r="AZ21" s="112" t="e">
        <f>'North America'!#REF!+Europe!#REF!+'Asia-Pacific'!#REF!+'Rest of world'!#REF!</f>
        <v>#REF!</v>
      </c>
      <c r="BA21" s="26" t="e">
        <f>Europe!#REF!+'Asia-Pacific'!#REF!+'Rest of world'!#REF!+'North America'!#REF!+'Latin America'!#REF!</f>
        <v>#REF!</v>
      </c>
      <c r="BB21" s="26">
        <f>Europe!AR21+'Asia-Pacific'!AR21+'Rest of world'!AR21+'North America'!AR21+'Latin America'!AR21</f>
        <v>38</v>
      </c>
      <c r="BC21" s="23">
        <f t="shared" si="30"/>
        <v>0</v>
      </c>
      <c r="BD21" s="112" t="e">
        <f>'North America'!#REF!+Europe!#REF!+'Asia-Pacific'!#REF!+'Rest of world'!#REF!</f>
        <v>#REF!</v>
      </c>
      <c r="BE21" s="26" t="e">
        <f>Europe!#REF!+'Asia-Pacific'!#REF!+'Rest of world'!#REF!+'North America'!#REF!+'Latin America'!#REF!</f>
        <v>#REF!</v>
      </c>
      <c r="BF21" s="26">
        <f>Europe!AV21+'Asia-Pacific'!AV21+'Rest of world'!AV21+'North America'!AV21+'Latin America'!AV21</f>
        <v>38</v>
      </c>
      <c r="BG21" s="23">
        <f t="shared" si="31"/>
        <v>0</v>
      </c>
      <c r="BH21" s="112" t="e">
        <f>'North America'!#REF!+Europe!#REF!+'Asia-Pacific'!#REF!+'Rest of world'!#REF!</f>
        <v>#REF!</v>
      </c>
      <c r="BI21" s="26" t="e">
        <f>Europe!#REF!+'Asia-Pacific'!#REF!+'Rest of world'!#REF!+'North America'!#REF!+'Latin America'!#REF!</f>
        <v>#REF!</v>
      </c>
      <c r="BK21" s="240">
        <f t="shared" si="5"/>
        <v>96</v>
      </c>
      <c r="BL21" s="241" t="e">
        <f t="shared" si="6"/>
        <v>#REF!</v>
      </c>
      <c r="BM21" s="240">
        <f t="shared" si="7"/>
        <v>96</v>
      </c>
      <c r="BN21" s="241" t="e">
        <f t="shared" si="8"/>
        <v>#REF!</v>
      </c>
      <c r="BO21" s="240">
        <f t="shared" si="9"/>
        <v>114</v>
      </c>
      <c r="BP21" s="241" t="e">
        <f t="shared" si="10"/>
        <v>#REF!</v>
      </c>
      <c r="BQ21" s="201">
        <f t="shared" si="11"/>
        <v>114</v>
      </c>
      <c r="BR21" s="204" t="e">
        <f t="shared" si="12"/>
        <v>#REF!</v>
      </c>
      <c r="BS21" s="240">
        <f t="shared" si="37"/>
        <v>420</v>
      </c>
      <c r="BT21" s="253" t="e">
        <f t="shared" si="32"/>
        <v>#REF!</v>
      </c>
      <c r="BU21" s="246" t="e">
        <f t="shared" si="13"/>
        <v>#REF!</v>
      </c>
      <c r="BV21" s="201">
        <f t="shared" si="14"/>
        <v>0</v>
      </c>
      <c r="BW21" s="2"/>
      <c r="BX21" s="33">
        <f t="shared" si="33"/>
        <v>420</v>
      </c>
      <c r="BY21" s="113" t="e">
        <f t="shared" si="34"/>
        <v>#REF!</v>
      </c>
      <c r="CA21" s="27">
        <f>+Domestic!B22</f>
        <v>0</v>
      </c>
      <c r="CB21" s="113" t="e">
        <f>+Domestic!#REF!</f>
        <v>#REF!</v>
      </c>
      <c r="CD21" s="27">
        <f t="shared" si="35"/>
        <v>420</v>
      </c>
      <c r="CE21" s="113" t="e">
        <f t="shared" si="36"/>
        <v>#REF!</v>
      </c>
      <c r="DJ21" s="210">
        <v>22000</v>
      </c>
      <c r="DK21" s="211">
        <v>469.99999999999983</v>
      </c>
      <c r="DL21" s="200">
        <v>10.339999999999996</v>
      </c>
      <c r="DM21" s="209">
        <v>46.529999999999987</v>
      </c>
      <c r="DN21" s="201">
        <f t="shared" si="15"/>
        <v>-21580</v>
      </c>
      <c r="DO21" s="201">
        <f t="shared" si="16"/>
        <v>-469.99999999999983</v>
      </c>
      <c r="DP21" s="204" t="e">
        <f t="shared" si="17"/>
        <v>#REF!</v>
      </c>
    </row>
    <row r="22" spans="1:120" ht="12.6" customHeight="1">
      <c r="A22" s="35" t="s">
        <v>106</v>
      </c>
      <c r="B22" s="135"/>
      <c r="C22" s="135"/>
      <c r="D22" s="135"/>
      <c r="E22" s="157"/>
      <c r="F22" s="149"/>
      <c r="G22" s="151"/>
      <c r="H22" s="135"/>
      <c r="I22" s="150">
        <f t="shared" si="18"/>
        <v>0</v>
      </c>
      <c r="J22" s="27">
        <f>N22+R22+V22+Z22+AD22+AH22+AL22+AP22+AT22+AX22+BB22+BF22</f>
        <v>0</v>
      </c>
      <c r="K22" s="23">
        <f>IF(ISERROR(L22/J22*1000000),0,(L22/J22*1000000))</f>
        <v>0</v>
      </c>
      <c r="L22" s="112" t="e">
        <f>P22+T22+X22+AB22+AF22+AJ22+AN22+AR22+AV22+AZ22+BD22+BH22</f>
        <v>#REF!</v>
      </c>
      <c r="M22" s="113" t="e">
        <f>Q22+U22+Y22+AC22+AG22+AK22+AO22+AS22+AW22+BA22+BE22+BI22</f>
        <v>#REF!</v>
      </c>
      <c r="N22" s="26">
        <f>Europe!D22+'Asia-Pacific'!D22+'Rest of world'!D22+'North America'!D22+'Latin America'!D22</f>
        <v>0</v>
      </c>
      <c r="O22" s="23">
        <f>IF(ISERROR(P22/N22*1000000),0,(P22/N22*1000000))</f>
        <v>0</v>
      </c>
      <c r="P22" s="112" t="e">
        <f>'North America'!#REF!+Europe!#REF!+'Asia-Pacific'!#REF!+'Rest of world'!#REF!</f>
        <v>#REF!</v>
      </c>
      <c r="Q22" s="26" t="e">
        <f>Europe!#REF!+'Asia-Pacific'!#REF!+'Rest of world'!#REF!+'North America'!#REF!+'Latin America'!#REF!</f>
        <v>#REF!</v>
      </c>
      <c r="R22" s="26">
        <f>Europe!H22+'Asia-Pacific'!H22+'Rest of world'!H22+'North America'!H22+'Latin America'!H22</f>
        <v>0</v>
      </c>
      <c r="S22" s="23">
        <f>IF(ISERROR(T22/R22*1000000),0,(T22/R22*1000000))</f>
        <v>0</v>
      </c>
      <c r="T22" s="112" t="e">
        <f>'North America'!#REF!+Europe!#REF!+'Asia-Pacific'!#REF!+'Rest of world'!#REF!</f>
        <v>#REF!</v>
      </c>
      <c r="U22" s="26" t="e">
        <f>Europe!#REF!+'Asia-Pacific'!#REF!+'Rest of world'!#REF!+'North America'!#REF!+'Latin America'!#REF!</f>
        <v>#REF!</v>
      </c>
      <c r="V22" s="26">
        <f>Europe!L22+'Asia-Pacific'!L22+'Rest of world'!L22+'North America'!L22+'Latin America'!L22</f>
        <v>0</v>
      </c>
      <c r="W22" s="23">
        <f t="shared" si="22"/>
        <v>0</v>
      </c>
      <c r="X22" s="112" t="e">
        <f>'North America'!#REF!+Europe!#REF!+'Asia-Pacific'!#REF!+'Rest of world'!#REF!</f>
        <v>#REF!</v>
      </c>
      <c r="Y22" s="26" t="e">
        <f>Europe!#REF!+'Asia-Pacific'!#REF!+'Rest of world'!#REF!+'North America'!#REF!+'Latin America'!#REF!</f>
        <v>#REF!</v>
      </c>
      <c r="Z22" s="26">
        <f>Europe!P22+'Asia-Pacific'!P22+'Rest of world'!P22+'North America'!P22+'Latin America'!P22</f>
        <v>0</v>
      </c>
      <c r="AA22" s="23">
        <f t="shared" si="23"/>
        <v>0</v>
      </c>
      <c r="AB22" s="112" t="e">
        <f>'North America'!#REF!+Europe!#REF!+'Asia-Pacific'!#REF!+'Rest of world'!#REF!</f>
        <v>#REF!</v>
      </c>
      <c r="AC22" s="26" t="e">
        <f>Europe!#REF!+'Asia-Pacific'!#REF!+'Rest of world'!#REF!+'North America'!#REF!+'Latin America'!#REF!</f>
        <v>#REF!</v>
      </c>
      <c r="AD22" s="26">
        <f>Europe!T22+'Asia-Pacific'!T22+'Rest of world'!T22+'North America'!T22+'Latin America'!T22</f>
        <v>0</v>
      </c>
      <c r="AE22" s="23">
        <f t="shared" si="24"/>
        <v>0</v>
      </c>
      <c r="AF22" s="112">
        <f>'North America'!V22+Europe!V22+'Asia-Pacific'!V22+'Rest of world'!V22</f>
        <v>0</v>
      </c>
      <c r="AG22" s="26">
        <f>Europe!W22+'Asia-Pacific'!W22+'Rest of world'!W22+'North America'!W22+'Latin America'!W22</f>
        <v>0</v>
      </c>
      <c r="AH22" s="26">
        <f>Europe!X22+'Asia-Pacific'!X22+'Rest of world'!X22+'North America'!X22+'Latin America'!X22</f>
        <v>0</v>
      </c>
      <c r="AI22" s="23">
        <f t="shared" si="25"/>
        <v>0</v>
      </c>
      <c r="AJ22" s="112" t="e">
        <f>'North America'!Z22+Europe!Z22+'Asia-Pacific'!Z22+'Rest of world'!#REF!</f>
        <v>#REF!</v>
      </c>
      <c r="AK22" s="26">
        <f>Europe!AA22+'Asia-Pacific'!AA22+'Rest of world'!AA22+'North America'!AA22+'Latin America'!AA22</f>
        <v>0</v>
      </c>
      <c r="AL22" s="26">
        <f>Europe!AB22+'Asia-Pacific'!AB22+'Rest of world'!AB22+'North America'!AB22+'Latin America'!AB22</f>
        <v>0</v>
      </c>
      <c r="AM22" s="23">
        <f t="shared" si="26"/>
        <v>0</v>
      </c>
      <c r="AN22" s="112" t="e">
        <f>'North America'!#REF!+Europe!#REF!+'Asia-Pacific'!#REF!+'Rest of world'!#REF!</f>
        <v>#REF!</v>
      </c>
      <c r="AO22" s="26" t="e">
        <f>Europe!#REF!+'Asia-Pacific'!#REF!+'Rest of world'!#REF!+'North America'!#REF!+'Latin America'!#REF!</f>
        <v>#REF!</v>
      </c>
      <c r="AP22" s="26">
        <f>Europe!AF22+'Asia-Pacific'!AF22+'Rest of world'!AF22+'North America'!AF22+'Latin America'!AF22</f>
        <v>0</v>
      </c>
      <c r="AQ22" s="23">
        <f t="shared" si="27"/>
        <v>0</v>
      </c>
      <c r="AR22" s="112" t="e">
        <f>'North America'!#REF!+Europe!#REF!+'Asia-Pacific'!#REF!+'Rest of world'!#REF!</f>
        <v>#REF!</v>
      </c>
      <c r="AS22" s="26" t="e">
        <f>Europe!#REF!+'Asia-Pacific'!#REF!+'Rest of world'!#REF!+'North America'!#REF!+'Latin America'!#REF!</f>
        <v>#REF!</v>
      </c>
      <c r="AT22" s="26">
        <f>Europe!AJ22+'Asia-Pacific'!AJ22+'Rest of world'!AJ22+'North America'!AJ22+'Latin America'!AJ22</f>
        <v>0</v>
      </c>
      <c r="AU22" s="23">
        <f t="shared" si="28"/>
        <v>0</v>
      </c>
      <c r="AV22" s="112" t="e">
        <f>'North America'!#REF!+Europe!#REF!+'Asia-Pacific'!#REF!+'Rest of world'!#REF!</f>
        <v>#REF!</v>
      </c>
      <c r="AW22" s="26" t="e">
        <f>Europe!#REF!+'Asia-Pacific'!#REF!+'Rest of world'!#REF!+'North America'!#REF!+'Latin America'!#REF!</f>
        <v>#REF!</v>
      </c>
      <c r="AX22" s="26">
        <f>Europe!AN22+'Asia-Pacific'!AN22+'Rest of world'!AN22+'North America'!AN22+'Latin America'!AN22</f>
        <v>0</v>
      </c>
      <c r="AY22" s="23">
        <f t="shared" si="29"/>
        <v>0</v>
      </c>
      <c r="AZ22" s="112" t="e">
        <f>'North America'!#REF!+Europe!#REF!+'Asia-Pacific'!#REF!+'Rest of world'!#REF!</f>
        <v>#REF!</v>
      </c>
      <c r="BA22" s="26" t="e">
        <f>Europe!#REF!+'Asia-Pacific'!#REF!+'Rest of world'!#REF!+'North America'!#REF!+'Latin America'!#REF!</f>
        <v>#REF!</v>
      </c>
      <c r="BB22" s="26">
        <f>Europe!AR22+'Asia-Pacific'!AR22+'Rest of world'!AR22+'North America'!AR22+'Latin America'!AR22</f>
        <v>0</v>
      </c>
      <c r="BC22" s="23">
        <f t="shared" si="30"/>
        <v>0</v>
      </c>
      <c r="BD22" s="112" t="e">
        <f>'North America'!#REF!+Europe!#REF!+'Asia-Pacific'!#REF!+'Rest of world'!#REF!</f>
        <v>#REF!</v>
      </c>
      <c r="BE22" s="26" t="e">
        <f>Europe!#REF!+'Asia-Pacific'!#REF!+'Rest of world'!#REF!+'North America'!#REF!+'Latin America'!#REF!</f>
        <v>#REF!</v>
      </c>
      <c r="BF22" s="26">
        <f>Europe!AV22+'Asia-Pacific'!AV22+'Rest of world'!AV22+'North America'!AV22+'Latin America'!AV22</f>
        <v>0</v>
      </c>
      <c r="BG22" s="23">
        <f t="shared" si="31"/>
        <v>0</v>
      </c>
      <c r="BH22" s="112" t="e">
        <f>'North America'!#REF!+Europe!#REF!+'Asia-Pacific'!#REF!+'Rest of world'!#REF!</f>
        <v>#REF!</v>
      </c>
      <c r="BI22" s="26" t="e">
        <f>Europe!#REF!+'Asia-Pacific'!#REF!+'Rest of world'!#REF!+'North America'!#REF!+'Latin America'!#REF!</f>
        <v>#REF!</v>
      </c>
      <c r="BK22" s="240">
        <f t="shared" si="5"/>
        <v>0</v>
      </c>
      <c r="BL22" s="241" t="e">
        <f t="shared" si="6"/>
        <v>#REF!</v>
      </c>
      <c r="BM22" s="240">
        <f t="shared" si="7"/>
        <v>0</v>
      </c>
      <c r="BN22" s="241" t="e">
        <f t="shared" si="8"/>
        <v>#REF!</v>
      </c>
      <c r="BO22" s="240">
        <f t="shared" si="9"/>
        <v>0</v>
      </c>
      <c r="BP22" s="241" t="e">
        <f t="shared" si="10"/>
        <v>#REF!</v>
      </c>
      <c r="BQ22" s="201">
        <f t="shared" si="11"/>
        <v>0</v>
      </c>
      <c r="BR22" s="204" t="e">
        <f t="shared" si="12"/>
        <v>#REF!</v>
      </c>
      <c r="BS22" s="240">
        <f t="shared" si="37"/>
        <v>0</v>
      </c>
      <c r="BT22" s="253" t="e">
        <f t="shared" si="32"/>
        <v>#REF!</v>
      </c>
      <c r="BU22" s="246" t="e">
        <f t="shared" si="13"/>
        <v>#REF!</v>
      </c>
      <c r="BV22" s="201">
        <f t="shared" si="14"/>
        <v>0</v>
      </c>
      <c r="BW22" s="2"/>
      <c r="BX22" s="33">
        <f t="shared" si="33"/>
        <v>0</v>
      </c>
      <c r="BY22" s="113" t="e">
        <f t="shared" si="34"/>
        <v>#REF!</v>
      </c>
      <c r="CA22" s="27">
        <f>+Domestic!B23</f>
        <v>0</v>
      </c>
      <c r="CB22" s="113" t="e">
        <f>+Domestic!#REF!</f>
        <v>#REF!</v>
      </c>
      <c r="CD22" s="27">
        <f t="shared" si="35"/>
        <v>0</v>
      </c>
      <c r="CE22" s="113" t="e">
        <f t="shared" si="36"/>
        <v>#REF!</v>
      </c>
      <c r="DJ22" s="210">
        <v>0</v>
      </c>
      <c r="DK22" s="211">
        <v>0</v>
      </c>
      <c r="DL22" s="200">
        <v>0</v>
      </c>
      <c r="DM22" s="209">
        <v>0</v>
      </c>
      <c r="DN22" s="201">
        <f t="shared" si="15"/>
        <v>0</v>
      </c>
      <c r="DO22" s="201">
        <f t="shared" si="16"/>
        <v>0</v>
      </c>
      <c r="DP22" s="204" t="e">
        <f t="shared" si="17"/>
        <v>#REF!</v>
      </c>
    </row>
    <row r="23" spans="1:120" ht="12.6" customHeight="1" thickBot="1">
      <c r="A23" s="503" t="s">
        <v>243</v>
      </c>
      <c r="B23" s="148"/>
      <c r="C23" s="148"/>
      <c r="D23" s="148"/>
      <c r="E23" s="158"/>
      <c r="F23" s="149"/>
      <c r="G23" s="152"/>
      <c r="H23" s="135"/>
      <c r="I23" s="150">
        <f t="shared" si="18"/>
        <v>0</v>
      </c>
      <c r="J23" s="82">
        <f t="shared" si="19"/>
        <v>0</v>
      </c>
      <c r="K23" s="39">
        <f t="shared" si="20"/>
        <v>0</v>
      </c>
      <c r="L23" s="112" t="e">
        <f t="shared" si="21"/>
        <v>#REF!</v>
      </c>
      <c r="M23" s="113" t="e">
        <f t="shared" ca="1" si="21"/>
        <v>#REF!</v>
      </c>
      <c r="N23" s="26">
        <f>Europe!D23+'Asia-Pacific'!D23+'Rest of world'!D23+'North America'!D23+'Latin America'!D23</f>
        <v>0</v>
      </c>
      <c r="O23" s="39">
        <f t="shared" si="3"/>
        <v>0</v>
      </c>
      <c r="P23" s="112" t="e">
        <f>'North America'!#REF!+Europe!#REF!+'Asia-Pacific'!#REF!+'Rest of world'!#REF!</f>
        <v>#REF!</v>
      </c>
      <c r="Q23" s="26" t="e">
        <f>Europe!#REF!+'Asia-Pacific'!#REF!+'Rest of world'!#REF!+'North America'!#REF!+'Latin America'!#REF!</f>
        <v>#REF!</v>
      </c>
      <c r="R23" s="26">
        <f>Europe!H23+'Asia-Pacific'!H23+'Rest of world'!H23+'North America'!H23+'Latin America'!H23</f>
        <v>0</v>
      </c>
      <c r="S23" s="39">
        <f t="shared" si="4"/>
        <v>0</v>
      </c>
      <c r="T23" s="112" t="e">
        <f>'North America'!#REF!+Europe!#REF!+'Asia-Pacific'!#REF!+'Rest of world'!#REF!</f>
        <v>#REF!</v>
      </c>
      <c r="U23" s="26" t="e">
        <f>Europe!#REF!+'Asia-Pacific'!#REF!+'Rest of world'!#REF!+'North America'!#REF!+'Latin America'!#REF!</f>
        <v>#REF!</v>
      </c>
      <c r="V23" s="26">
        <f>Europe!L23+'Asia-Pacific'!L23+'Rest of world'!L23+'North America'!L23+'Latin America'!L23</f>
        <v>0</v>
      </c>
      <c r="W23" s="39">
        <f t="shared" si="22"/>
        <v>0</v>
      </c>
      <c r="X23" s="112" t="e">
        <f>'North America'!#REF!+Europe!#REF!+'Asia-Pacific'!#REF!+'Rest of world'!#REF!</f>
        <v>#REF!</v>
      </c>
      <c r="Y23" s="26" t="e">
        <f>Europe!#REF!+'Asia-Pacific'!#REF!+'Rest of world'!#REF!+'North America'!#REF!+'Latin America'!#REF!</f>
        <v>#REF!</v>
      </c>
      <c r="Z23" s="26">
        <f>Europe!P23+'Asia-Pacific'!P23+'Rest of world'!P23+'North America'!P23+'Latin America'!P23</f>
        <v>0</v>
      </c>
      <c r="AA23" s="39">
        <f t="shared" si="23"/>
        <v>0</v>
      </c>
      <c r="AB23" s="112" t="e">
        <f>'North America'!#REF!+Europe!#REF!+'Asia-Pacific'!#REF!+'Rest of world'!#REF!</f>
        <v>#REF!</v>
      </c>
      <c r="AC23" s="26" t="e">
        <f>Europe!#REF!+'Asia-Pacific'!#REF!+'Rest of world'!#REF!+'North America'!#REF!+'Latin America'!#REF!</f>
        <v>#REF!</v>
      </c>
      <c r="AD23" s="26">
        <f>Europe!T23+'Asia-Pacific'!T23+'Rest of world'!T23+'North America'!T23+'Latin America'!T23</f>
        <v>0</v>
      </c>
      <c r="AE23" s="39">
        <f t="shared" si="24"/>
        <v>0</v>
      </c>
      <c r="AF23" s="112">
        <f>'North America'!V23+Europe!V23+'Asia-Pacific'!V23+'Rest of world'!V23</f>
        <v>5591</v>
      </c>
      <c r="AG23" s="26">
        <f>Europe!W23+'Asia-Pacific'!W23+'Rest of world'!W23+'North America'!W23+'Latin America'!W23</f>
        <v>1.4874918087000004</v>
      </c>
      <c r="AH23" s="26">
        <f>Europe!X23+'Asia-Pacific'!X23+'Rest of world'!X23+'North America'!X23+'Latin America'!X23</f>
        <v>0</v>
      </c>
      <c r="AI23" s="39">
        <f t="shared" si="25"/>
        <v>0</v>
      </c>
      <c r="AJ23" s="112" t="e">
        <f>'North America'!Z23+Europe!Z23+'Asia-Pacific'!Z23+'Rest of world'!#REF!</f>
        <v>#REF!</v>
      </c>
      <c r="AK23" s="26">
        <f ca="1">Europe!AA23+'Asia-Pacific'!AA23+'Rest of world'!AA23+'North America'!AA23+'Latin America'!AA23</f>
        <v>1.8264172233000002</v>
      </c>
      <c r="AL23" s="26">
        <f>Europe!AB23+'Asia-Pacific'!AB23+'Rest of world'!AB23+'North America'!AB23+'Latin America'!AB23</f>
        <v>0</v>
      </c>
      <c r="AM23" s="39">
        <f t="shared" si="26"/>
        <v>0</v>
      </c>
      <c r="AN23" s="112" t="e">
        <f>'North America'!#REF!+Europe!#REF!+'Asia-Pacific'!#REF!+'Rest of world'!#REF!</f>
        <v>#REF!</v>
      </c>
      <c r="AO23" s="26" t="e">
        <f>Europe!#REF!+'Asia-Pacific'!#REF!+'Rest of world'!#REF!+'North America'!#REF!+'Latin America'!#REF!</f>
        <v>#REF!</v>
      </c>
      <c r="AP23" s="26">
        <f>Europe!AF23+'Asia-Pacific'!AF23+'Rest of world'!AF23+'North America'!AF23+'Latin America'!AF23</f>
        <v>0</v>
      </c>
      <c r="AQ23" s="39">
        <f t="shared" si="27"/>
        <v>0</v>
      </c>
      <c r="AR23" s="112" t="e">
        <f>'North America'!#REF!+Europe!#REF!+'Asia-Pacific'!#REF!+'Rest of world'!#REF!</f>
        <v>#REF!</v>
      </c>
      <c r="AS23" s="26" t="e">
        <f>Europe!#REF!+'Asia-Pacific'!#REF!+'Rest of world'!#REF!+'North America'!#REF!+'Latin America'!#REF!</f>
        <v>#REF!</v>
      </c>
      <c r="AT23" s="26">
        <f>Europe!AJ23+'Asia-Pacific'!AJ23+'Rest of world'!AJ23+'North America'!AJ23+'Latin America'!AJ23</f>
        <v>0</v>
      </c>
      <c r="AU23" s="39">
        <f t="shared" si="28"/>
        <v>0</v>
      </c>
      <c r="AV23" s="112" t="e">
        <f>'North America'!#REF!+Europe!#REF!+'Asia-Pacific'!#REF!+'Rest of world'!#REF!</f>
        <v>#REF!</v>
      </c>
      <c r="AW23" s="26" t="e">
        <f>Europe!#REF!+'Asia-Pacific'!#REF!+'Rest of world'!#REF!+'North America'!#REF!+'Latin America'!#REF!</f>
        <v>#REF!</v>
      </c>
      <c r="AX23" s="26">
        <f>Europe!AN23+'Asia-Pacific'!AN23+'Rest of world'!AN23+'North America'!AN23+'Latin America'!AN23</f>
        <v>0</v>
      </c>
      <c r="AY23" s="39">
        <f t="shared" si="29"/>
        <v>0</v>
      </c>
      <c r="AZ23" s="112" t="e">
        <f>'North America'!#REF!+Europe!#REF!+'Asia-Pacific'!#REF!+'Rest of world'!#REF!</f>
        <v>#REF!</v>
      </c>
      <c r="BA23" s="26" t="e">
        <f>Europe!#REF!+'Asia-Pacific'!#REF!+'Rest of world'!#REF!+'North America'!#REF!+'Latin America'!#REF!</f>
        <v>#REF!</v>
      </c>
      <c r="BB23" s="26">
        <f>Europe!AR23+'Asia-Pacific'!AR23+'Rest of world'!AR23+'North America'!AR23+'Latin America'!AR23</f>
        <v>0</v>
      </c>
      <c r="BC23" s="39">
        <f t="shared" si="30"/>
        <v>0</v>
      </c>
      <c r="BD23" s="112" t="e">
        <f>'North America'!#REF!+Europe!#REF!+'Asia-Pacific'!#REF!+'Rest of world'!#REF!</f>
        <v>#REF!</v>
      </c>
      <c r="BE23" s="26" t="e">
        <f>Europe!#REF!+'Asia-Pacific'!#REF!+'Rest of world'!#REF!+'North America'!#REF!+'Latin America'!#REF!</f>
        <v>#REF!</v>
      </c>
      <c r="BF23" s="26">
        <f>Europe!AV23+'Asia-Pacific'!AV23+'Rest of world'!AV23+'North America'!AV23+'Latin America'!AV23</f>
        <v>0</v>
      </c>
      <c r="BG23" s="39">
        <f t="shared" si="31"/>
        <v>0</v>
      </c>
      <c r="BH23" s="112" t="e">
        <f>'North America'!#REF!+Europe!#REF!+'Asia-Pacific'!#REF!+'Rest of world'!#REF!</f>
        <v>#REF!</v>
      </c>
      <c r="BI23" s="26" t="e">
        <f>Europe!#REF!+'Asia-Pacific'!#REF!+'Rest of world'!#REF!+'North America'!#REF!+'Latin America'!#REF!</f>
        <v>#REF!</v>
      </c>
      <c r="BK23" s="240">
        <f t="shared" si="5"/>
        <v>0</v>
      </c>
      <c r="BL23" s="241" t="e">
        <f t="shared" si="6"/>
        <v>#REF!</v>
      </c>
      <c r="BM23" s="240">
        <f t="shared" si="7"/>
        <v>0</v>
      </c>
      <c r="BN23" s="241" t="e">
        <f t="shared" ca="1" si="8"/>
        <v>#REF!</v>
      </c>
      <c r="BO23" s="240">
        <f t="shared" si="9"/>
        <v>0</v>
      </c>
      <c r="BP23" s="241" t="e">
        <f t="shared" si="10"/>
        <v>#REF!</v>
      </c>
      <c r="BQ23" s="201">
        <f t="shared" si="11"/>
        <v>0</v>
      </c>
      <c r="BR23" s="204" t="e">
        <f t="shared" si="12"/>
        <v>#REF!</v>
      </c>
      <c r="BS23" s="240">
        <f t="shared" si="37"/>
        <v>0</v>
      </c>
      <c r="BT23" s="253" t="e">
        <f t="shared" ca="1" si="32"/>
        <v>#REF!</v>
      </c>
      <c r="BU23" s="246" t="e">
        <f t="shared" ca="1" si="13"/>
        <v>#REF!</v>
      </c>
      <c r="BV23" s="201">
        <f t="shared" si="14"/>
        <v>0</v>
      </c>
      <c r="BW23" s="2"/>
      <c r="BX23" s="46">
        <f t="shared" si="33"/>
        <v>0</v>
      </c>
      <c r="BY23" s="113" t="e">
        <f t="shared" ca="1" si="34"/>
        <v>#REF!</v>
      </c>
      <c r="CA23" s="82" t="e">
        <f>+Domestic!#REF!</f>
        <v>#REF!</v>
      </c>
      <c r="CB23" s="113" t="e">
        <f>+Domestic!#REF!</f>
        <v>#REF!</v>
      </c>
      <c r="CD23" s="82" t="e">
        <f t="shared" si="35"/>
        <v>#REF!</v>
      </c>
      <c r="CE23" s="113" t="e">
        <f t="shared" ca="1" si="36"/>
        <v>#REF!</v>
      </c>
      <c r="DJ23" s="216">
        <v>0</v>
      </c>
      <c r="DK23" s="217">
        <v>0</v>
      </c>
      <c r="DL23" s="200">
        <v>0</v>
      </c>
      <c r="DM23" s="209">
        <v>0</v>
      </c>
      <c r="DN23" s="201">
        <f t="shared" si="15"/>
        <v>0</v>
      </c>
      <c r="DO23" s="201">
        <f t="shared" si="16"/>
        <v>0</v>
      </c>
      <c r="DP23" s="204" t="e">
        <f t="shared" ca="1" si="17"/>
        <v>#REF!</v>
      </c>
    </row>
    <row r="24" spans="1:120" ht="12.6" customHeight="1" thickBot="1">
      <c r="A24" s="87" t="s">
        <v>73</v>
      </c>
      <c r="B24" s="36">
        <f>SUM(B6:B23)</f>
        <v>0</v>
      </c>
      <c r="C24" s="36">
        <f>SUM(C6:C23)</f>
        <v>0</v>
      </c>
      <c r="D24" s="36">
        <f>SUM(D6:D23)</f>
        <v>0</v>
      </c>
      <c r="E24" s="36">
        <f>SUM(E6:E23)</f>
        <v>0</v>
      </c>
      <c r="F24" s="36">
        <f>SUM(F6:F23)</f>
        <v>0</v>
      </c>
      <c r="G24" s="153">
        <f t="shared" ref="G24" si="64">IF(ISERROR(F24/C24-1),0,(F24/C24-1))</f>
        <v>0</v>
      </c>
      <c r="H24" s="36">
        <f>SUM(H6:H23)</f>
        <v>0</v>
      </c>
      <c r="I24" s="155">
        <f t="shared" si="18"/>
        <v>0</v>
      </c>
      <c r="J24" s="36">
        <f>SUM(J6:J23)</f>
        <v>43746</v>
      </c>
      <c r="K24" s="37">
        <f t="shared" si="20"/>
        <v>0</v>
      </c>
      <c r="L24" s="41" t="e">
        <f>SUM(L6:L23)</f>
        <v>#REF!</v>
      </c>
      <c r="M24" s="42" t="e">
        <f>SUM(M6:M23)</f>
        <v>#REF!</v>
      </c>
      <c r="N24" s="36">
        <f>SUM(N6:N23)</f>
        <v>1590</v>
      </c>
      <c r="O24" s="37">
        <f t="shared" si="3"/>
        <v>0</v>
      </c>
      <c r="P24" s="41" t="e">
        <f>SUM(P6:P23)</f>
        <v>#REF!</v>
      </c>
      <c r="Q24" s="42" t="e">
        <f>SUM(Q6:Q23)</f>
        <v>#REF!</v>
      </c>
      <c r="R24" s="36">
        <f>SUM(R6:R23)</f>
        <v>3333</v>
      </c>
      <c r="S24" s="37">
        <f t="shared" si="4"/>
        <v>0</v>
      </c>
      <c r="T24" s="41" t="e">
        <f>SUM(T6:T23)</f>
        <v>#REF!</v>
      </c>
      <c r="U24" s="42" t="e">
        <f>SUM(U6:U23)</f>
        <v>#REF!</v>
      </c>
      <c r="V24" s="36">
        <f>SUM(V6:V23)</f>
        <v>2973</v>
      </c>
      <c r="W24" s="37">
        <f>IF(ISERROR(X24/V24*1000000),0,(X24/V24*1000000))</f>
        <v>0</v>
      </c>
      <c r="X24" s="41" t="e">
        <f>SUM(X6:X23)</f>
        <v>#REF!</v>
      </c>
      <c r="Y24" s="42" t="e">
        <f>SUM(Y6:Y23)</f>
        <v>#REF!</v>
      </c>
      <c r="Z24" s="36">
        <f>SUM(Z6:Z23)</f>
        <v>4502</v>
      </c>
      <c r="AA24" s="37">
        <f>IF(ISERROR(AB24/Z24*1000000),0,(AB24/Z24*1000000))</f>
        <v>0</v>
      </c>
      <c r="AB24" s="41" t="e">
        <f>SUM(AB6:AB23)</f>
        <v>#REF!</v>
      </c>
      <c r="AC24" s="42" t="e">
        <f>SUM(AC6:AC23)</f>
        <v>#REF!</v>
      </c>
      <c r="AD24" s="36">
        <f>SUM(AD6:AD23)</f>
        <v>3459</v>
      </c>
      <c r="AE24" s="37">
        <f>IF(ISERROR(AF24/AD24*1000000),0,(AF24/AD24*1000000))</f>
        <v>11124313.385371495</v>
      </c>
      <c r="AF24" s="41">
        <f>SUM(AF6:AF23)</f>
        <v>38479</v>
      </c>
      <c r="AG24" s="42">
        <f>SUM(AG6:AG23)</f>
        <v>12.963011100900003</v>
      </c>
      <c r="AH24" s="36">
        <f>SUM(AH6:AH23)</f>
        <v>4774</v>
      </c>
      <c r="AI24" s="37">
        <f>IF(ISERROR(AJ24/AH24*1000000),0,(AJ24/AH24*1000000))</f>
        <v>0</v>
      </c>
      <c r="AJ24" s="41" t="e">
        <f>SUM(AJ6:AJ23)</f>
        <v>#REF!</v>
      </c>
      <c r="AK24" s="42">
        <f ca="1">SUM(AK6:AK23)</f>
        <v>11.569587504200001</v>
      </c>
      <c r="AL24" s="36">
        <f>SUM(AL6:AL23)</f>
        <v>3687</v>
      </c>
      <c r="AM24" s="37">
        <f>IF(ISERROR(AN24/AL24*1000000),0,(AN24/AL24*1000000))</f>
        <v>0</v>
      </c>
      <c r="AN24" s="41" t="e">
        <f>SUM(AN6:AN23)</f>
        <v>#REF!</v>
      </c>
      <c r="AO24" s="42" t="e">
        <f>SUM(AO6:AO23)</f>
        <v>#REF!</v>
      </c>
      <c r="AP24" s="36">
        <f>SUM(AP6:AP23)</f>
        <v>4551</v>
      </c>
      <c r="AQ24" s="37">
        <f>IF(ISERROR(AR24/AP24*1000000),0,(AR24/AP24*1000000))</f>
        <v>0</v>
      </c>
      <c r="AR24" s="41" t="e">
        <f>SUM(AR6:AR23)</f>
        <v>#REF!</v>
      </c>
      <c r="AS24" s="42" t="e">
        <f>SUM(AS6:AS23)</f>
        <v>#REF!</v>
      </c>
      <c r="AT24" s="36">
        <f>SUM(AT6:AT23)</f>
        <v>3795</v>
      </c>
      <c r="AU24" s="37">
        <f>IF(ISERROR(AV24/AT24*1000000),0,(AV24/AT24*1000000))</f>
        <v>0</v>
      </c>
      <c r="AV24" s="41" t="e">
        <f>SUM(AV6:AV23)</f>
        <v>#REF!</v>
      </c>
      <c r="AW24" s="42" t="e">
        <f>SUM(AW6:AW23)</f>
        <v>#REF!</v>
      </c>
      <c r="AX24" s="36">
        <f>SUM(AX6:AX23)</f>
        <v>3590</v>
      </c>
      <c r="AY24" s="37">
        <f>IF(ISERROR(AZ24/AX24*1000000),0,(AZ24/AX24*1000000))</f>
        <v>0</v>
      </c>
      <c r="AZ24" s="41" t="e">
        <f>SUM(AZ6:AZ23)</f>
        <v>#REF!</v>
      </c>
      <c r="BA24" s="42" t="e">
        <f>SUM(BA6:BA23)</f>
        <v>#REF!</v>
      </c>
      <c r="BB24" s="36">
        <f>SUM(BB6:BB23)</f>
        <v>4625</v>
      </c>
      <c r="BC24" s="37">
        <f>IF(ISERROR(BD24/BB24*1000000),0,(BD24/BB24*1000000))</f>
        <v>0</v>
      </c>
      <c r="BD24" s="41" t="e">
        <f>SUM(BD6:BD23)</f>
        <v>#REF!</v>
      </c>
      <c r="BE24" s="42" t="e">
        <f>SUM(BE6:BE23)</f>
        <v>#REF!</v>
      </c>
      <c r="BF24" s="36">
        <f>SUM(BF6:BF23)</f>
        <v>2867</v>
      </c>
      <c r="BG24" s="37">
        <f>IF(ISERROR(BH24/BF24*1000000),0,(BH24/BF24*1000000))</f>
        <v>0</v>
      </c>
      <c r="BH24" s="41" t="e">
        <f>SUM(BH6:BH23)</f>
        <v>#REF!</v>
      </c>
      <c r="BI24" s="42" t="e">
        <f>SUM(BI6:BI23)</f>
        <v>#REF!</v>
      </c>
      <c r="BK24" s="240">
        <f t="shared" si="5"/>
        <v>7896</v>
      </c>
      <c r="BL24" s="241" t="e">
        <f t="shared" si="6"/>
        <v>#REF!</v>
      </c>
      <c r="BM24" s="240">
        <f t="shared" si="7"/>
        <v>12735</v>
      </c>
      <c r="BN24" s="241" t="e">
        <f t="shared" ca="1" si="8"/>
        <v>#REF!</v>
      </c>
      <c r="BO24" s="240">
        <f t="shared" si="9"/>
        <v>12033</v>
      </c>
      <c r="BP24" s="241" t="e">
        <f t="shared" si="10"/>
        <v>#REF!</v>
      </c>
      <c r="BQ24" s="201">
        <f t="shared" si="11"/>
        <v>11082</v>
      </c>
      <c r="BR24" s="204" t="e">
        <f t="shared" si="12"/>
        <v>#REF!</v>
      </c>
      <c r="BS24" s="240">
        <f t="shared" si="37"/>
        <v>43746</v>
      </c>
      <c r="BT24" s="253" t="e">
        <f t="shared" ca="1" si="32"/>
        <v>#REF!</v>
      </c>
      <c r="BU24" s="246" t="e">
        <f t="shared" ca="1" si="13"/>
        <v>#REF!</v>
      </c>
      <c r="BV24" s="201">
        <f t="shared" si="14"/>
        <v>0</v>
      </c>
      <c r="BW24" s="2"/>
      <c r="BX24" s="47">
        <f t="shared" si="33"/>
        <v>43746</v>
      </c>
      <c r="BY24" s="42" t="e">
        <f t="shared" ca="1" si="34"/>
        <v>#REF!</v>
      </c>
      <c r="CA24" s="36">
        <f>+Domestic!B24</f>
        <v>45058</v>
      </c>
      <c r="CB24" s="42" t="e">
        <f>+Domestic!#REF!</f>
        <v>#REF!</v>
      </c>
      <c r="CD24" s="36">
        <f t="shared" si="35"/>
        <v>88804</v>
      </c>
      <c r="CE24" s="42" t="e">
        <f t="shared" ca="1" si="36"/>
        <v>#REF!</v>
      </c>
      <c r="DJ24" s="36">
        <v>98665.96666666666</v>
      </c>
      <c r="DK24" s="37">
        <v>2155.2401986635718</v>
      </c>
      <c r="DL24" s="41">
        <v>212.64885760000001</v>
      </c>
      <c r="DM24" s="42">
        <v>966.11085920000005</v>
      </c>
      <c r="DN24" s="201">
        <f t="shared" si="15"/>
        <v>-54919.96666666666</v>
      </c>
      <c r="DO24" s="201">
        <f t="shared" si="16"/>
        <v>-2155.2401986635718</v>
      </c>
      <c r="DP24" s="204" t="e">
        <f t="shared" si="17"/>
        <v>#REF!</v>
      </c>
    </row>
    <row r="25" spans="1:120" s="31" customFormat="1" ht="12.6" customHeight="1">
      <c r="A25" s="50"/>
      <c r="B25" s="133"/>
      <c r="C25" s="133"/>
      <c r="D25" s="133"/>
      <c r="E25" s="133"/>
      <c r="F25" s="133"/>
      <c r="G25" s="133"/>
      <c r="H25" s="133"/>
      <c r="I25" s="133"/>
      <c r="J25" s="205"/>
      <c r="K25" s="40"/>
      <c r="L25" s="114"/>
      <c r="M25" s="115"/>
      <c r="N25" s="58"/>
      <c r="O25" s="40"/>
      <c r="P25" s="114"/>
      <c r="Q25" s="115"/>
      <c r="R25" s="58"/>
      <c r="S25" s="40"/>
      <c r="T25" s="114"/>
      <c r="U25" s="115"/>
      <c r="V25" s="58"/>
      <c r="W25" s="40"/>
      <c r="X25" s="114"/>
      <c r="Y25" s="115"/>
      <c r="Z25" s="58"/>
      <c r="AA25" s="40"/>
      <c r="AB25" s="114"/>
      <c r="AC25" s="115"/>
      <c r="AD25" s="58"/>
      <c r="AE25" s="40"/>
      <c r="AF25" s="114"/>
      <c r="AG25" s="115"/>
      <c r="AH25" s="58"/>
      <c r="AI25" s="40"/>
      <c r="AJ25" s="114"/>
      <c r="AK25" s="115"/>
      <c r="AL25" s="58"/>
      <c r="AM25" s="40"/>
      <c r="AN25" s="114"/>
      <c r="AO25" s="115"/>
      <c r="AP25" s="58"/>
      <c r="AQ25" s="40"/>
      <c r="AR25" s="114"/>
      <c r="AS25" s="115"/>
      <c r="AT25" s="58"/>
      <c r="AU25" s="40"/>
      <c r="AV25" s="114"/>
      <c r="AW25" s="115"/>
      <c r="AX25" s="58"/>
      <c r="AY25" s="40"/>
      <c r="AZ25" s="114"/>
      <c r="BA25" s="115"/>
      <c r="BB25" s="58"/>
      <c r="BC25" s="40"/>
      <c r="BD25" s="114"/>
      <c r="BE25" s="115"/>
      <c r="BF25" s="58"/>
      <c r="BG25" s="40"/>
      <c r="BH25" s="114"/>
      <c r="BI25" s="115"/>
      <c r="BK25" s="240"/>
      <c r="BL25" s="241"/>
      <c r="BM25" s="240"/>
      <c r="BN25" s="241"/>
      <c r="BO25" s="240"/>
      <c r="BP25" s="241"/>
      <c r="BQ25" s="201"/>
      <c r="BR25" s="204"/>
      <c r="BS25" s="240"/>
      <c r="BT25" s="253"/>
      <c r="BU25" s="246"/>
      <c r="BV25" s="201"/>
      <c r="BW25" s="52"/>
      <c r="BX25" s="48"/>
      <c r="BY25" s="115"/>
      <c r="CA25" s="58"/>
      <c r="CB25" s="115"/>
      <c r="CD25" s="58"/>
      <c r="CE25" s="115"/>
      <c r="DJ25" s="205"/>
      <c r="DK25" s="40"/>
      <c r="DL25" s="114"/>
      <c r="DM25" s="115"/>
      <c r="DN25" s="201"/>
      <c r="DO25" s="201"/>
      <c r="DP25" s="204"/>
    </row>
    <row r="26" spans="1:120" ht="12.6" customHeight="1">
      <c r="A26" s="35" t="s">
        <v>33</v>
      </c>
      <c r="B26" s="264"/>
      <c r="C26" s="264"/>
      <c r="D26" s="135"/>
      <c r="E26" s="157"/>
      <c r="F26" s="149"/>
      <c r="G26" s="151"/>
      <c r="H26" s="135"/>
      <c r="I26" s="151">
        <f t="shared" si="18"/>
        <v>0</v>
      </c>
      <c r="J26" s="27">
        <f t="shared" ref="J26:J53" si="65">N26+R26+V26+Z26+AD26+AH26+AL26+AP26+AT26+AX26+BB26+BF26</f>
        <v>572</v>
      </c>
      <c r="K26" s="23">
        <f t="shared" ref="K26:K54" si="66">IF(ISERROR(L26/J26*1000000),0,(L26/J26*1000000))</f>
        <v>0</v>
      </c>
      <c r="L26" s="112" t="e">
        <f t="shared" ref="L26:M53" si="67">P26+T26+X26+AB26+AF26+AJ26+AN26+AR26+AV26+AZ26+BD26+BH26</f>
        <v>#REF!</v>
      </c>
      <c r="M26" s="113" t="e">
        <f t="shared" si="67"/>
        <v>#REF!</v>
      </c>
      <c r="N26" s="26">
        <f>Europe!D26+'Asia-Pacific'!D26+'Rest of world'!D26+'North America'!D26+'Latin America'!D26</f>
        <v>0</v>
      </c>
      <c r="O26" s="23">
        <f t="shared" si="3"/>
        <v>0</v>
      </c>
      <c r="P26" s="112" t="e">
        <f>'North America'!#REF!+Europe!#REF!+'Asia-Pacific'!#REF!+'Rest of world'!#REF!</f>
        <v>#REF!</v>
      </c>
      <c r="Q26" s="26" t="e">
        <f>Europe!#REF!+'Asia-Pacific'!#REF!+'Rest of world'!#REF!+'North America'!#REF!+'Latin America'!#REF!</f>
        <v>#REF!</v>
      </c>
      <c r="R26" s="26">
        <f>Europe!H26+'Asia-Pacific'!H26+'Rest of world'!H26+'North America'!H26+'Latin America'!H26</f>
        <v>40</v>
      </c>
      <c r="S26" s="23">
        <f t="shared" si="4"/>
        <v>0</v>
      </c>
      <c r="T26" s="112" t="e">
        <f>'North America'!#REF!+Europe!#REF!+'Asia-Pacific'!#REF!+'Rest of world'!#REF!</f>
        <v>#REF!</v>
      </c>
      <c r="U26" s="26" t="e">
        <f>Europe!#REF!+'Asia-Pacific'!#REF!+'Rest of world'!#REF!+'North America'!#REF!+'Latin America'!#REF!</f>
        <v>#REF!</v>
      </c>
      <c r="V26" s="26">
        <f>Europe!L26+'Asia-Pacific'!L26+'Rest of world'!L26+'North America'!L26+'Latin America'!L26</f>
        <v>60</v>
      </c>
      <c r="W26" s="23">
        <f t="shared" ref="W26:W53" si="68">IF(ISERROR(X26/V26*1000000),0,(X26/V26*1000000))</f>
        <v>0</v>
      </c>
      <c r="X26" s="112" t="e">
        <f>'North America'!#REF!+Europe!#REF!+'Asia-Pacific'!#REF!+'Rest of world'!#REF!</f>
        <v>#REF!</v>
      </c>
      <c r="Y26" s="26" t="e">
        <f>Europe!#REF!+'Asia-Pacific'!#REF!+'Rest of world'!#REF!+'North America'!#REF!+'Latin America'!#REF!</f>
        <v>#REF!</v>
      </c>
      <c r="Z26" s="26">
        <f>Europe!P26+'Asia-Pacific'!P26+'Rest of world'!P26+'North America'!P26+'Latin America'!P26</f>
        <v>60</v>
      </c>
      <c r="AA26" s="23">
        <f t="shared" ref="AA26:AA53" si="69">IF(ISERROR(AB26/Z26*1000000),0,(AB26/Z26*1000000))</f>
        <v>0</v>
      </c>
      <c r="AB26" s="112" t="e">
        <f>'North America'!#REF!+Europe!#REF!+'Asia-Pacific'!#REF!+'Rest of world'!#REF!</f>
        <v>#REF!</v>
      </c>
      <c r="AC26" s="26" t="e">
        <f>Europe!#REF!+'Asia-Pacific'!#REF!+'Rest of world'!#REF!+'North America'!#REF!+'Latin America'!#REF!</f>
        <v>#REF!</v>
      </c>
      <c r="AD26" s="26">
        <f>Europe!T26+'Asia-Pacific'!T26+'Rest of world'!T26+'North America'!T26+'Latin America'!T26</f>
        <v>52</v>
      </c>
      <c r="AE26" s="23">
        <f t="shared" ref="AE26:AE53" si="70">IF(ISERROR(AF26/AD26*1000000),0,(AF26/AD26*1000000))</f>
        <v>100096153.84615384</v>
      </c>
      <c r="AF26" s="112">
        <f>'North America'!V26+Europe!V26+'Asia-Pacific'!V26+'Rest of world'!V26</f>
        <v>5205</v>
      </c>
      <c r="AG26" s="26">
        <f>Europe!W26+'Asia-Pacific'!W26+'Rest of world'!W26+'North America'!W26+'Latin America'!W26</f>
        <v>0.69025865142857146</v>
      </c>
      <c r="AH26" s="26">
        <f>Europe!X26+'Asia-Pacific'!X26+'Rest of world'!X26+'North America'!X26+'Latin America'!X26</f>
        <v>40</v>
      </c>
      <c r="AI26" s="23">
        <f t="shared" ref="AI26:AI53" si="71">IF(ISERROR(AJ26/AH26*1000000),0,(AJ26/AH26*1000000))</f>
        <v>0</v>
      </c>
      <c r="AJ26" s="112" t="e">
        <f>'North America'!Z26+Europe!Z26+'Asia-Pacific'!Z26+'Rest of world'!#REF!</f>
        <v>#REF!</v>
      </c>
      <c r="AK26" s="26">
        <f>Europe!AA26+'Asia-Pacific'!AA26+'Rest of world'!AA26+'North America'!AA26+'Latin America'!AA26</f>
        <v>5.1753326374285713</v>
      </c>
      <c r="AL26" s="26">
        <f>Europe!AB26+'Asia-Pacific'!AB26+'Rest of world'!AB26+'North America'!AB26+'Latin America'!AB26</f>
        <v>60</v>
      </c>
      <c r="AM26" s="23">
        <f t="shared" ref="AM26:AM53" si="72">IF(ISERROR(AN26/AL26*1000000),0,(AN26/AL26*1000000))</f>
        <v>0</v>
      </c>
      <c r="AN26" s="112" t="e">
        <f>'North America'!#REF!+Europe!#REF!+'Asia-Pacific'!#REF!+'Rest of world'!#REF!</f>
        <v>#REF!</v>
      </c>
      <c r="AO26" s="26" t="e">
        <f>Europe!#REF!+'Asia-Pacific'!#REF!+'Rest of world'!#REF!+'North America'!#REF!+'Latin America'!#REF!</f>
        <v>#REF!</v>
      </c>
      <c r="AP26" s="26">
        <f>Europe!AF26+'Asia-Pacific'!AF26+'Rest of world'!AF26+'North America'!AF26+'Latin America'!AF26</f>
        <v>60</v>
      </c>
      <c r="AQ26" s="23">
        <f t="shared" ref="AQ26:AQ53" si="73">IF(ISERROR(AR26/AP26*1000000),0,(AR26/AP26*1000000))</f>
        <v>0</v>
      </c>
      <c r="AR26" s="112" t="e">
        <f>'North America'!#REF!+Europe!#REF!+'Asia-Pacific'!#REF!+'Rest of world'!#REF!</f>
        <v>#REF!</v>
      </c>
      <c r="AS26" s="26" t="e">
        <f>Europe!#REF!+'Asia-Pacific'!#REF!+'Rest of world'!#REF!+'North America'!#REF!+'Latin America'!#REF!</f>
        <v>#REF!</v>
      </c>
      <c r="AT26" s="26">
        <f>Europe!AJ26+'Asia-Pacific'!AJ26+'Rest of world'!AJ26+'North America'!AJ26+'Latin America'!AJ26</f>
        <v>40</v>
      </c>
      <c r="AU26" s="23">
        <f t="shared" ref="AU26:AU53" si="74">IF(ISERROR(AV26/AT26*1000000),0,(AV26/AT26*1000000))</f>
        <v>0</v>
      </c>
      <c r="AV26" s="112" t="e">
        <f>'North America'!#REF!+Europe!#REF!+'Asia-Pacific'!#REF!+'Rest of world'!#REF!</f>
        <v>#REF!</v>
      </c>
      <c r="AW26" s="26" t="e">
        <f>Europe!#REF!+'Asia-Pacific'!#REF!+'Rest of world'!#REF!+'North America'!#REF!+'Latin America'!#REF!</f>
        <v>#REF!</v>
      </c>
      <c r="AX26" s="26">
        <f>Europe!AN26+'Asia-Pacific'!AN26+'Rest of world'!AN26+'North America'!AN26+'Latin America'!AN26</f>
        <v>60</v>
      </c>
      <c r="AY26" s="23">
        <f t="shared" ref="AY26:AY53" si="75">IF(ISERROR(AZ26/AX26*1000000),0,(AZ26/AX26*1000000))</f>
        <v>0</v>
      </c>
      <c r="AZ26" s="112" t="e">
        <f>'North America'!#REF!+Europe!#REF!+'Asia-Pacific'!#REF!+'Rest of world'!#REF!</f>
        <v>#REF!</v>
      </c>
      <c r="BA26" s="26" t="e">
        <f>Europe!#REF!+'Asia-Pacific'!#REF!+'Rest of world'!#REF!+'North America'!#REF!+'Latin America'!#REF!</f>
        <v>#REF!</v>
      </c>
      <c r="BB26" s="26">
        <f>Europe!AR26+'Asia-Pacific'!AR26+'Rest of world'!AR26+'North America'!AR26+'Latin America'!AR26</f>
        <v>60</v>
      </c>
      <c r="BC26" s="23">
        <f t="shared" ref="BC26:BC53" si="76">IF(ISERROR(BD26/BB26*1000000),0,(BD26/BB26*1000000))</f>
        <v>0</v>
      </c>
      <c r="BD26" s="112" t="e">
        <f>'North America'!#REF!+Europe!#REF!+'Asia-Pacific'!#REF!+'Rest of world'!#REF!</f>
        <v>#REF!</v>
      </c>
      <c r="BE26" s="26" t="e">
        <f>Europe!#REF!+'Asia-Pacific'!#REF!+'Rest of world'!#REF!+'North America'!#REF!+'Latin America'!#REF!</f>
        <v>#REF!</v>
      </c>
      <c r="BF26" s="26">
        <f>Europe!AV26+'Asia-Pacific'!AV26+'Rest of world'!AV26+'North America'!AV26+'Latin America'!AV26</f>
        <v>40</v>
      </c>
      <c r="BG26" s="23">
        <f t="shared" ref="BG26:BG53" si="77">IF(ISERROR(BH26/BF26*1000000),0,(BH26/BF26*1000000))</f>
        <v>0</v>
      </c>
      <c r="BH26" s="112" t="e">
        <f>'North America'!#REF!+Europe!#REF!+'Asia-Pacific'!#REF!+'Rest of world'!#REF!</f>
        <v>#REF!</v>
      </c>
      <c r="BI26" s="26" t="e">
        <f>Europe!#REF!+'Asia-Pacific'!#REF!+'Rest of world'!#REF!+'North America'!#REF!+'Latin America'!#REF!</f>
        <v>#REF!</v>
      </c>
      <c r="BK26" s="240">
        <f t="shared" ref="BK26:BK54" si="78">N26+R26+V26</f>
        <v>100</v>
      </c>
      <c r="BL26" s="241" t="e">
        <f t="shared" ref="BL26:BL54" si="79">Q26+U26+Y26</f>
        <v>#REF!</v>
      </c>
      <c r="BM26" s="240">
        <f t="shared" ref="BM26:BM54" si="80">Z26+AD26+AH26</f>
        <v>152</v>
      </c>
      <c r="BN26" s="241" t="e">
        <f t="shared" ref="BN26:BN54" si="81">AC26+AG26+AK26</f>
        <v>#REF!</v>
      </c>
      <c r="BO26" s="240">
        <f t="shared" ref="BO26:BO54" si="82">AL26+AP26+AT26</f>
        <v>160</v>
      </c>
      <c r="BP26" s="241" t="e">
        <f t="shared" ref="BP26:BP54" si="83">AO26+AS26+AW26</f>
        <v>#REF!</v>
      </c>
      <c r="BQ26" s="201">
        <f t="shared" ref="BQ26:BQ54" si="84">BF26+BB26+AX26</f>
        <v>160</v>
      </c>
      <c r="BR26" s="204" t="e">
        <f t="shared" ref="BR26:BR54" si="85">BA26+BE26+BI26</f>
        <v>#REF!</v>
      </c>
      <c r="BS26" s="240">
        <f t="shared" si="37"/>
        <v>572</v>
      </c>
      <c r="BT26" s="253" t="e">
        <f t="shared" si="32"/>
        <v>#REF!</v>
      </c>
      <c r="BU26" s="246" t="e">
        <f t="shared" ref="BU26:BU54" si="86">BT26-M26</f>
        <v>#REF!</v>
      </c>
      <c r="BV26" s="201">
        <f t="shared" ref="BV26:BV54" si="87">BS26-J26</f>
        <v>0</v>
      </c>
      <c r="BW26" s="2"/>
      <c r="BX26" s="33">
        <f t="shared" si="33"/>
        <v>572</v>
      </c>
      <c r="BY26" s="113" t="e">
        <f t="shared" si="34"/>
        <v>#REF!</v>
      </c>
      <c r="CA26" s="27">
        <f>+Domestic!B26</f>
        <v>120</v>
      </c>
      <c r="CB26" s="113" t="e">
        <f>+Domestic!#REF!</f>
        <v>#REF!</v>
      </c>
      <c r="CD26" s="27">
        <f t="shared" si="35"/>
        <v>692</v>
      </c>
      <c r="CE26" s="113" t="e">
        <f t="shared" si="36"/>
        <v>#REF!</v>
      </c>
      <c r="DJ26" s="210">
        <v>830.00000000000011</v>
      </c>
      <c r="DK26" s="211">
        <v>1863.3734939759036</v>
      </c>
      <c r="DL26" s="200">
        <v>1.5466000000000002</v>
      </c>
      <c r="DM26" s="209">
        <v>6.9597000000000007</v>
      </c>
      <c r="DN26" s="201">
        <f t="shared" ref="DN26:DN70" si="88">J26-DJ26</f>
        <v>-258.00000000000011</v>
      </c>
      <c r="DO26" s="201">
        <f t="shared" ref="DO26:DO70" si="89">K26-DK26</f>
        <v>-1863.3734939759036</v>
      </c>
      <c r="DP26" s="204" t="e">
        <f t="shared" ref="DP26:DP70" si="90">M26-DM26</f>
        <v>#REF!</v>
      </c>
    </row>
    <row r="27" spans="1:120" ht="12.6" customHeight="1">
      <c r="A27" s="35" t="s">
        <v>34</v>
      </c>
      <c r="B27" s="264"/>
      <c r="C27" s="264"/>
      <c r="D27" s="135"/>
      <c r="E27" s="157"/>
      <c r="F27" s="149"/>
      <c r="G27" s="151"/>
      <c r="H27" s="135"/>
      <c r="I27" s="151">
        <f t="shared" si="18"/>
        <v>0</v>
      </c>
      <c r="J27" s="27">
        <f t="shared" si="65"/>
        <v>1900</v>
      </c>
      <c r="K27" s="23">
        <f t="shared" si="66"/>
        <v>0</v>
      </c>
      <c r="L27" s="112" t="e">
        <f t="shared" si="67"/>
        <v>#REF!</v>
      </c>
      <c r="M27" s="113" t="e">
        <f t="shared" si="67"/>
        <v>#REF!</v>
      </c>
      <c r="N27" s="26">
        <f>Europe!D27+'Asia-Pacific'!D27+'Rest of world'!D27+'North America'!D27+'Latin America'!D27</f>
        <v>160</v>
      </c>
      <c r="O27" s="23">
        <f t="shared" si="3"/>
        <v>0</v>
      </c>
      <c r="P27" s="112" t="e">
        <f>'North America'!#REF!+Europe!#REF!+'Asia-Pacific'!#REF!+'Rest of world'!#REF!</f>
        <v>#REF!</v>
      </c>
      <c r="Q27" s="26" t="e">
        <f>Europe!#REF!+'Asia-Pacific'!#REF!+'Rest of world'!#REF!+'North America'!#REF!+'Latin America'!#REF!</f>
        <v>#REF!</v>
      </c>
      <c r="R27" s="26">
        <f>Europe!H27+'Asia-Pacific'!H27+'Rest of world'!H27+'North America'!H27+'Latin America'!H27</f>
        <v>160</v>
      </c>
      <c r="S27" s="23">
        <f t="shared" si="4"/>
        <v>0</v>
      </c>
      <c r="T27" s="112" t="e">
        <f>'North America'!#REF!+Europe!#REF!+'Asia-Pacific'!#REF!+'Rest of world'!#REF!</f>
        <v>#REF!</v>
      </c>
      <c r="U27" s="26" t="e">
        <f>Europe!#REF!+'Asia-Pacific'!#REF!+'Rest of world'!#REF!+'North America'!#REF!+'Latin America'!#REF!</f>
        <v>#REF!</v>
      </c>
      <c r="V27" s="26">
        <f>Europe!L27+'Asia-Pacific'!L27+'Rest of world'!L27+'North America'!L27+'Latin America'!L27</f>
        <v>160</v>
      </c>
      <c r="W27" s="23">
        <f t="shared" si="68"/>
        <v>0</v>
      </c>
      <c r="X27" s="112" t="e">
        <f>'North America'!#REF!+Europe!#REF!+'Asia-Pacific'!#REF!+'Rest of world'!#REF!</f>
        <v>#REF!</v>
      </c>
      <c r="Y27" s="26" t="e">
        <f>Europe!#REF!+'Asia-Pacific'!#REF!+'Rest of world'!#REF!+'North America'!#REF!+'Latin America'!#REF!</f>
        <v>#REF!</v>
      </c>
      <c r="Z27" s="26">
        <f>Europe!P27+'Asia-Pacific'!P27+'Rest of world'!P27+'North America'!P27+'Latin America'!P27</f>
        <v>160</v>
      </c>
      <c r="AA27" s="23">
        <f t="shared" si="69"/>
        <v>0</v>
      </c>
      <c r="AB27" s="112" t="e">
        <f>'North America'!#REF!+Europe!#REF!+'Asia-Pacific'!#REF!+'Rest of world'!#REF!</f>
        <v>#REF!</v>
      </c>
      <c r="AC27" s="26" t="e">
        <f>Europe!#REF!+'Asia-Pacific'!#REF!+'Rest of world'!#REF!+'North America'!#REF!+'Latin America'!#REF!</f>
        <v>#REF!</v>
      </c>
      <c r="AD27" s="26">
        <f>Europe!T27+'Asia-Pacific'!T27+'Rest of world'!T27+'North America'!T27+'Latin America'!T27</f>
        <v>160</v>
      </c>
      <c r="AE27" s="23">
        <f t="shared" si="70"/>
        <v>26412500</v>
      </c>
      <c r="AF27" s="112">
        <f>'North America'!V27+Europe!V27+'Asia-Pacific'!V27+'Rest of world'!V27</f>
        <v>4226</v>
      </c>
      <c r="AG27" s="26">
        <f>Europe!W27+'Asia-Pacific'!W27+'Rest of world'!W27+'North America'!W27+'Latin America'!W27</f>
        <v>1.6702400622857145</v>
      </c>
      <c r="AH27" s="26">
        <f>Europe!X27+'Asia-Pacific'!X27+'Rest of world'!X27+'North America'!X27+'Latin America'!X27</f>
        <v>160</v>
      </c>
      <c r="AI27" s="23">
        <f t="shared" si="71"/>
        <v>0</v>
      </c>
      <c r="AJ27" s="112" t="e">
        <f>'North America'!Z27+Europe!Z27+'Asia-Pacific'!Z27+'Rest of world'!#REF!</f>
        <v>#REF!</v>
      </c>
      <c r="AK27" s="26">
        <f>Europe!AA27+'Asia-Pacific'!AA27+'Rest of world'!AA27+'North America'!AA27+'Latin America'!AA27</f>
        <v>7.6164758814857159</v>
      </c>
      <c r="AL27" s="26">
        <f>Europe!AB27+'Asia-Pacific'!AB27+'Rest of world'!AB27+'North America'!AB27+'Latin America'!AB27</f>
        <v>160</v>
      </c>
      <c r="AM27" s="23">
        <f t="shared" si="72"/>
        <v>0</v>
      </c>
      <c r="AN27" s="112" t="e">
        <f>'North America'!#REF!+Europe!#REF!+'Asia-Pacific'!#REF!+'Rest of world'!#REF!</f>
        <v>#REF!</v>
      </c>
      <c r="AO27" s="26" t="e">
        <f>Europe!#REF!+'Asia-Pacific'!#REF!+'Rest of world'!#REF!+'North America'!#REF!+'Latin America'!#REF!</f>
        <v>#REF!</v>
      </c>
      <c r="AP27" s="26">
        <f>Europe!AF27+'Asia-Pacific'!AF27+'Rest of world'!AF27+'North America'!AF27+'Latin America'!AF27</f>
        <v>160</v>
      </c>
      <c r="AQ27" s="23">
        <f t="shared" si="73"/>
        <v>0</v>
      </c>
      <c r="AR27" s="112" t="e">
        <f>'North America'!#REF!+Europe!#REF!+'Asia-Pacific'!#REF!+'Rest of world'!#REF!</f>
        <v>#REF!</v>
      </c>
      <c r="AS27" s="26" t="e">
        <f>Europe!#REF!+'Asia-Pacific'!#REF!+'Rest of world'!#REF!+'North America'!#REF!+'Latin America'!#REF!</f>
        <v>#REF!</v>
      </c>
      <c r="AT27" s="26">
        <f>Europe!AJ27+'Asia-Pacific'!AJ27+'Rest of world'!AJ27+'North America'!AJ27+'Latin America'!AJ27</f>
        <v>160</v>
      </c>
      <c r="AU27" s="23">
        <f t="shared" si="74"/>
        <v>0</v>
      </c>
      <c r="AV27" s="112" t="e">
        <f>'North America'!#REF!+Europe!#REF!+'Asia-Pacific'!#REF!+'Rest of world'!#REF!</f>
        <v>#REF!</v>
      </c>
      <c r="AW27" s="26" t="e">
        <f>Europe!#REF!+'Asia-Pacific'!#REF!+'Rest of world'!#REF!+'North America'!#REF!+'Latin America'!#REF!</f>
        <v>#REF!</v>
      </c>
      <c r="AX27" s="26">
        <f>Europe!AN27+'Asia-Pacific'!AN27+'Rest of world'!AN27+'North America'!AN27+'Latin America'!AN27</f>
        <v>160</v>
      </c>
      <c r="AY27" s="23">
        <f t="shared" si="75"/>
        <v>0</v>
      </c>
      <c r="AZ27" s="112" t="e">
        <f>'North America'!#REF!+Europe!#REF!+'Asia-Pacific'!#REF!+'Rest of world'!#REF!</f>
        <v>#REF!</v>
      </c>
      <c r="BA27" s="26" t="e">
        <f>Europe!#REF!+'Asia-Pacific'!#REF!+'Rest of world'!#REF!+'North America'!#REF!+'Latin America'!#REF!</f>
        <v>#REF!</v>
      </c>
      <c r="BB27" s="26">
        <f>Europe!AR27+'Asia-Pacific'!AR27+'Rest of world'!AR27+'North America'!AR27+'Latin America'!AR27</f>
        <v>160</v>
      </c>
      <c r="BC27" s="23">
        <f t="shared" si="76"/>
        <v>0</v>
      </c>
      <c r="BD27" s="112" t="e">
        <f>'North America'!#REF!+Europe!#REF!+'Asia-Pacific'!#REF!+'Rest of world'!#REF!</f>
        <v>#REF!</v>
      </c>
      <c r="BE27" s="26" t="e">
        <f>Europe!#REF!+'Asia-Pacific'!#REF!+'Rest of world'!#REF!+'North America'!#REF!+'Latin America'!#REF!</f>
        <v>#REF!</v>
      </c>
      <c r="BF27" s="26">
        <f>Europe!AV27+'Asia-Pacific'!AV27+'Rest of world'!AV27+'North America'!AV27+'Latin America'!AV27</f>
        <v>140</v>
      </c>
      <c r="BG27" s="23">
        <f t="shared" si="77"/>
        <v>0</v>
      </c>
      <c r="BH27" s="112" t="e">
        <f>'North America'!#REF!+Europe!#REF!+'Asia-Pacific'!#REF!+'Rest of world'!#REF!</f>
        <v>#REF!</v>
      </c>
      <c r="BI27" s="26" t="e">
        <f>Europe!#REF!+'Asia-Pacific'!#REF!+'Rest of world'!#REF!+'North America'!#REF!+'Latin America'!#REF!</f>
        <v>#REF!</v>
      </c>
      <c r="BK27" s="240">
        <f t="shared" si="78"/>
        <v>480</v>
      </c>
      <c r="BL27" s="241" t="e">
        <f t="shared" si="79"/>
        <v>#REF!</v>
      </c>
      <c r="BM27" s="240">
        <f t="shared" si="80"/>
        <v>480</v>
      </c>
      <c r="BN27" s="241" t="e">
        <f t="shared" si="81"/>
        <v>#REF!</v>
      </c>
      <c r="BO27" s="240">
        <f t="shared" si="82"/>
        <v>480</v>
      </c>
      <c r="BP27" s="241" t="e">
        <f t="shared" si="83"/>
        <v>#REF!</v>
      </c>
      <c r="BQ27" s="201">
        <f t="shared" si="84"/>
        <v>460</v>
      </c>
      <c r="BR27" s="204" t="e">
        <f t="shared" si="85"/>
        <v>#REF!</v>
      </c>
      <c r="BS27" s="240">
        <f t="shared" si="37"/>
        <v>1900</v>
      </c>
      <c r="BT27" s="253" t="e">
        <f t="shared" si="32"/>
        <v>#REF!</v>
      </c>
      <c r="BU27" s="246" t="e">
        <f t="shared" si="86"/>
        <v>#REF!</v>
      </c>
      <c r="BV27" s="201">
        <f t="shared" si="87"/>
        <v>0</v>
      </c>
      <c r="BW27" s="2"/>
      <c r="BX27" s="33">
        <f t="shared" si="33"/>
        <v>1900</v>
      </c>
      <c r="BY27" s="113" t="e">
        <f t="shared" si="34"/>
        <v>#REF!</v>
      </c>
      <c r="CA27" s="27">
        <f>+Domestic!B27</f>
        <v>0</v>
      </c>
      <c r="CB27" s="113" t="e">
        <f>+Domestic!#REF!</f>
        <v>#REF!</v>
      </c>
      <c r="CD27" s="27">
        <f t="shared" si="35"/>
        <v>1900</v>
      </c>
      <c r="CE27" s="113" t="e">
        <f t="shared" si="36"/>
        <v>#REF!</v>
      </c>
      <c r="CZ27" s="201">
        <f>BK27-CV27</f>
        <v>480</v>
      </c>
      <c r="DA27" s="201">
        <f>BM27-CW27</f>
        <v>480</v>
      </c>
      <c r="DB27" s="201">
        <f>BO27-CX27</f>
        <v>480</v>
      </c>
      <c r="DC27" s="201">
        <f>BQ27-CY27</f>
        <v>460</v>
      </c>
      <c r="DD27" s="201">
        <f>BS27-CZ27</f>
        <v>1420</v>
      </c>
      <c r="DJ27" s="210">
        <v>2483</v>
      </c>
      <c r="DK27" s="211">
        <v>1446.4881192106325</v>
      </c>
      <c r="DL27" s="200">
        <v>3.5916300000000003</v>
      </c>
      <c r="DM27" s="209">
        <v>16.162335000000002</v>
      </c>
      <c r="DN27" s="201">
        <f t="shared" si="88"/>
        <v>-583</v>
      </c>
      <c r="DO27" s="201">
        <f t="shared" si="89"/>
        <v>-1446.4881192106325</v>
      </c>
      <c r="DP27" s="204" t="e">
        <f t="shared" si="90"/>
        <v>#REF!</v>
      </c>
    </row>
    <row r="28" spans="1:120" ht="12.6" customHeight="1">
      <c r="A28" s="35" t="s">
        <v>62</v>
      </c>
      <c r="B28" s="264"/>
      <c r="C28" s="264"/>
      <c r="D28" s="135"/>
      <c r="E28" s="157"/>
      <c r="F28" s="149"/>
      <c r="G28" s="151"/>
      <c r="H28" s="135"/>
      <c r="I28" s="151">
        <f t="shared" si="18"/>
        <v>0</v>
      </c>
      <c r="J28" s="27">
        <f t="shared" si="65"/>
        <v>0</v>
      </c>
      <c r="K28" s="23">
        <f t="shared" si="66"/>
        <v>0</v>
      </c>
      <c r="L28" s="112" t="e">
        <f t="shared" si="67"/>
        <v>#REF!</v>
      </c>
      <c r="M28" s="113" t="e">
        <f t="shared" si="67"/>
        <v>#REF!</v>
      </c>
      <c r="N28" s="26">
        <f>Europe!D28+'Asia-Pacific'!D28+'Rest of world'!D28+'North America'!D28+'Latin America'!D28</f>
        <v>0</v>
      </c>
      <c r="O28" s="23">
        <f t="shared" si="3"/>
        <v>0</v>
      </c>
      <c r="P28" s="112" t="e">
        <f>'North America'!#REF!+Europe!#REF!+'Asia-Pacific'!#REF!+'Rest of world'!#REF!</f>
        <v>#REF!</v>
      </c>
      <c r="Q28" s="26" t="e">
        <f>Europe!#REF!+'Asia-Pacific'!#REF!+'Rest of world'!#REF!+'North America'!#REF!+'Latin America'!#REF!</f>
        <v>#REF!</v>
      </c>
      <c r="R28" s="26">
        <f>Europe!H28+'Asia-Pacific'!H28+'Rest of world'!H28+'North America'!H28+'Latin America'!H28</f>
        <v>0</v>
      </c>
      <c r="S28" s="23">
        <f t="shared" si="4"/>
        <v>0</v>
      </c>
      <c r="T28" s="112" t="e">
        <f>'North America'!#REF!+Europe!#REF!+'Asia-Pacific'!#REF!+'Rest of world'!#REF!</f>
        <v>#REF!</v>
      </c>
      <c r="U28" s="26" t="e">
        <f>Europe!#REF!+'Asia-Pacific'!#REF!+'Rest of world'!#REF!+'North America'!#REF!+'Latin America'!#REF!</f>
        <v>#REF!</v>
      </c>
      <c r="V28" s="26">
        <f>Europe!L28+'Asia-Pacific'!L28+'Rest of world'!L28+'North America'!L28+'Latin America'!L28</f>
        <v>0</v>
      </c>
      <c r="W28" s="23">
        <f t="shared" si="68"/>
        <v>0</v>
      </c>
      <c r="X28" s="112" t="e">
        <f>'North America'!#REF!+Europe!#REF!+'Asia-Pacific'!#REF!+'Rest of world'!#REF!</f>
        <v>#REF!</v>
      </c>
      <c r="Y28" s="26" t="e">
        <f>Europe!#REF!+'Asia-Pacific'!#REF!+'Rest of world'!#REF!+'North America'!#REF!+'Latin America'!#REF!</f>
        <v>#REF!</v>
      </c>
      <c r="Z28" s="26">
        <f>Europe!P28+'Asia-Pacific'!P28+'Rest of world'!P28+'North America'!P28+'Latin America'!P28</f>
        <v>0</v>
      </c>
      <c r="AA28" s="23">
        <f t="shared" si="69"/>
        <v>0</v>
      </c>
      <c r="AB28" s="112" t="e">
        <f>'North America'!#REF!+Europe!#REF!+'Asia-Pacific'!#REF!+'Rest of world'!#REF!</f>
        <v>#REF!</v>
      </c>
      <c r="AC28" s="26" t="e">
        <f>Europe!#REF!+'Asia-Pacific'!#REF!+'Rest of world'!#REF!+'North America'!#REF!+'Latin America'!#REF!</f>
        <v>#REF!</v>
      </c>
      <c r="AD28" s="26">
        <f>Europe!T28+'Asia-Pacific'!T28+'Rest of world'!T28+'North America'!T28+'Latin America'!T28</f>
        <v>0</v>
      </c>
      <c r="AE28" s="23">
        <f t="shared" si="70"/>
        <v>0</v>
      </c>
      <c r="AF28" s="112">
        <f>'North America'!V28+Europe!V28+'Asia-Pacific'!V28+'Rest of world'!V28</f>
        <v>0</v>
      </c>
      <c r="AG28" s="26">
        <f>Europe!W28+'Asia-Pacific'!W28+'Rest of world'!W28+'North America'!W28+'Latin America'!W28</f>
        <v>0</v>
      </c>
      <c r="AH28" s="26">
        <f>Europe!X28+'Asia-Pacific'!X28+'Rest of world'!X28+'North America'!X28+'Latin America'!X28</f>
        <v>0</v>
      </c>
      <c r="AI28" s="23">
        <f t="shared" si="71"/>
        <v>0</v>
      </c>
      <c r="AJ28" s="112" t="e">
        <f>'North America'!Z28+Europe!Z28+'Asia-Pacific'!Z28+'Rest of world'!#REF!</f>
        <v>#REF!</v>
      </c>
      <c r="AK28" s="26">
        <f>Europe!AA28+'Asia-Pacific'!AA28+'Rest of world'!AA28+'North America'!AA28+'Latin America'!AA28</f>
        <v>0</v>
      </c>
      <c r="AL28" s="26">
        <f>Europe!AB28+'Asia-Pacific'!AB28+'Rest of world'!AB28+'North America'!AB28+'Latin America'!AB28</f>
        <v>0</v>
      </c>
      <c r="AM28" s="23">
        <f t="shared" si="72"/>
        <v>0</v>
      </c>
      <c r="AN28" s="112" t="e">
        <f>'North America'!#REF!+Europe!#REF!+'Asia-Pacific'!#REF!+'Rest of world'!#REF!</f>
        <v>#REF!</v>
      </c>
      <c r="AO28" s="26" t="e">
        <f>Europe!#REF!+'Asia-Pacific'!#REF!+'Rest of world'!#REF!+'North America'!#REF!+'Latin America'!#REF!</f>
        <v>#REF!</v>
      </c>
      <c r="AP28" s="26">
        <f>Europe!AF28+'Asia-Pacific'!AF28+'Rest of world'!AF28+'North America'!AF28+'Latin America'!AF28</f>
        <v>0</v>
      </c>
      <c r="AQ28" s="23">
        <f t="shared" si="73"/>
        <v>0</v>
      </c>
      <c r="AR28" s="112" t="e">
        <f>'North America'!#REF!+Europe!#REF!+'Asia-Pacific'!#REF!+'Rest of world'!#REF!</f>
        <v>#REF!</v>
      </c>
      <c r="AS28" s="26" t="e">
        <f>Europe!#REF!+'Asia-Pacific'!#REF!+'Rest of world'!#REF!+'North America'!#REF!+'Latin America'!#REF!</f>
        <v>#REF!</v>
      </c>
      <c r="AT28" s="26">
        <f>Europe!AJ28+'Asia-Pacific'!AJ28+'Rest of world'!AJ28+'North America'!AJ28+'Latin America'!AJ28</f>
        <v>0</v>
      </c>
      <c r="AU28" s="23">
        <f t="shared" si="74"/>
        <v>0</v>
      </c>
      <c r="AV28" s="112" t="e">
        <f>'North America'!#REF!+Europe!#REF!+'Asia-Pacific'!#REF!+'Rest of world'!#REF!</f>
        <v>#REF!</v>
      </c>
      <c r="AW28" s="26" t="e">
        <f>Europe!#REF!+'Asia-Pacific'!#REF!+'Rest of world'!#REF!+'North America'!#REF!+'Latin America'!#REF!</f>
        <v>#REF!</v>
      </c>
      <c r="AX28" s="26">
        <f>Europe!AN28+'Asia-Pacific'!AN28+'Rest of world'!AN28+'North America'!AN28+'Latin America'!AN28</f>
        <v>0</v>
      </c>
      <c r="AY28" s="23">
        <f t="shared" si="75"/>
        <v>0</v>
      </c>
      <c r="AZ28" s="112" t="e">
        <f>'North America'!#REF!+Europe!#REF!+'Asia-Pacific'!#REF!+'Rest of world'!#REF!</f>
        <v>#REF!</v>
      </c>
      <c r="BA28" s="26" t="e">
        <f>Europe!#REF!+'Asia-Pacific'!#REF!+'Rest of world'!#REF!+'North America'!#REF!+'Latin America'!#REF!</f>
        <v>#REF!</v>
      </c>
      <c r="BB28" s="26">
        <f>Europe!AR28+'Asia-Pacific'!AR28+'Rest of world'!AR28+'North America'!AR28+'Latin America'!AR28</f>
        <v>0</v>
      </c>
      <c r="BC28" s="23">
        <f t="shared" si="76"/>
        <v>0</v>
      </c>
      <c r="BD28" s="112" t="e">
        <f>'North America'!#REF!+Europe!#REF!+'Asia-Pacific'!#REF!+'Rest of world'!#REF!</f>
        <v>#REF!</v>
      </c>
      <c r="BE28" s="26" t="e">
        <f>Europe!#REF!+'Asia-Pacific'!#REF!+'Rest of world'!#REF!+'North America'!#REF!+'Latin America'!#REF!</f>
        <v>#REF!</v>
      </c>
      <c r="BF28" s="26">
        <f>Europe!AV28+'Asia-Pacific'!AV28+'Rest of world'!AV28+'North America'!AV28+'Latin America'!AV28</f>
        <v>0</v>
      </c>
      <c r="BG28" s="23">
        <f t="shared" si="77"/>
        <v>0</v>
      </c>
      <c r="BH28" s="112" t="e">
        <f>'North America'!#REF!+Europe!#REF!+'Asia-Pacific'!#REF!+'Rest of world'!#REF!</f>
        <v>#REF!</v>
      </c>
      <c r="BI28" s="26" t="e">
        <f>Europe!#REF!+'Asia-Pacific'!#REF!+'Rest of world'!#REF!+'North America'!#REF!+'Latin America'!#REF!</f>
        <v>#REF!</v>
      </c>
      <c r="BK28" s="240">
        <f t="shared" si="78"/>
        <v>0</v>
      </c>
      <c r="BL28" s="241" t="e">
        <f t="shared" si="79"/>
        <v>#REF!</v>
      </c>
      <c r="BM28" s="240">
        <f t="shared" si="80"/>
        <v>0</v>
      </c>
      <c r="BN28" s="241" t="e">
        <f t="shared" si="81"/>
        <v>#REF!</v>
      </c>
      <c r="BO28" s="240">
        <f t="shared" si="82"/>
        <v>0</v>
      </c>
      <c r="BP28" s="241" t="e">
        <f t="shared" si="83"/>
        <v>#REF!</v>
      </c>
      <c r="BQ28" s="201">
        <f t="shared" si="84"/>
        <v>0</v>
      </c>
      <c r="BR28" s="204" t="e">
        <f t="shared" si="85"/>
        <v>#REF!</v>
      </c>
      <c r="BS28" s="240">
        <f t="shared" si="37"/>
        <v>0</v>
      </c>
      <c r="BT28" s="253" t="e">
        <f t="shared" si="32"/>
        <v>#REF!</v>
      </c>
      <c r="BU28" s="246" t="e">
        <f t="shared" si="86"/>
        <v>#REF!</v>
      </c>
      <c r="BV28" s="201">
        <f t="shared" si="87"/>
        <v>0</v>
      </c>
      <c r="BW28" s="2"/>
      <c r="BX28" s="33">
        <f t="shared" si="33"/>
        <v>0</v>
      </c>
      <c r="BY28" s="113" t="e">
        <f t="shared" si="34"/>
        <v>#REF!</v>
      </c>
      <c r="CA28" s="27">
        <f>+Domestic!B28</f>
        <v>0</v>
      </c>
      <c r="CB28" s="113" t="e">
        <f>+Domestic!#REF!</f>
        <v>#REF!</v>
      </c>
      <c r="CD28" s="27">
        <f t="shared" si="35"/>
        <v>0</v>
      </c>
      <c r="CE28" s="113" t="e">
        <f t="shared" si="36"/>
        <v>#REF!</v>
      </c>
      <c r="CW28" s="201"/>
      <c r="DJ28" s="210">
        <v>0</v>
      </c>
      <c r="DK28" s="211">
        <v>0</v>
      </c>
      <c r="DL28" s="200">
        <v>0</v>
      </c>
      <c r="DM28" s="209">
        <v>0</v>
      </c>
      <c r="DN28" s="201">
        <f t="shared" si="88"/>
        <v>0</v>
      </c>
      <c r="DO28" s="201">
        <f t="shared" si="89"/>
        <v>0</v>
      </c>
      <c r="DP28" s="204" t="e">
        <f t="shared" si="90"/>
        <v>#REF!</v>
      </c>
    </row>
    <row r="29" spans="1:120" ht="12.6" customHeight="1">
      <c r="A29" s="160" t="s">
        <v>32</v>
      </c>
      <c r="B29" s="264"/>
      <c r="C29" s="264"/>
      <c r="D29" s="135"/>
      <c r="E29" s="157"/>
      <c r="F29" s="149"/>
      <c r="G29" s="151"/>
      <c r="H29" s="135"/>
      <c r="I29" s="151">
        <f t="shared" si="18"/>
        <v>0</v>
      </c>
      <c r="J29" s="27">
        <f t="shared" si="65"/>
        <v>221</v>
      </c>
      <c r="K29" s="23">
        <f t="shared" si="66"/>
        <v>0</v>
      </c>
      <c r="L29" s="112" t="e">
        <f t="shared" si="67"/>
        <v>#REF!</v>
      </c>
      <c r="M29" s="113" t="e">
        <f t="shared" si="67"/>
        <v>#REF!</v>
      </c>
      <c r="N29" s="26">
        <f>Europe!D29+'Asia-Pacific'!D29+'Rest of world'!D29+'North America'!D29+'Latin America'!D29</f>
        <v>56</v>
      </c>
      <c r="O29" s="23">
        <f t="shared" si="3"/>
        <v>0</v>
      </c>
      <c r="P29" s="112" t="e">
        <f>'North America'!#REF!+Europe!#REF!+'Asia-Pacific'!#REF!+'Rest of world'!#REF!</f>
        <v>#REF!</v>
      </c>
      <c r="Q29" s="26" t="e">
        <f>Europe!#REF!+'Asia-Pacific'!#REF!+'Rest of world'!#REF!+'North America'!#REF!+'Latin America'!#REF!</f>
        <v>#REF!</v>
      </c>
      <c r="R29" s="26">
        <f>Europe!H29+'Asia-Pacific'!H29+'Rest of world'!H29+'North America'!H29+'Latin America'!H29</f>
        <v>0</v>
      </c>
      <c r="S29" s="23">
        <f t="shared" si="4"/>
        <v>0</v>
      </c>
      <c r="T29" s="112" t="e">
        <f>'North America'!#REF!+Europe!#REF!+'Asia-Pacific'!#REF!+'Rest of world'!#REF!</f>
        <v>#REF!</v>
      </c>
      <c r="U29" s="26" t="e">
        <f>Europe!#REF!+'Asia-Pacific'!#REF!+'Rest of world'!#REF!+'North America'!#REF!+'Latin America'!#REF!</f>
        <v>#REF!</v>
      </c>
      <c r="V29" s="26">
        <f>Europe!L29+'Asia-Pacific'!L29+'Rest of world'!L29+'North America'!L29+'Latin America'!L29</f>
        <v>0</v>
      </c>
      <c r="W29" s="23">
        <f t="shared" si="68"/>
        <v>0</v>
      </c>
      <c r="X29" s="112" t="e">
        <f>'North America'!#REF!+Europe!#REF!+'Asia-Pacific'!#REF!+'Rest of world'!#REF!</f>
        <v>#REF!</v>
      </c>
      <c r="Y29" s="26" t="e">
        <f>Europe!#REF!+'Asia-Pacific'!#REF!+'Rest of world'!#REF!+'North America'!#REF!+'Latin America'!#REF!</f>
        <v>#REF!</v>
      </c>
      <c r="Z29" s="26">
        <f>Europe!P29+'Asia-Pacific'!P29+'Rest of world'!P29+'North America'!P29+'Latin America'!P29</f>
        <v>55</v>
      </c>
      <c r="AA29" s="23">
        <f t="shared" si="69"/>
        <v>0</v>
      </c>
      <c r="AB29" s="112" t="e">
        <f>'North America'!#REF!+Europe!#REF!+'Asia-Pacific'!#REF!+'Rest of world'!#REF!</f>
        <v>#REF!</v>
      </c>
      <c r="AC29" s="26" t="e">
        <f>Europe!#REF!+'Asia-Pacific'!#REF!+'Rest of world'!#REF!+'North America'!#REF!+'Latin America'!#REF!</f>
        <v>#REF!</v>
      </c>
      <c r="AD29" s="26">
        <f>Europe!T29+'Asia-Pacific'!T29+'Rest of world'!T29+'North America'!T29+'Latin America'!T29</f>
        <v>0</v>
      </c>
      <c r="AE29" s="23">
        <f t="shared" si="70"/>
        <v>0</v>
      </c>
      <c r="AF29" s="112">
        <f>'North America'!V29+Europe!V29+'Asia-Pacific'!V29+'Rest of world'!V29</f>
        <v>0</v>
      </c>
      <c r="AG29" s="26">
        <f>Europe!W29+'Asia-Pacific'!W29+'Rest of world'!W29+'North America'!W29+'Latin America'!W29</f>
        <v>0</v>
      </c>
      <c r="AH29" s="26">
        <f>Europe!X29+'Asia-Pacific'!X29+'Rest of world'!X29+'North America'!X29+'Latin America'!X29</f>
        <v>0</v>
      </c>
      <c r="AI29" s="23">
        <f t="shared" si="71"/>
        <v>0</v>
      </c>
      <c r="AJ29" s="112" t="e">
        <f>'North America'!Z29+Europe!Z29+'Asia-Pacific'!Z29+'Rest of world'!#REF!</f>
        <v>#REF!</v>
      </c>
      <c r="AK29" s="26">
        <f>Europe!AA29+'Asia-Pacific'!AA29+'Rest of world'!AA29+'North America'!AA29+'Latin America'!AA29</f>
        <v>0.38632945371428568</v>
      </c>
      <c r="AL29" s="26">
        <f>Europe!AB29+'Asia-Pacific'!AB29+'Rest of world'!AB29+'North America'!AB29+'Latin America'!AB29</f>
        <v>0</v>
      </c>
      <c r="AM29" s="23">
        <f t="shared" si="72"/>
        <v>0</v>
      </c>
      <c r="AN29" s="112" t="e">
        <f>'North America'!#REF!+Europe!#REF!+'Asia-Pacific'!#REF!+'Rest of world'!#REF!</f>
        <v>#REF!</v>
      </c>
      <c r="AO29" s="26" t="e">
        <f>Europe!#REF!+'Asia-Pacific'!#REF!+'Rest of world'!#REF!+'North America'!#REF!+'Latin America'!#REF!</f>
        <v>#REF!</v>
      </c>
      <c r="AP29" s="26">
        <f>Europe!AF29+'Asia-Pacific'!AF29+'Rest of world'!AF29+'North America'!AF29+'Latin America'!AF29</f>
        <v>55</v>
      </c>
      <c r="AQ29" s="23">
        <f t="shared" si="73"/>
        <v>0</v>
      </c>
      <c r="AR29" s="112" t="e">
        <f>'North America'!#REF!+Europe!#REF!+'Asia-Pacific'!#REF!+'Rest of world'!#REF!</f>
        <v>#REF!</v>
      </c>
      <c r="AS29" s="26" t="e">
        <f>Europe!#REF!+'Asia-Pacific'!#REF!+'Rest of world'!#REF!+'North America'!#REF!+'Latin America'!#REF!</f>
        <v>#REF!</v>
      </c>
      <c r="AT29" s="26">
        <f>Europe!AJ29+'Asia-Pacific'!AJ29+'Rest of world'!AJ29+'North America'!AJ29+'Latin America'!AJ29</f>
        <v>0</v>
      </c>
      <c r="AU29" s="23">
        <f t="shared" si="74"/>
        <v>0</v>
      </c>
      <c r="AV29" s="112" t="e">
        <f>'North America'!#REF!+Europe!#REF!+'Asia-Pacific'!#REF!+'Rest of world'!#REF!</f>
        <v>#REF!</v>
      </c>
      <c r="AW29" s="26" t="e">
        <f>Europe!#REF!+'Asia-Pacific'!#REF!+'Rest of world'!#REF!+'North America'!#REF!+'Latin America'!#REF!</f>
        <v>#REF!</v>
      </c>
      <c r="AX29" s="26">
        <f>Europe!AN29+'Asia-Pacific'!AN29+'Rest of world'!AN29+'North America'!AN29+'Latin America'!AN29</f>
        <v>0</v>
      </c>
      <c r="AY29" s="23">
        <f t="shared" si="75"/>
        <v>0</v>
      </c>
      <c r="AZ29" s="112" t="e">
        <f>'North America'!#REF!+Europe!#REF!+'Asia-Pacific'!#REF!+'Rest of world'!#REF!</f>
        <v>#REF!</v>
      </c>
      <c r="BA29" s="26" t="e">
        <f>Europe!#REF!+'Asia-Pacific'!#REF!+'Rest of world'!#REF!+'North America'!#REF!+'Latin America'!#REF!</f>
        <v>#REF!</v>
      </c>
      <c r="BB29" s="26">
        <f>Europe!AR29+'Asia-Pacific'!AR29+'Rest of world'!AR29+'North America'!AR29+'Latin America'!AR29</f>
        <v>0</v>
      </c>
      <c r="BC29" s="23">
        <f t="shared" si="76"/>
        <v>0</v>
      </c>
      <c r="BD29" s="112" t="e">
        <f>'North America'!#REF!+Europe!#REF!+'Asia-Pacific'!#REF!+'Rest of world'!#REF!</f>
        <v>#REF!</v>
      </c>
      <c r="BE29" s="26" t="e">
        <f>Europe!#REF!+'Asia-Pacific'!#REF!+'Rest of world'!#REF!+'North America'!#REF!+'Latin America'!#REF!</f>
        <v>#REF!</v>
      </c>
      <c r="BF29" s="26">
        <f>Europe!AV29+'Asia-Pacific'!AV29+'Rest of world'!AV29+'North America'!AV29+'Latin America'!AV29</f>
        <v>55</v>
      </c>
      <c r="BG29" s="23">
        <f t="shared" si="77"/>
        <v>0</v>
      </c>
      <c r="BH29" s="112" t="e">
        <f>'North America'!#REF!+Europe!#REF!+'Asia-Pacific'!#REF!+'Rest of world'!#REF!</f>
        <v>#REF!</v>
      </c>
      <c r="BI29" s="26" t="e">
        <f>Europe!#REF!+'Asia-Pacific'!#REF!+'Rest of world'!#REF!+'North America'!#REF!+'Latin America'!#REF!</f>
        <v>#REF!</v>
      </c>
      <c r="BK29" s="240">
        <f t="shared" si="78"/>
        <v>56</v>
      </c>
      <c r="BL29" s="241" t="e">
        <f t="shared" si="79"/>
        <v>#REF!</v>
      </c>
      <c r="BM29" s="240">
        <f t="shared" si="80"/>
        <v>55</v>
      </c>
      <c r="BN29" s="241" t="e">
        <f t="shared" si="81"/>
        <v>#REF!</v>
      </c>
      <c r="BO29" s="240">
        <f t="shared" si="82"/>
        <v>55</v>
      </c>
      <c r="BP29" s="241" t="e">
        <f t="shared" si="83"/>
        <v>#REF!</v>
      </c>
      <c r="BQ29" s="201">
        <f t="shared" si="84"/>
        <v>55</v>
      </c>
      <c r="BR29" s="204" t="e">
        <f t="shared" si="85"/>
        <v>#REF!</v>
      </c>
      <c r="BS29" s="240">
        <f t="shared" si="37"/>
        <v>221</v>
      </c>
      <c r="BT29" s="253" t="e">
        <f t="shared" si="32"/>
        <v>#REF!</v>
      </c>
      <c r="BU29" s="246" t="e">
        <f t="shared" si="86"/>
        <v>#REF!</v>
      </c>
      <c r="BV29" s="201">
        <f t="shared" si="87"/>
        <v>0</v>
      </c>
      <c r="BW29" s="2"/>
      <c r="BX29" s="33">
        <f t="shared" si="33"/>
        <v>221</v>
      </c>
      <c r="BY29" s="113" t="e">
        <f t="shared" si="34"/>
        <v>#REF!</v>
      </c>
      <c r="CA29" s="27">
        <f>+Domestic!B29</f>
        <v>0</v>
      </c>
      <c r="CB29" s="113" t="e">
        <f>+Domestic!#REF!</f>
        <v>#REF!</v>
      </c>
      <c r="CD29" s="27">
        <f t="shared" si="35"/>
        <v>221</v>
      </c>
      <c r="CE29" s="113" t="e">
        <f t="shared" si="36"/>
        <v>#REF!</v>
      </c>
      <c r="DJ29" s="210">
        <v>301</v>
      </c>
      <c r="DK29" s="211">
        <v>1002.4916943521595</v>
      </c>
      <c r="DL29" s="200">
        <v>0.30175000000000002</v>
      </c>
      <c r="DM29" s="209">
        <v>1.3578749999999999</v>
      </c>
      <c r="DN29" s="201">
        <f t="shared" si="88"/>
        <v>-80</v>
      </c>
      <c r="DO29" s="201">
        <f t="shared" si="89"/>
        <v>-1002.4916943521595</v>
      </c>
      <c r="DP29" s="204" t="e">
        <f t="shared" si="90"/>
        <v>#REF!</v>
      </c>
    </row>
    <row r="30" spans="1:120" ht="12.6" customHeight="1">
      <c r="A30" s="35" t="s">
        <v>31</v>
      </c>
      <c r="B30" s="264"/>
      <c r="C30" s="264"/>
      <c r="D30" s="135"/>
      <c r="E30" s="157"/>
      <c r="F30" s="149"/>
      <c r="G30" s="151"/>
      <c r="H30" s="135"/>
      <c r="I30" s="151">
        <f t="shared" si="18"/>
        <v>0</v>
      </c>
      <c r="J30" s="27">
        <f t="shared" si="65"/>
        <v>613</v>
      </c>
      <c r="K30" s="23">
        <f t="shared" si="66"/>
        <v>0</v>
      </c>
      <c r="L30" s="112" t="e">
        <f t="shared" si="67"/>
        <v>#REF!</v>
      </c>
      <c r="M30" s="113" t="e">
        <f t="shared" si="67"/>
        <v>#REF!</v>
      </c>
      <c r="N30" s="26">
        <f>Europe!D30+'Asia-Pacific'!D30+'Rest of world'!D30+'North America'!D30+'Latin America'!D30</f>
        <v>40</v>
      </c>
      <c r="O30" s="23">
        <f t="shared" si="3"/>
        <v>0</v>
      </c>
      <c r="P30" s="112" t="e">
        <f>'North America'!#REF!+Europe!#REF!+'Asia-Pacific'!#REF!+'Rest of world'!#REF!</f>
        <v>#REF!</v>
      </c>
      <c r="Q30" s="26" t="e">
        <f>Europe!#REF!+'Asia-Pacific'!#REF!+'Rest of world'!#REF!+'North America'!#REF!+'Latin America'!#REF!</f>
        <v>#REF!</v>
      </c>
      <c r="R30" s="26">
        <f>Europe!H30+'Asia-Pacific'!H30+'Rest of world'!H30+'North America'!H30+'Latin America'!H30</f>
        <v>60</v>
      </c>
      <c r="S30" s="23">
        <f t="shared" si="4"/>
        <v>0</v>
      </c>
      <c r="T30" s="112" t="e">
        <f>'North America'!#REF!+Europe!#REF!+'Asia-Pacific'!#REF!+'Rest of world'!#REF!</f>
        <v>#REF!</v>
      </c>
      <c r="U30" s="26" t="e">
        <f>Europe!#REF!+'Asia-Pacific'!#REF!+'Rest of world'!#REF!+'North America'!#REF!+'Latin America'!#REF!</f>
        <v>#REF!</v>
      </c>
      <c r="V30" s="26">
        <f>Europe!L30+'Asia-Pacific'!L30+'Rest of world'!L30+'North America'!L30+'Latin America'!L30</f>
        <v>33</v>
      </c>
      <c r="W30" s="23">
        <f t="shared" si="68"/>
        <v>0</v>
      </c>
      <c r="X30" s="112" t="e">
        <f>'North America'!#REF!+Europe!#REF!+'Asia-Pacific'!#REF!+'Rest of world'!#REF!</f>
        <v>#REF!</v>
      </c>
      <c r="Y30" s="26" t="e">
        <f>Europe!#REF!+'Asia-Pacific'!#REF!+'Rest of world'!#REF!+'North America'!#REF!+'Latin America'!#REF!</f>
        <v>#REF!</v>
      </c>
      <c r="Z30" s="26">
        <f>Europe!P30+'Asia-Pacific'!P30+'Rest of world'!P30+'North America'!P30+'Latin America'!P30</f>
        <v>60</v>
      </c>
      <c r="AA30" s="23">
        <f t="shared" si="69"/>
        <v>0</v>
      </c>
      <c r="AB30" s="112" t="e">
        <f>'North America'!#REF!+Europe!#REF!+'Asia-Pacific'!#REF!+'Rest of world'!#REF!</f>
        <v>#REF!</v>
      </c>
      <c r="AC30" s="26" t="e">
        <f>Europe!#REF!+'Asia-Pacific'!#REF!+'Rest of world'!#REF!+'North America'!#REF!+'Latin America'!#REF!</f>
        <v>#REF!</v>
      </c>
      <c r="AD30" s="26">
        <f>Europe!T30+'Asia-Pacific'!T30+'Rest of world'!T30+'North America'!T30+'Latin America'!T30</f>
        <v>60</v>
      </c>
      <c r="AE30" s="23">
        <f t="shared" si="70"/>
        <v>56133333.333333336</v>
      </c>
      <c r="AF30" s="112">
        <f>'North America'!V30+Europe!V30+'Asia-Pacific'!V30+'Rest of world'!V30</f>
        <v>3368</v>
      </c>
      <c r="AG30" s="26">
        <f>Europe!W30+'Asia-Pacific'!W30+'Rest of world'!W30+'North America'!W30+'Latin America'!W30</f>
        <v>1.7233897489714287</v>
      </c>
      <c r="AH30" s="26">
        <f>Europe!X30+'Asia-Pacific'!X30+'Rest of world'!X30+'North America'!X30+'Latin America'!X30</f>
        <v>40</v>
      </c>
      <c r="AI30" s="23">
        <f t="shared" si="71"/>
        <v>0</v>
      </c>
      <c r="AJ30" s="112" t="e">
        <f>'North America'!Z30+Europe!Z30+'Asia-Pacific'!Z30+'Rest of world'!#REF!</f>
        <v>#REF!</v>
      </c>
      <c r="AK30" s="26">
        <f>Europe!AA30+'Asia-Pacific'!AA30+'Rest of world'!AA30+'North America'!AA30+'Latin America'!AA30</f>
        <v>1.9516481712000002</v>
      </c>
      <c r="AL30" s="26">
        <f>Europe!AB30+'Asia-Pacific'!AB30+'Rest of world'!AB30+'North America'!AB30+'Latin America'!AB30</f>
        <v>60</v>
      </c>
      <c r="AM30" s="23">
        <f t="shared" si="72"/>
        <v>0</v>
      </c>
      <c r="AN30" s="112" t="e">
        <f>'North America'!#REF!+Europe!#REF!+'Asia-Pacific'!#REF!+'Rest of world'!#REF!</f>
        <v>#REF!</v>
      </c>
      <c r="AO30" s="26" t="e">
        <f>Europe!#REF!+'Asia-Pacific'!#REF!+'Rest of world'!#REF!+'North America'!#REF!+'Latin America'!#REF!</f>
        <v>#REF!</v>
      </c>
      <c r="AP30" s="26">
        <f>Europe!AF30+'Asia-Pacific'!AF30+'Rest of world'!AF30+'North America'!AF30+'Latin America'!AF30</f>
        <v>60</v>
      </c>
      <c r="AQ30" s="23">
        <f t="shared" si="73"/>
        <v>0</v>
      </c>
      <c r="AR30" s="112" t="e">
        <f>'North America'!#REF!+Europe!#REF!+'Asia-Pacific'!#REF!+'Rest of world'!#REF!</f>
        <v>#REF!</v>
      </c>
      <c r="AS30" s="26" t="e">
        <f>Europe!#REF!+'Asia-Pacific'!#REF!+'Rest of world'!#REF!+'North America'!#REF!+'Latin America'!#REF!</f>
        <v>#REF!</v>
      </c>
      <c r="AT30" s="26">
        <f>Europe!AJ30+'Asia-Pacific'!AJ30+'Rest of world'!AJ30+'North America'!AJ30+'Latin America'!AJ30</f>
        <v>40</v>
      </c>
      <c r="AU30" s="23">
        <f t="shared" si="74"/>
        <v>0</v>
      </c>
      <c r="AV30" s="112" t="e">
        <f>'North America'!#REF!+Europe!#REF!+'Asia-Pacific'!#REF!+'Rest of world'!#REF!</f>
        <v>#REF!</v>
      </c>
      <c r="AW30" s="26" t="e">
        <f>Europe!#REF!+'Asia-Pacific'!#REF!+'Rest of world'!#REF!+'North America'!#REF!+'Latin America'!#REF!</f>
        <v>#REF!</v>
      </c>
      <c r="AX30" s="26">
        <f>Europe!AN30+'Asia-Pacific'!AN30+'Rest of world'!AN30+'North America'!AN30+'Latin America'!AN30</f>
        <v>60</v>
      </c>
      <c r="AY30" s="23">
        <f t="shared" si="75"/>
        <v>0</v>
      </c>
      <c r="AZ30" s="112" t="e">
        <f>'North America'!#REF!+Europe!#REF!+'Asia-Pacific'!#REF!+'Rest of world'!#REF!</f>
        <v>#REF!</v>
      </c>
      <c r="BA30" s="26" t="e">
        <f>Europe!#REF!+'Asia-Pacific'!#REF!+'Rest of world'!#REF!+'North America'!#REF!+'Latin America'!#REF!</f>
        <v>#REF!</v>
      </c>
      <c r="BB30" s="26">
        <f>Europe!AR30+'Asia-Pacific'!AR30+'Rest of world'!AR30+'North America'!AR30+'Latin America'!AR30</f>
        <v>60</v>
      </c>
      <c r="BC30" s="23">
        <f t="shared" si="76"/>
        <v>0</v>
      </c>
      <c r="BD30" s="112" t="e">
        <f>'North America'!#REF!+Europe!#REF!+'Asia-Pacific'!#REF!+'Rest of world'!#REF!</f>
        <v>#REF!</v>
      </c>
      <c r="BE30" s="26" t="e">
        <f>Europe!#REF!+'Asia-Pacific'!#REF!+'Rest of world'!#REF!+'North America'!#REF!+'Latin America'!#REF!</f>
        <v>#REF!</v>
      </c>
      <c r="BF30" s="26">
        <f>Europe!AV30+'Asia-Pacific'!AV30+'Rest of world'!AV30+'North America'!AV30+'Latin America'!AV30</f>
        <v>40</v>
      </c>
      <c r="BG30" s="23">
        <f t="shared" si="77"/>
        <v>0</v>
      </c>
      <c r="BH30" s="112" t="e">
        <f>'North America'!#REF!+Europe!#REF!+'Asia-Pacific'!#REF!+'Rest of world'!#REF!</f>
        <v>#REF!</v>
      </c>
      <c r="BI30" s="26" t="e">
        <f>Europe!#REF!+'Asia-Pacific'!#REF!+'Rest of world'!#REF!+'North America'!#REF!+'Latin America'!#REF!</f>
        <v>#REF!</v>
      </c>
      <c r="BK30" s="240">
        <f t="shared" si="78"/>
        <v>133</v>
      </c>
      <c r="BL30" s="241" t="e">
        <f t="shared" si="79"/>
        <v>#REF!</v>
      </c>
      <c r="BM30" s="240">
        <f t="shared" si="80"/>
        <v>160</v>
      </c>
      <c r="BN30" s="241" t="e">
        <f t="shared" si="81"/>
        <v>#REF!</v>
      </c>
      <c r="BO30" s="240">
        <f t="shared" si="82"/>
        <v>160</v>
      </c>
      <c r="BP30" s="241" t="e">
        <f t="shared" si="83"/>
        <v>#REF!</v>
      </c>
      <c r="BQ30" s="201">
        <f t="shared" si="84"/>
        <v>160</v>
      </c>
      <c r="BR30" s="204" t="e">
        <f t="shared" si="85"/>
        <v>#REF!</v>
      </c>
      <c r="BS30" s="240">
        <f t="shared" si="37"/>
        <v>613</v>
      </c>
      <c r="BT30" s="253" t="e">
        <f t="shared" si="32"/>
        <v>#REF!</v>
      </c>
      <c r="BU30" s="246" t="e">
        <f t="shared" si="86"/>
        <v>#REF!</v>
      </c>
      <c r="BV30" s="201">
        <f t="shared" si="87"/>
        <v>0</v>
      </c>
      <c r="BW30" s="2"/>
      <c r="BX30" s="33">
        <f t="shared" si="33"/>
        <v>613</v>
      </c>
      <c r="BY30" s="113" t="e">
        <f t="shared" si="34"/>
        <v>#REF!</v>
      </c>
      <c r="CA30" s="27">
        <f>+Domestic!B30</f>
        <v>0</v>
      </c>
      <c r="CB30" s="113" t="e">
        <f>+Domestic!#REF!</f>
        <v>#REF!</v>
      </c>
      <c r="CD30" s="27">
        <f t="shared" si="35"/>
        <v>613</v>
      </c>
      <c r="CE30" s="113" t="e">
        <f t="shared" si="36"/>
        <v>#REF!</v>
      </c>
      <c r="DJ30" s="210">
        <v>840</v>
      </c>
      <c r="DK30" s="211">
        <v>1450.1666666666665</v>
      </c>
      <c r="DL30" s="200">
        <v>1.2181399999999998</v>
      </c>
      <c r="DM30" s="209">
        <v>5.4816300000000009</v>
      </c>
      <c r="DN30" s="201">
        <f t="shared" si="88"/>
        <v>-227</v>
      </c>
      <c r="DO30" s="201">
        <f t="shared" si="89"/>
        <v>-1450.1666666666665</v>
      </c>
      <c r="DP30" s="204" t="e">
        <f t="shared" si="90"/>
        <v>#REF!</v>
      </c>
    </row>
    <row r="31" spans="1:120" ht="12.6" customHeight="1">
      <c r="A31" s="160" t="s">
        <v>35</v>
      </c>
      <c r="B31" s="264"/>
      <c r="C31" s="264"/>
      <c r="D31" s="135"/>
      <c r="E31" s="157"/>
      <c r="F31" s="149"/>
      <c r="G31" s="151"/>
      <c r="H31" s="135"/>
      <c r="I31" s="151">
        <f t="shared" si="18"/>
        <v>0</v>
      </c>
      <c r="J31" s="27">
        <f t="shared" si="65"/>
        <v>0</v>
      </c>
      <c r="K31" s="23">
        <f t="shared" si="66"/>
        <v>0</v>
      </c>
      <c r="L31" s="112" t="e">
        <f t="shared" si="67"/>
        <v>#REF!</v>
      </c>
      <c r="M31" s="113" t="e">
        <f t="shared" si="67"/>
        <v>#REF!</v>
      </c>
      <c r="N31" s="26">
        <f>Europe!D31+'Asia-Pacific'!D31+'Rest of world'!D31+'North America'!D31+'Latin America'!D31</f>
        <v>0</v>
      </c>
      <c r="O31" s="23">
        <f t="shared" si="3"/>
        <v>0</v>
      </c>
      <c r="P31" s="112" t="e">
        <f>'North America'!#REF!+Europe!#REF!+'Asia-Pacific'!#REF!+'Rest of world'!#REF!</f>
        <v>#REF!</v>
      </c>
      <c r="Q31" s="26" t="e">
        <f>Europe!#REF!+'Asia-Pacific'!#REF!+'Rest of world'!#REF!+'North America'!#REF!+'Latin America'!#REF!</f>
        <v>#REF!</v>
      </c>
      <c r="R31" s="26">
        <f>Europe!H31+'Asia-Pacific'!H31+'Rest of world'!H31+'North America'!H31+'Latin America'!H31</f>
        <v>0</v>
      </c>
      <c r="S31" s="23">
        <f t="shared" si="4"/>
        <v>0</v>
      </c>
      <c r="T31" s="112" t="e">
        <f>'North America'!#REF!+Europe!#REF!+'Asia-Pacific'!#REF!+'Rest of world'!#REF!</f>
        <v>#REF!</v>
      </c>
      <c r="U31" s="26" t="e">
        <f>Europe!#REF!+'Asia-Pacific'!#REF!+'Rest of world'!#REF!+'North America'!#REF!+'Latin America'!#REF!</f>
        <v>#REF!</v>
      </c>
      <c r="V31" s="26">
        <f>Europe!L31+'Asia-Pacific'!L31+'Rest of world'!L31+'North America'!L31+'Latin America'!L31</f>
        <v>0</v>
      </c>
      <c r="W31" s="23">
        <f t="shared" si="68"/>
        <v>0</v>
      </c>
      <c r="X31" s="112" t="e">
        <f>'North America'!#REF!+Europe!#REF!+'Asia-Pacific'!#REF!+'Rest of world'!#REF!</f>
        <v>#REF!</v>
      </c>
      <c r="Y31" s="26" t="e">
        <f>Europe!#REF!+'Asia-Pacific'!#REF!+'Rest of world'!#REF!+'North America'!#REF!+'Latin America'!#REF!</f>
        <v>#REF!</v>
      </c>
      <c r="Z31" s="26">
        <f>Europe!P31+'Asia-Pacific'!P31+'Rest of world'!P31+'North America'!P31+'Latin America'!P31</f>
        <v>0</v>
      </c>
      <c r="AA31" s="23">
        <f t="shared" si="69"/>
        <v>0</v>
      </c>
      <c r="AB31" s="112" t="e">
        <f>'North America'!#REF!+Europe!#REF!+'Asia-Pacific'!#REF!+'Rest of world'!#REF!</f>
        <v>#REF!</v>
      </c>
      <c r="AC31" s="26" t="e">
        <f>Europe!#REF!+'Asia-Pacific'!#REF!+'Rest of world'!#REF!+'North America'!#REF!+'Latin America'!#REF!</f>
        <v>#REF!</v>
      </c>
      <c r="AD31" s="26">
        <f>Europe!T31+'Asia-Pacific'!T31+'Rest of world'!T31+'North America'!T31+'Latin America'!T31</f>
        <v>0</v>
      </c>
      <c r="AE31" s="23">
        <f t="shared" si="70"/>
        <v>0</v>
      </c>
      <c r="AF31" s="112">
        <f>'North America'!V31+Europe!V31+'Asia-Pacific'!V31+'Rest of world'!V31</f>
        <v>0</v>
      </c>
      <c r="AG31" s="26">
        <f>Europe!W31+'Asia-Pacific'!W31+'Rest of world'!W31+'North America'!W31+'Latin America'!W31</f>
        <v>0</v>
      </c>
      <c r="AH31" s="26">
        <f>Europe!X31+'Asia-Pacific'!X31+'Rest of world'!X31+'North America'!X31+'Latin America'!X31</f>
        <v>0</v>
      </c>
      <c r="AI31" s="23">
        <f t="shared" si="71"/>
        <v>0</v>
      </c>
      <c r="AJ31" s="112" t="e">
        <f>'North America'!Z31+Europe!Z31+'Asia-Pacific'!Z31+'Rest of world'!#REF!</f>
        <v>#REF!</v>
      </c>
      <c r="AK31" s="26">
        <f>Europe!AA31+'Asia-Pacific'!AA31+'Rest of world'!AA31+'North America'!AA31+'Latin America'!AA31</f>
        <v>0</v>
      </c>
      <c r="AL31" s="26">
        <f>Europe!AB31+'Asia-Pacific'!AB31+'Rest of world'!AB31+'North America'!AB31+'Latin America'!AB31</f>
        <v>0</v>
      </c>
      <c r="AM31" s="23">
        <f t="shared" si="72"/>
        <v>0</v>
      </c>
      <c r="AN31" s="112" t="e">
        <f>'North America'!#REF!+Europe!#REF!+'Asia-Pacific'!#REF!+'Rest of world'!#REF!</f>
        <v>#REF!</v>
      </c>
      <c r="AO31" s="26" t="e">
        <f>Europe!#REF!+'Asia-Pacific'!#REF!+'Rest of world'!#REF!+'North America'!#REF!+'Latin America'!#REF!</f>
        <v>#REF!</v>
      </c>
      <c r="AP31" s="26">
        <f>Europe!AF31+'Asia-Pacific'!AF31+'Rest of world'!AF31+'North America'!AF31+'Latin America'!AF31</f>
        <v>0</v>
      </c>
      <c r="AQ31" s="23">
        <f t="shared" si="73"/>
        <v>0</v>
      </c>
      <c r="AR31" s="112" t="e">
        <f>'North America'!#REF!+Europe!#REF!+'Asia-Pacific'!#REF!+'Rest of world'!#REF!</f>
        <v>#REF!</v>
      </c>
      <c r="AS31" s="26" t="e">
        <f>Europe!#REF!+'Asia-Pacific'!#REF!+'Rest of world'!#REF!+'North America'!#REF!+'Latin America'!#REF!</f>
        <v>#REF!</v>
      </c>
      <c r="AT31" s="26">
        <f>Europe!AJ31+'Asia-Pacific'!AJ31+'Rest of world'!AJ31+'North America'!AJ31+'Latin America'!AJ31</f>
        <v>0</v>
      </c>
      <c r="AU31" s="23">
        <f t="shared" si="74"/>
        <v>0</v>
      </c>
      <c r="AV31" s="112" t="e">
        <f>'North America'!#REF!+Europe!#REF!+'Asia-Pacific'!#REF!+'Rest of world'!#REF!</f>
        <v>#REF!</v>
      </c>
      <c r="AW31" s="26" t="e">
        <f>Europe!#REF!+'Asia-Pacific'!#REF!+'Rest of world'!#REF!+'North America'!#REF!+'Latin America'!#REF!</f>
        <v>#REF!</v>
      </c>
      <c r="AX31" s="26">
        <f>Europe!AN31+'Asia-Pacific'!AN31+'Rest of world'!AN31+'North America'!AN31+'Latin America'!AN31</f>
        <v>0</v>
      </c>
      <c r="AY31" s="23">
        <f t="shared" si="75"/>
        <v>0</v>
      </c>
      <c r="AZ31" s="112" t="e">
        <f>'North America'!#REF!+Europe!#REF!+'Asia-Pacific'!#REF!+'Rest of world'!#REF!</f>
        <v>#REF!</v>
      </c>
      <c r="BA31" s="26" t="e">
        <f>Europe!#REF!+'Asia-Pacific'!#REF!+'Rest of world'!#REF!+'North America'!#REF!+'Latin America'!#REF!</f>
        <v>#REF!</v>
      </c>
      <c r="BB31" s="26">
        <f>Europe!AR31+'Asia-Pacific'!AR31+'Rest of world'!AR31+'North America'!AR31+'Latin America'!AR31</f>
        <v>0</v>
      </c>
      <c r="BC31" s="23">
        <f t="shared" si="76"/>
        <v>0</v>
      </c>
      <c r="BD31" s="112" t="e">
        <f>'North America'!#REF!+Europe!#REF!+'Asia-Pacific'!#REF!+'Rest of world'!#REF!</f>
        <v>#REF!</v>
      </c>
      <c r="BE31" s="26" t="e">
        <f>Europe!#REF!+'Asia-Pacific'!#REF!+'Rest of world'!#REF!+'North America'!#REF!+'Latin America'!#REF!</f>
        <v>#REF!</v>
      </c>
      <c r="BF31" s="26">
        <f>Europe!AV31+'Asia-Pacific'!AV31+'Rest of world'!AV31+'North America'!AV31+'Latin America'!AV31</f>
        <v>0</v>
      </c>
      <c r="BG31" s="23">
        <f t="shared" si="77"/>
        <v>0</v>
      </c>
      <c r="BH31" s="112" t="e">
        <f>'North America'!#REF!+Europe!#REF!+'Asia-Pacific'!#REF!+'Rest of world'!#REF!</f>
        <v>#REF!</v>
      </c>
      <c r="BI31" s="26" t="e">
        <f>Europe!#REF!+'Asia-Pacific'!#REF!+'Rest of world'!#REF!+'North America'!#REF!+'Latin America'!#REF!</f>
        <v>#REF!</v>
      </c>
      <c r="BK31" s="240">
        <f t="shared" si="78"/>
        <v>0</v>
      </c>
      <c r="BL31" s="241" t="e">
        <f t="shared" si="79"/>
        <v>#REF!</v>
      </c>
      <c r="BM31" s="240">
        <f t="shared" si="80"/>
        <v>0</v>
      </c>
      <c r="BN31" s="241" t="e">
        <f t="shared" si="81"/>
        <v>#REF!</v>
      </c>
      <c r="BO31" s="240">
        <f t="shared" si="82"/>
        <v>0</v>
      </c>
      <c r="BP31" s="241" t="e">
        <f t="shared" si="83"/>
        <v>#REF!</v>
      </c>
      <c r="BQ31" s="201">
        <f t="shared" si="84"/>
        <v>0</v>
      </c>
      <c r="BR31" s="204" t="e">
        <f t="shared" si="85"/>
        <v>#REF!</v>
      </c>
      <c r="BS31" s="240">
        <f t="shared" si="37"/>
        <v>0</v>
      </c>
      <c r="BT31" s="253" t="e">
        <f t="shared" si="32"/>
        <v>#REF!</v>
      </c>
      <c r="BU31" s="246" t="e">
        <f t="shared" si="86"/>
        <v>#REF!</v>
      </c>
      <c r="BV31" s="201">
        <f t="shared" si="87"/>
        <v>0</v>
      </c>
      <c r="BW31" s="2"/>
      <c r="BX31" s="33">
        <f t="shared" si="33"/>
        <v>0</v>
      </c>
      <c r="BY31" s="113" t="e">
        <f t="shared" si="34"/>
        <v>#REF!</v>
      </c>
      <c r="CA31" s="27">
        <f>+Domestic!B31</f>
        <v>2000</v>
      </c>
      <c r="CB31" s="113" t="e">
        <f>+Domestic!#REF!</f>
        <v>#REF!</v>
      </c>
      <c r="CD31" s="27">
        <f t="shared" si="35"/>
        <v>2000</v>
      </c>
      <c r="CE31" s="113" t="e">
        <f t="shared" si="36"/>
        <v>#REF!</v>
      </c>
      <c r="DJ31" s="210">
        <v>300</v>
      </c>
      <c r="DK31" s="211">
        <v>2267.1000000000004</v>
      </c>
      <c r="DL31" s="200">
        <v>0.68013000000000001</v>
      </c>
      <c r="DM31" s="209">
        <v>3.0605850000000006</v>
      </c>
      <c r="DN31" s="201">
        <f t="shared" si="88"/>
        <v>-300</v>
      </c>
      <c r="DO31" s="201">
        <f t="shared" si="89"/>
        <v>-2267.1000000000004</v>
      </c>
      <c r="DP31" s="204" t="e">
        <f t="shared" si="90"/>
        <v>#REF!</v>
      </c>
    </row>
    <row r="32" spans="1:120" ht="12.6" customHeight="1">
      <c r="A32" s="35" t="s">
        <v>83</v>
      </c>
      <c r="B32" s="264"/>
      <c r="C32" s="264"/>
      <c r="D32" s="135"/>
      <c r="E32" s="157"/>
      <c r="F32" s="149"/>
      <c r="G32" s="151"/>
      <c r="H32" s="135"/>
      <c r="I32" s="151">
        <f t="shared" si="18"/>
        <v>0</v>
      </c>
      <c r="J32" s="27">
        <f t="shared" si="65"/>
        <v>840</v>
      </c>
      <c r="K32" s="23">
        <f t="shared" si="66"/>
        <v>0</v>
      </c>
      <c r="L32" s="112" t="e">
        <f t="shared" si="67"/>
        <v>#REF!</v>
      </c>
      <c r="M32" s="113" t="e">
        <f t="shared" si="67"/>
        <v>#REF!</v>
      </c>
      <c r="N32" s="26">
        <f>Europe!D32+'Asia-Pacific'!D32+'Rest of world'!D32+'North America'!D32+'Latin America'!D32</f>
        <v>15</v>
      </c>
      <c r="O32" s="23">
        <f t="shared" si="3"/>
        <v>0</v>
      </c>
      <c r="P32" s="112" t="e">
        <f>'North America'!#REF!+Europe!#REF!+'Asia-Pacific'!#REF!+'Rest of world'!#REF!</f>
        <v>#REF!</v>
      </c>
      <c r="Q32" s="26" t="e">
        <f>Europe!#REF!+'Asia-Pacific'!#REF!+'Rest of world'!#REF!+'North America'!#REF!+'Latin America'!#REF!</f>
        <v>#REF!</v>
      </c>
      <c r="R32" s="26">
        <f>Europe!H32+'Asia-Pacific'!H32+'Rest of world'!H32+'North America'!H32+'Latin America'!H32</f>
        <v>28</v>
      </c>
      <c r="S32" s="23">
        <f t="shared" si="4"/>
        <v>0</v>
      </c>
      <c r="T32" s="112" t="e">
        <f>'North America'!#REF!+Europe!#REF!+'Asia-Pacific'!#REF!+'Rest of world'!#REF!</f>
        <v>#REF!</v>
      </c>
      <c r="U32" s="26" t="e">
        <f>Europe!#REF!+'Asia-Pacific'!#REF!+'Rest of world'!#REF!+'North America'!#REF!+'Latin America'!#REF!</f>
        <v>#REF!</v>
      </c>
      <c r="V32" s="26">
        <f>Europe!L32+'Asia-Pacific'!L32+'Rest of world'!L32+'North America'!L32+'Latin America'!L32</f>
        <v>67</v>
      </c>
      <c r="W32" s="23">
        <f t="shared" si="68"/>
        <v>0</v>
      </c>
      <c r="X32" s="112" t="e">
        <f>'North America'!#REF!+Europe!#REF!+'Asia-Pacific'!#REF!+'Rest of world'!#REF!</f>
        <v>#REF!</v>
      </c>
      <c r="Y32" s="26" t="e">
        <f>Europe!#REF!+'Asia-Pacific'!#REF!+'Rest of world'!#REF!+'North America'!#REF!+'Latin America'!#REF!</f>
        <v>#REF!</v>
      </c>
      <c r="Z32" s="26">
        <f>Europe!P32+'Asia-Pacific'!P32+'Rest of world'!P32+'North America'!P32+'Latin America'!P32</f>
        <v>128</v>
      </c>
      <c r="AA32" s="23">
        <f t="shared" si="69"/>
        <v>0</v>
      </c>
      <c r="AB32" s="112" t="e">
        <f>'North America'!#REF!+Europe!#REF!+'Asia-Pacific'!#REF!+'Rest of world'!#REF!</f>
        <v>#REF!</v>
      </c>
      <c r="AC32" s="26" t="e">
        <f>Europe!#REF!+'Asia-Pacific'!#REF!+'Rest of world'!#REF!+'North America'!#REF!+'Latin America'!#REF!</f>
        <v>#REF!</v>
      </c>
      <c r="AD32" s="26">
        <f>Europe!T32+'Asia-Pacific'!T32+'Rest of world'!T32+'North America'!T32+'Latin America'!T32</f>
        <v>52</v>
      </c>
      <c r="AE32" s="23">
        <f t="shared" si="70"/>
        <v>15346153.846153846</v>
      </c>
      <c r="AF32" s="112">
        <f>'North America'!V32+Europe!V32+'Asia-Pacific'!V32+'Rest of world'!V32</f>
        <v>798</v>
      </c>
      <c r="AG32" s="26">
        <f>Europe!W32+'Asia-Pacific'!W32+'Rest of world'!W32+'North America'!W32+'Latin America'!W32</f>
        <v>6.4387902985714299E-2</v>
      </c>
      <c r="AH32" s="26">
        <f>Europe!X32+'Asia-Pacific'!X32+'Rest of world'!X32+'North America'!X32+'Latin America'!X32</f>
        <v>143</v>
      </c>
      <c r="AI32" s="23">
        <f t="shared" si="71"/>
        <v>0</v>
      </c>
      <c r="AJ32" s="112" t="e">
        <f>'North America'!Z32+Europe!Z32+'Asia-Pacific'!Z32+'Rest of world'!#REF!</f>
        <v>#REF!</v>
      </c>
      <c r="AK32" s="26">
        <f>Europe!AA32+'Asia-Pacific'!AA32+'Rest of world'!AA32+'North America'!AA32+'Latin America'!AA32</f>
        <v>0</v>
      </c>
      <c r="AL32" s="26">
        <f>Europe!AB32+'Asia-Pacific'!AB32+'Rest of world'!AB32+'North America'!AB32+'Latin America'!AB32</f>
        <v>52</v>
      </c>
      <c r="AM32" s="23">
        <f t="shared" si="72"/>
        <v>0</v>
      </c>
      <c r="AN32" s="112" t="e">
        <f>'North America'!#REF!+Europe!#REF!+'Asia-Pacific'!#REF!+'Rest of world'!#REF!</f>
        <v>#REF!</v>
      </c>
      <c r="AO32" s="26" t="e">
        <f>Europe!#REF!+'Asia-Pacific'!#REF!+'Rest of world'!#REF!+'North America'!#REF!+'Latin America'!#REF!</f>
        <v>#REF!</v>
      </c>
      <c r="AP32" s="26">
        <f>Europe!AF32+'Asia-Pacific'!AF32+'Rest of world'!AF32+'North America'!AF32+'Latin America'!AF32</f>
        <v>28</v>
      </c>
      <c r="AQ32" s="23">
        <f t="shared" si="73"/>
        <v>0</v>
      </c>
      <c r="AR32" s="112" t="e">
        <f>'North America'!#REF!+Europe!#REF!+'Asia-Pacific'!#REF!+'Rest of world'!#REF!</f>
        <v>#REF!</v>
      </c>
      <c r="AS32" s="26" t="e">
        <f>Europe!#REF!+'Asia-Pacific'!#REF!+'Rest of world'!#REF!+'North America'!#REF!+'Latin America'!#REF!</f>
        <v>#REF!</v>
      </c>
      <c r="AT32" s="26">
        <f>Europe!AJ32+'Asia-Pacific'!AJ32+'Rest of world'!AJ32+'North America'!AJ32+'Latin America'!AJ32</f>
        <v>95</v>
      </c>
      <c r="AU32" s="23">
        <f t="shared" si="74"/>
        <v>0</v>
      </c>
      <c r="AV32" s="112" t="e">
        <f>'North America'!#REF!+Europe!#REF!+'Asia-Pacific'!#REF!+'Rest of world'!#REF!</f>
        <v>#REF!</v>
      </c>
      <c r="AW32" s="26" t="e">
        <f>Europe!#REF!+'Asia-Pacific'!#REF!+'Rest of world'!#REF!+'North America'!#REF!+'Latin America'!#REF!</f>
        <v>#REF!</v>
      </c>
      <c r="AX32" s="26">
        <f>Europe!AN32+'Asia-Pacific'!AN32+'Rest of world'!AN32+'North America'!AN32+'Latin America'!AN32</f>
        <v>52</v>
      </c>
      <c r="AY32" s="23">
        <f t="shared" si="75"/>
        <v>0</v>
      </c>
      <c r="AZ32" s="112" t="e">
        <f>'North America'!#REF!+Europe!#REF!+'Asia-Pacific'!#REF!+'Rest of world'!#REF!</f>
        <v>#REF!</v>
      </c>
      <c r="BA32" s="26" t="e">
        <f>Europe!#REF!+'Asia-Pacific'!#REF!+'Rest of world'!#REF!+'North America'!#REF!+'Latin America'!#REF!</f>
        <v>#REF!</v>
      </c>
      <c r="BB32" s="26">
        <f>Europe!AR32+'Asia-Pacific'!AR32+'Rest of world'!AR32+'North America'!AR32+'Latin America'!AR32</f>
        <v>128</v>
      </c>
      <c r="BC32" s="23">
        <f t="shared" si="76"/>
        <v>0</v>
      </c>
      <c r="BD32" s="112" t="e">
        <f>'North America'!#REF!+Europe!#REF!+'Asia-Pacific'!#REF!+'Rest of world'!#REF!</f>
        <v>#REF!</v>
      </c>
      <c r="BE32" s="26" t="e">
        <f>Europe!#REF!+'Asia-Pacific'!#REF!+'Rest of world'!#REF!+'North America'!#REF!+'Latin America'!#REF!</f>
        <v>#REF!</v>
      </c>
      <c r="BF32" s="26">
        <f>Europe!AV32+'Asia-Pacific'!AV32+'Rest of world'!AV32+'North America'!AV32+'Latin America'!AV32</f>
        <v>52</v>
      </c>
      <c r="BG32" s="23">
        <f t="shared" si="77"/>
        <v>0</v>
      </c>
      <c r="BH32" s="112" t="e">
        <f>'North America'!#REF!+Europe!#REF!+'Asia-Pacific'!#REF!+'Rest of world'!#REF!</f>
        <v>#REF!</v>
      </c>
      <c r="BI32" s="26" t="e">
        <f>Europe!#REF!+'Asia-Pacific'!#REF!+'Rest of world'!#REF!+'North America'!#REF!+'Latin America'!#REF!</f>
        <v>#REF!</v>
      </c>
      <c r="BK32" s="240">
        <f t="shared" si="78"/>
        <v>110</v>
      </c>
      <c r="BL32" s="241" t="e">
        <f t="shared" si="79"/>
        <v>#REF!</v>
      </c>
      <c r="BM32" s="240">
        <f t="shared" si="80"/>
        <v>323</v>
      </c>
      <c r="BN32" s="241" t="e">
        <f t="shared" si="81"/>
        <v>#REF!</v>
      </c>
      <c r="BO32" s="240">
        <f t="shared" si="82"/>
        <v>175</v>
      </c>
      <c r="BP32" s="241" t="e">
        <f t="shared" si="83"/>
        <v>#REF!</v>
      </c>
      <c r="BQ32" s="201">
        <f t="shared" si="84"/>
        <v>232</v>
      </c>
      <c r="BR32" s="204" t="e">
        <f t="shared" si="85"/>
        <v>#REF!</v>
      </c>
      <c r="BS32" s="240">
        <f t="shared" si="37"/>
        <v>840</v>
      </c>
      <c r="BT32" s="253" t="e">
        <f t="shared" si="32"/>
        <v>#REF!</v>
      </c>
      <c r="BU32" s="246" t="e">
        <f t="shared" si="86"/>
        <v>#REF!</v>
      </c>
      <c r="BV32" s="201">
        <f t="shared" si="87"/>
        <v>0</v>
      </c>
      <c r="BW32" s="2"/>
      <c r="BX32" s="33">
        <f t="shared" si="33"/>
        <v>840</v>
      </c>
      <c r="BY32" s="113" t="e">
        <f t="shared" si="34"/>
        <v>#REF!</v>
      </c>
      <c r="CA32" s="27">
        <f>+Domestic!B32</f>
        <v>7311</v>
      </c>
      <c r="CB32" s="113" t="e">
        <f>+Domestic!#REF!</f>
        <v>#REF!</v>
      </c>
      <c r="CD32" s="27">
        <f t="shared" si="35"/>
        <v>8151</v>
      </c>
      <c r="CE32" s="113" t="e">
        <f t="shared" si="36"/>
        <v>#REF!</v>
      </c>
      <c r="CZ32" s="201">
        <f>BK32-CV32</f>
        <v>110</v>
      </c>
      <c r="DA32" s="201">
        <f>BM32-CW32</f>
        <v>323</v>
      </c>
      <c r="DB32" s="201">
        <f>BO32-CX32</f>
        <v>175</v>
      </c>
      <c r="DC32" s="201">
        <f>BQ32-CY32</f>
        <v>232</v>
      </c>
      <c r="DD32" s="201">
        <f>BS32-CZ32</f>
        <v>730</v>
      </c>
      <c r="DJ32" s="210">
        <v>9818</v>
      </c>
      <c r="DK32" s="211">
        <v>1189.8248980953351</v>
      </c>
      <c r="DL32" s="200">
        <v>11.681700849500002</v>
      </c>
      <c r="DM32" s="209">
        <v>52.567653822750003</v>
      </c>
      <c r="DN32" s="201">
        <f t="shared" si="88"/>
        <v>-8978</v>
      </c>
      <c r="DO32" s="201">
        <f t="shared" si="89"/>
        <v>-1189.8248980953351</v>
      </c>
      <c r="DP32" s="204" t="e">
        <f t="shared" si="90"/>
        <v>#REF!</v>
      </c>
    </row>
    <row r="33" spans="1:122" ht="12.6" customHeight="1">
      <c r="A33" s="35" t="s">
        <v>37</v>
      </c>
      <c r="B33" s="264"/>
      <c r="C33" s="264"/>
      <c r="D33" s="135"/>
      <c r="E33" s="157"/>
      <c r="F33" s="149"/>
      <c r="G33" s="151"/>
      <c r="H33" s="135"/>
      <c r="I33" s="151">
        <f t="shared" si="18"/>
        <v>0</v>
      </c>
      <c r="J33" s="27">
        <f t="shared" si="65"/>
        <v>120</v>
      </c>
      <c r="K33" s="23">
        <f t="shared" si="66"/>
        <v>0</v>
      </c>
      <c r="L33" s="112" t="e">
        <f t="shared" si="67"/>
        <v>#REF!</v>
      </c>
      <c r="M33" s="113" t="e">
        <f t="shared" si="67"/>
        <v>#REF!</v>
      </c>
      <c r="N33" s="26">
        <f>Europe!D33+'Asia-Pacific'!D33+'Rest of world'!D33+'North America'!D33+'Latin America'!D33</f>
        <v>0</v>
      </c>
      <c r="O33" s="23">
        <f t="shared" si="3"/>
        <v>0</v>
      </c>
      <c r="P33" s="112" t="e">
        <f>'North America'!#REF!+Europe!#REF!+'Asia-Pacific'!#REF!+'Rest of world'!#REF!</f>
        <v>#REF!</v>
      </c>
      <c r="Q33" s="26" t="e">
        <f>Europe!#REF!+'Asia-Pacific'!#REF!+'Rest of world'!#REF!+'North America'!#REF!+'Latin America'!#REF!</f>
        <v>#REF!</v>
      </c>
      <c r="R33" s="26">
        <f>Europe!H33+'Asia-Pacific'!H33+'Rest of world'!H33+'North America'!H33+'Latin America'!H33</f>
        <v>14</v>
      </c>
      <c r="S33" s="23">
        <f t="shared" si="4"/>
        <v>0</v>
      </c>
      <c r="T33" s="112" t="e">
        <f>'North America'!#REF!+Europe!#REF!+'Asia-Pacific'!#REF!+'Rest of world'!#REF!</f>
        <v>#REF!</v>
      </c>
      <c r="U33" s="26" t="e">
        <f>Europe!#REF!+'Asia-Pacific'!#REF!+'Rest of world'!#REF!+'North America'!#REF!+'Latin America'!#REF!</f>
        <v>#REF!</v>
      </c>
      <c r="V33" s="26">
        <f>Europe!L33+'Asia-Pacific'!L33+'Rest of world'!L33+'North America'!L33+'Latin America'!L33</f>
        <v>14</v>
      </c>
      <c r="W33" s="23">
        <f t="shared" si="68"/>
        <v>0</v>
      </c>
      <c r="X33" s="112" t="e">
        <f>'North America'!#REF!+Europe!#REF!+'Asia-Pacific'!#REF!+'Rest of world'!#REF!</f>
        <v>#REF!</v>
      </c>
      <c r="Y33" s="26" t="e">
        <f>Europe!#REF!+'Asia-Pacific'!#REF!+'Rest of world'!#REF!+'North America'!#REF!+'Latin America'!#REF!</f>
        <v>#REF!</v>
      </c>
      <c r="Z33" s="26">
        <f>Europe!P33+'Asia-Pacific'!P33+'Rest of world'!P33+'North America'!P33+'Latin America'!P33</f>
        <v>0</v>
      </c>
      <c r="AA33" s="23">
        <f t="shared" si="69"/>
        <v>0</v>
      </c>
      <c r="AB33" s="112" t="e">
        <f>'North America'!#REF!+Europe!#REF!+'Asia-Pacific'!#REF!+'Rest of world'!#REF!</f>
        <v>#REF!</v>
      </c>
      <c r="AC33" s="26" t="e">
        <f>Europe!#REF!+'Asia-Pacific'!#REF!+'Rest of world'!#REF!+'North America'!#REF!+'Latin America'!#REF!</f>
        <v>#REF!</v>
      </c>
      <c r="AD33" s="26">
        <f>Europe!T33+'Asia-Pacific'!T33+'Rest of world'!T33+'North America'!T33+'Latin America'!T33</f>
        <v>14</v>
      </c>
      <c r="AE33" s="23">
        <f t="shared" si="70"/>
        <v>0</v>
      </c>
      <c r="AF33" s="112">
        <f>'North America'!V33+Europe!V33+'Asia-Pacific'!V33+'Rest of world'!V33</f>
        <v>0</v>
      </c>
      <c r="AG33" s="26">
        <f>Europe!W33+'Asia-Pacific'!W33+'Rest of world'!W33+'North America'!W33+'Latin America'!W33</f>
        <v>0</v>
      </c>
      <c r="AH33" s="26">
        <f>Europe!X33+'Asia-Pacific'!X33+'Rest of world'!X33+'North America'!X33+'Latin America'!X33</f>
        <v>14</v>
      </c>
      <c r="AI33" s="23">
        <f t="shared" si="71"/>
        <v>0</v>
      </c>
      <c r="AJ33" s="112" t="e">
        <f>'North America'!Z33+Europe!Z33+'Asia-Pacific'!Z33+'Rest of world'!#REF!</f>
        <v>#REF!</v>
      </c>
      <c r="AK33" s="26">
        <f>Europe!AA33+'Asia-Pacific'!AA33+'Rest of world'!AA33+'North America'!AA33+'Latin America'!AA33</f>
        <v>0</v>
      </c>
      <c r="AL33" s="26">
        <f>Europe!AB33+'Asia-Pacific'!AB33+'Rest of world'!AB33+'North America'!AB33+'Latin America'!AB33</f>
        <v>14</v>
      </c>
      <c r="AM33" s="23">
        <f t="shared" si="72"/>
        <v>0</v>
      </c>
      <c r="AN33" s="112" t="e">
        <f>'North America'!#REF!+Europe!#REF!+'Asia-Pacific'!#REF!+'Rest of world'!#REF!</f>
        <v>#REF!</v>
      </c>
      <c r="AO33" s="26" t="e">
        <f>Europe!#REF!+'Asia-Pacific'!#REF!+'Rest of world'!#REF!+'North America'!#REF!+'Latin America'!#REF!</f>
        <v>#REF!</v>
      </c>
      <c r="AP33" s="26">
        <f>Europe!AF33+'Asia-Pacific'!AF33+'Rest of world'!AF33+'North America'!AF33+'Latin America'!AF33</f>
        <v>14</v>
      </c>
      <c r="AQ33" s="23">
        <f t="shared" si="73"/>
        <v>0</v>
      </c>
      <c r="AR33" s="112" t="e">
        <f>'North America'!#REF!+Europe!#REF!+'Asia-Pacific'!#REF!+'Rest of world'!#REF!</f>
        <v>#REF!</v>
      </c>
      <c r="AS33" s="26" t="e">
        <f>Europe!#REF!+'Asia-Pacific'!#REF!+'Rest of world'!#REF!+'North America'!#REF!+'Latin America'!#REF!</f>
        <v>#REF!</v>
      </c>
      <c r="AT33" s="26">
        <f>Europe!AJ33+'Asia-Pacific'!AJ33+'Rest of world'!AJ33+'North America'!AJ33+'Latin America'!AJ33</f>
        <v>14</v>
      </c>
      <c r="AU33" s="23">
        <f t="shared" si="74"/>
        <v>0</v>
      </c>
      <c r="AV33" s="112" t="e">
        <f>'North America'!#REF!+Europe!#REF!+'Asia-Pacific'!#REF!+'Rest of world'!#REF!</f>
        <v>#REF!</v>
      </c>
      <c r="AW33" s="26" t="e">
        <f>Europe!#REF!+'Asia-Pacific'!#REF!+'Rest of world'!#REF!+'North America'!#REF!+'Latin America'!#REF!</f>
        <v>#REF!</v>
      </c>
      <c r="AX33" s="26">
        <f>Europe!AN33+'Asia-Pacific'!AN33+'Rest of world'!AN33+'North America'!AN33+'Latin America'!AN33</f>
        <v>14</v>
      </c>
      <c r="AY33" s="23">
        <f t="shared" si="75"/>
        <v>0</v>
      </c>
      <c r="AZ33" s="112" t="e">
        <f>'North America'!#REF!+Europe!#REF!+'Asia-Pacific'!#REF!+'Rest of world'!#REF!</f>
        <v>#REF!</v>
      </c>
      <c r="BA33" s="26" t="e">
        <f>Europe!#REF!+'Asia-Pacific'!#REF!+'Rest of world'!#REF!+'North America'!#REF!+'Latin America'!#REF!</f>
        <v>#REF!</v>
      </c>
      <c r="BB33" s="26">
        <f>Europe!AR33+'Asia-Pacific'!AR33+'Rest of world'!AR33+'North America'!AR33+'Latin America'!AR33</f>
        <v>8</v>
      </c>
      <c r="BC33" s="23">
        <f t="shared" si="76"/>
        <v>0</v>
      </c>
      <c r="BD33" s="112" t="e">
        <f>'North America'!#REF!+Europe!#REF!+'Asia-Pacific'!#REF!+'Rest of world'!#REF!</f>
        <v>#REF!</v>
      </c>
      <c r="BE33" s="26" t="e">
        <f>Europe!#REF!+'Asia-Pacific'!#REF!+'Rest of world'!#REF!+'North America'!#REF!+'Latin America'!#REF!</f>
        <v>#REF!</v>
      </c>
      <c r="BF33" s="26">
        <f>Europe!AV33+'Asia-Pacific'!AV33+'Rest of world'!AV33+'North America'!AV33+'Latin America'!AV33</f>
        <v>0</v>
      </c>
      <c r="BG33" s="23">
        <f t="shared" si="77"/>
        <v>0</v>
      </c>
      <c r="BH33" s="112" t="e">
        <f>'North America'!#REF!+Europe!#REF!+'Asia-Pacific'!#REF!+'Rest of world'!#REF!</f>
        <v>#REF!</v>
      </c>
      <c r="BI33" s="26" t="e">
        <f>Europe!#REF!+'Asia-Pacific'!#REF!+'Rest of world'!#REF!+'North America'!#REF!+'Latin America'!#REF!</f>
        <v>#REF!</v>
      </c>
      <c r="BK33" s="240">
        <f t="shared" si="78"/>
        <v>28</v>
      </c>
      <c r="BL33" s="241" t="e">
        <f t="shared" si="79"/>
        <v>#REF!</v>
      </c>
      <c r="BM33" s="240">
        <f t="shared" si="80"/>
        <v>28</v>
      </c>
      <c r="BN33" s="241" t="e">
        <f t="shared" si="81"/>
        <v>#REF!</v>
      </c>
      <c r="BO33" s="240">
        <f t="shared" si="82"/>
        <v>42</v>
      </c>
      <c r="BP33" s="241" t="e">
        <f t="shared" si="83"/>
        <v>#REF!</v>
      </c>
      <c r="BQ33" s="201">
        <f t="shared" si="84"/>
        <v>22</v>
      </c>
      <c r="BR33" s="204" t="e">
        <f t="shared" si="85"/>
        <v>#REF!</v>
      </c>
      <c r="BS33" s="240">
        <f t="shared" si="37"/>
        <v>120</v>
      </c>
      <c r="BT33" s="253" t="e">
        <f t="shared" si="32"/>
        <v>#REF!</v>
      </c>
      <c r="BU33" s="246" t="e">
        <f t="shared" si="86"/>
        <v>#REF!</v>
      </c>
      <c r="BV33" s="201">
        <f t="shared" si="87"/>
        <v>0</v>
      </c>
      <c r="BW33" s="2"/>
      <c r="BX33" s="33">
        <f t="shared" si="33"/>
        <v>120</v>
      </c>
      <c r="BY33" s="113" t="e">
        <f t="shared" si="34"/>
        <v>#REF!</v>
      </c>
      <c r="CA33" s="27">
        <f>+Domestic!B33</f>
        <v>1200</v>
      </c>
      <c r="CB33" s="113" t="e">
        <f>+Domestic!#REF!</f>
        <v>#REF!</v>
      </c>
      <c r="CD33" s="27">
        <f t="shared" si="35"/>
        <v>1320</v>
      </c>
      <c r="CE33" s="113" t="e">
        <f t="shared" si="36"/>
        <v>#REF!</v>
      </c>
      <c r="CZ33" s="201">
        <f>BK33-CV33</f>
        <v>28</v>
      </c>
      <c r="DA33" s="201">
        <f>BM33-CW33</f>
        <v>28</v>
      </c>
      <c r="DB33" s="201">
        <f>BO33-CX33</f>
        <v>42</v>
      </c>
      <c r="DC33" s="201">
        <f>BQ33-CY33</f>
        <v>22</v>
      </c>
      <c r="DJ33" s="210">
        <v>10169.999999999998</v>
      </c>
      <c r="DK33" s="211">
        <v>1219.1694129793509</v>
      </c>
      <c r="DL33" s="200">
        <v>12.398952929999998</v>
      </c>
      <c r="DM33" s="209">
        <v>55.795288185000004</v>
      </c>
      <c r="DN33" s="201">
        <f t="shared" si="88"/>
        <v>-10049.999999999998</v>
      </c>
      <c r="DO33" s="201">
        <f t="shared" si="89"/>
        <v>-1219.1694129793509</v>
      </c>
      <c r="DP33" s="204" t="e">
        <f t="shared" si="90"/>
        <v>#REF!</v>
      </c>
    </row>
    <row r="34" spans="1:122" ht="12.6" customHeight="1">
      <c r="A34" s="35" t="s">
        <v>38</v>
      </c>
      <c r="B34" s="264"/>
      <c r="C34" s="264"/>
      <c r="D34" s="135"/>
      <c r="E34" s="157"/>
      <c r="F34" s="149"/>
      <c r="G34" s="151"/>
      <c r="H34" s="135"/>
      <c r="I34" s="151">
        <f t="shared" si="18"/>
        <v>0</v>
      </c>
      <c r="J34" s="27">
        <f t="shared" si="65"/>
        <v>0</v>
      </c>
      <c r="K34" s="23">
        <f t="shared" si="66"/>
        <v>0</v>
      </c>
      <c r="L34" s="112" t="e">
        <f t="shared" si="67"/>
        <v>#REF!</v>
      </c>
      <c r="M34" s="113" t="e">
        <f t="shared" si="67"/>
        <v>#REF!</v>
      </c>
      <c r="N34" s="26">
        <f>Europe!D34+'Asia-Pacific'!D34+'Rest of world'!D34+'North America'!D34+'Latin America'!D34</f>
        <v>0</v>
      </c>
      <c r="O34" s="23">
        <f t="shared" si="3"/>
        <v>0</v>
      </c>
      <c r="P34" s="112" t="e">
        <f>'North America'!#REF!+Europe!#REF!+'Asia-Pacific'!#REF!+'Rest of world'!#REF!</f>
        <v>#REF!</v>
      </c>
      <c r="Q34" s="26" t="e">
        <f>Europe!#REF!+'Asia-Pacific'!#REF!+'Rest of world'!#REF!+'North America'!#REF!+'Latin America'!#REF!</f>
        <v>#REF!</v>
      </c>
      <c r="R34" s="26">
        <f>Europe!H34+'Asia-Pacific'!H34+'Rest of world'!H34+'North America'!H34+'Latin America'!H34</f>
        <v>0</v>
      </c>
      <c r="S34" s="23">
        <f t="shared" si="4"/>
        <v>0</v>
      </c>
      <c r="T34" s="112" t="e">
        <f>'North America'!#REF!+Europe!#REF!+'Asia-Pacific'!#REF!+'Rest of world'!#REF!</f>
        <v>#REF!</v>
      </c>
      <c r="U34" s="26" t="e">
        <f>Europe!#REF!+'Asia-Pacific'!#REF!+'Rest of world'!#REF!+'North America'!#REF!+'Latin America'!#REF!</f>
        <v>#REF!</v>
      </c>
      <c r="V34" s="26">
        <f>Europe!L34+'Asia-Pacific'!L34+'Rest of world'!L34+'North America'!L34+'Latin America'!L34</f>
        <v>0</v>
      </c>
      <c r="W34" s="23">
        <f t="shared" si="68"/>
        <v>0</v>
      </c>
      <c r="X34" s="112" t="e">
        <f>'North America'!#REF!+Europe!#REF!+'Asia-Pacific'!#REF!+'Rest of world'!#REF!</f>
        <v>#REF!</v>
      </c>
      <c r="Y34" s="26" t="e">
        <f>Europe!#REF!+'Asia-Pacific'!#REF!+'Rest of world'!#REF!+'North America'!#REF!+'Latin America'!#REF!</f>
        <v>#REF!</v>
      </c>
      <c r="Z34" s="26">
        <f>Europe!P34+'Asia-Pacific'!P34+'Rest of world'!P34+'North America'!P34+'Latin America'!P34</f>
        <v>0</v>
      </c>
      <c r="AA34" s="23">
        <f t="shared" si="69"/>
        <v>0</v>
      </c>
      <c r="AB34" s="112" t="e">
        <f>'North America'!#REF!+Europe!#REF!+'Asia-Pacific'!#REF!+'Rest of world'!#REF!</f>
        <v>#REF!</v>
      </c>
      <c r="AC34" s="26" t="e">
        <f>Europe!#REF!+'Asia-Pacific'!#REF!+'Rest of world'!#REF!+'North America'!#REF!+'Latin America'!#REF!</f>
        <v>#REF!</v>
      </c>
      <c r="AD34" s="26">
        <f>Europe!T34+'Asia-Pacific'!T34+'Rest of world'!T34+'North America'!T34+'Latin America'!T34</f>
        <v>0</v>
      </c>
      <c r="AE34" s="23">
        <f t="shared" si="70"/>
        <v>0</v>
      </c>
      <c r="AF34" s="112">
        <f>'North America'!V34+Europe!V34+'Asia-Pacific'!V34+'Rest of world'!V34</f>
        <v>0</v>
      </c>
      <c r="AG34" s="26">
        <f>Europe!W34+'Asia-Pacific'!W34+'Rest of world'!W34+'North America'!W34+'Latin America'!W34</f>
        <v>0</v>
      </c>
      <c r="AH34" s="26">
        <f>Europe!X34+'Asia-Pacific'!X34+'Rest of world'!X34+'North America'!X34+'Latin America'!X34</f>
        <v>0</v>
      </c>
      <c r="AI34" s="23">
        <f t="shared" si="71"/>
        <v>0</v>
      </c>
      <c r="AJ34" s="112" t="e">
        <f>'North America'!Z34+Europe!Z34+'Asia-Pacific'!Z34+'Rest of world'!#REF!</f>
        <v>#REF!</v>
      </c>
      <c r="AK34" s="26">
        <f>Europe!AA34+'Asia-Pacific'!AA34+'Rest of world'!AA34+'North America'!AA34+'Latin America'!AA34</f>
        <v>0</v>
      </c>
      <c r="AL34" s="26">
        <f>Europe!AB34+'Asia-Pacific'!AB34+'Rest of world'!AB34+'North America'!AB34+'Latin America'!AB34</f>
        <v>0</v>
      </c>
      <c r="AM34" s="23">
        <f t="shared" si="72"/>
        <v>0</v>
      </c>
      <c r="AN34" s="112" t="e">
        <f>'North America'!#REF!+Europe!#REF!+'Asia-Pacific'!#REF!+'Rest of world'!#REF!</f>
        <v>#REF!</v>
      </c>
      <c r="AO34" s="26" t="e">
        <f>Europe!#REF!+'Asia-Pacific'!#REF!+'Rest of world'!#REF!+'North America'!#REF!+'Latin America'!#REF!</f>
        <v>#REF!</v>
      </c>
      <c r="AP34" s="26">
        <f>Europe!AF34+'Asia-Pacific'!AF34+'Rest of world'!AF34+'North America'!AF34+'Latin America'!AF34</f>
        <v>0</v>
      </c>
      <c r="AQ34" s="23">
        <f t="shared" si="73"/>
        <v>0</v>
      </c>
      <c r="AR34" s="112" t="e">
        <f>'North America'!#REF!+Europe!#REF!+'Asia-Pacific'!#REF!+'Rest of world'!#REF!</f>
        <v>#REF!</v>
      </c>
      <c r="AS34" s="26" t="e">
        <f>Europe!#REF!+'Asia-Pacific'!#REF!+'Rest of world'!#REF!+'North America'!#REF!+'Latin America'!#REF!</f>
        <v>#REF!</v>
      </c>
      <c r="AT34" s="26">
        <f>Europe!AJ34+'Asia-Pacific'!AJ34+'Rest of world'!AJ34+'North America'!AJ34+'Latin America'!AJ34</f>
        <v>0</v>
      </c>
      <c r="AU34" s="23">
        <f t="shared" si="74"/>
        <v>0</v>
      </c>
      <c r="AV34" s="112" t="e">
        <f>'North America'!#REF!+Europe!#REF!+'Asia-Pacific'!#REF!+'Rest of world'!#REF!</f>
        <v>#REF!</v>
      </c>
      <c r="AW34" s="26" t="e">
        <f>Europe!#REF!+'Asia-Pacific'!#REF!+'Rest of world'!#REF!+'North America'!#REF!+'Latin America'!#REF!</f>
        <v>#REF!</v>
      </c>
      <c r="AX34" s="26">
        <f>Europe!AN34+'Asia-Pacific'!AN34+'Rest of world'!AN34+'North America'!AN34+'Latin America'!AN34</f>
        <v>0</v>
      </c>
      <c r="AY34" s="23">
        <f t="shared" si="75"/>
        <v>0</v>
      </c>
      <c r="AZ34" s="112" t="e">
        <f>'North America'!#REF!+Europe!#REF!+'Asia-Pacific'!#REF!+'Rest of world'!#REF!</f>
        <v>#REF!</v>
      </c>
      <c r="BA34" s="26" t="e">
        <f>Europe!#REF!+'Asia-Pacific'!#REF!+'Rest of world'!#REF!+'North America'!#REF!+'Latin America'!#REF!</f>
        <v>#REF!</v>
      </c>
      <c r="BB34" s="26">
        <f>Europe!AR34+'Asia-Pacific'!AR34+'Rest of world'!AR34+'North America'!AR34+'Latin America'!AR34</f>
        <v>0</v>
      </c>
      <c r="BC34" s="23">
        <f t="shared" si="76"/>
        <v>0</v>
      </c>
      <c r="BD34" s="112" t="e">
        <f>'North America'!#REF!+Europe!#REF!+'Asia-Pacific'!#REF!+'Rest of world'!#REF!</f>
        <v>#REF!</v>
      </c>
      <c r="BE34" s="26" t="e">
        <f>Europe!#REF!+'Asia-Pacific'!#REF!+'Rest of world'!#REF!+'North America'!#REF!+'Latin America'!#REF!</f>
        <v>#REF!</v>
      </c>
      <c r="BF34" s="26">
        <f>Europe!AV34+'Asia-Pacific'!AV34+'Rest of world'!AV34+'North America'!AV34+'Latin America'!AV34</f>
        <v>0</v>
      </c>
      <c r="BG34" s="23">
        <f t="shared" si="77"/>
        <v>0</v>
      </c>
      <c r="BH34" s="112" t="e">
        <f>'North America'!#REF!+Europe!#REF!+'Asia-Pacific'!#REF!+'Rest of world'!#REF!</f>
        <v>#REF!</v>
      </c>
      <c r="BI34" s="26" t="e">
        <f>Europe!#REF!+'Asia-Pacific'!#REF!+'Rest of world'!#REF!+'North America'!#REF!+'Latin America'!#REF!</f>
        <v>#REF!</v>
      </c>
      <c r="BK34" s="240">
        <f t="shared" si="78"/>
        <v>0</v>
      </c>
      <c r="BL34" s="241" t="e">
        <f t="shared" si="79"/>
        <v>#REF!</v>
      </c>
      <c r="BM34" s="240">
        <f t="shared" si="80"/>
        <v>0</v>
      </c>
      <c r="BN34" s="241" t="e">
        <f t="shared" si="81"/>
        <v>#REF!</v>
      </c>
      <c r="BO34" s="240">
        <f t="shared" si="82"/>
        <v>0</v>
      </c>
      <c r="BP34" s="241" t="e">
        <f t="shared" si="83"/>
        <v>#REF!</v>
      </c>
      <c r="BQ34" s="201">
        <f t="shared" si="84"/>
        <v>0</v>
      </c>
      <c r="BR34" s="204" t="e">
        <f t="shared" si="85"/>
        <v>#REF!</v>
      </c>
      <c r="BS34" s="240">
        <f t="shared" si="37"/>
        <v>0</v>
      </c>
      <c r="BT34" s="253" t="e">
        <f t="shared" si="32"/>
        <v>#REF!</v>
      </c>
      <c r="BU34" s="246" t="e">
        <f t="shared" si="86"/>
        <v>#REF!</v>
      </c>
      <c r="BV34" s="201">
        <f t="shared" si="87"/>
        <v>0</v>
      </c>
      <c r="BW34" s="2"/>
      <c r="BX34" s="33">
        <f t="shared" si="33"/>
        <v>0</v>
      </c>
      <c r="BY34" s="113" t="e">
        <f t="shared" si="34"/>
        <v>#REF!</v>
      </c>
      <c r="CA34" s="27">
        <f>+Domestic!B34</f>
        <v>0</v>
      </c>
      <c r="CB34" s="113" t="e">
        <f>+Domestic!#REF!</f>
        <v>#REF!</v>
      </c>
      <c r="CD34" s="27">
        <f t="shared" si="35"/>
        <v>0</v>
      </c>
      <c r="CE34" s="113" t="e">
        <f t="shared" si="36"/>
        <v>#REF!</v>
      </c>
      <c r="DB34" s="204"/>
      <c r="DJ34" s="210">
        <v>0</v>
      </c>
      <c r="DK34" s="211">
        <v>0</v>
      </c>
      <c r="DL34" s="200">
        <v>0</v>
      </c>
      <c r="DM34" s="209">
        <v>0</v>
      </c>
      <c r="DN34" s="201">
        <f t="shared" si="88"/>
        <v>0</v>
      </c>
      <c r="DO34" s="201">
        <f t="shared" si="89"/>
        <v>0</v>
      </c>
      <c r="DP34" s="204" t="e">
        <f t="shared" si="90"/>
        <v>#REF!</v>
      </c>
    </row>
    <row r="35" spans="1:122" ht="12.6" customHeight="1">
      <c r="A35" s="35" t="s">
        <v>39</v>
      </c>
      <c r="B35" s="264"/>
      <c r="C35" s="264"/>
      <c r="D35" s="135"/>
      <c r="E35" s="157"/>
      <c r="F35" s="149"/>
      <c r="G35" s="151"/>
      <c r="H35" s="135"/>
      <c r="I35" s="151">
        <f t="shared" si="18"/>
        <v>0</v>
      </c>
      <c r="J35" s="27">
        <f t="shared" si="65"/>
        <v>380</v>
      </c>
      <c r="K35" s="23">
        <f t="shared" si="66"/>
        <v>0</v>
      </c>
      <c r="L35" s="112" t="e">
        <f t="shared" si="67"/>
        <v>#REF!</v>
      </c>
      <c r="M35" s="113" t="e">
        <f t="shared" si="67"/>
        <v>#REF!</v>
      </c>
      <c r="N35" s="26">
        <f>Europe!D35+'Asia-Pacific'!D35+'Rest of world'!D35+'North America'!D35+'Latin America'!D35</f>
        <v>0</v>
      </c>
      <c r="O35" s="23">
        <f t="shared" si="3"/>
        <v>0</v>
      </c>
      <c r="P35" s="112" t="e">
        <f>'North America'!#REF!+Europe!#REF!+'Asia-Pacific'!#REF!+'Rest of world'!#REF!</f>
        <v>#REF!</v>
      </c>
      <c r="Q35" s="26" t="e">
        <f>Europe!#REF!+'Asia-Pacific'!#REF!+'Rest of world'!#REF!+'North America'!#REF!+'Latin America'!#REF!</f>
        <v>#REF!</v>
      </c>
      <c r="R35" s="26">
        <f>Europe!H35+'Asia-Pacific'!H35+'Rest of world'!H35+'North America'!H35+'Latin America'!H35</f>
        <v>98</v>
      </c>
      <c r="S35" s="23">
        <f t="shared" si="4"/>
        <v>0</v>
      </c>
      <c r="T35" s="112" t="e">
        <f>'North America'!#REF!+Europe!#REF!+'Asia-Pacific'!#REF!+'Rest of world'!#REF!</f>
        <v>#REF!</v>
      </c>
      <c r="U35" s="26" t="e">
        <f>Europe!#REF!+'Asia-Pacific'!#REF!+'Rest of world'!#REF!+'North America'!#REF!+'Latin America'!#REF!</f>
        <v>#REF!</v>
      </c>
      <c r="V35" s="26">
        <f>Europe!L35+'Asia-Pacific'!L35+'Rest of world'!L35+'North America'!L35+'Latin America'!L35</f>
        <v>98</v>
      </c>
      <c r="W35" s="23">
        <f t="shared" si="68"/>
        <v>0</v>
      </c>
      <c r="X35" s="112" t="e">
        <f>'North America'!#REF!+Europe!#REF!+'Asia-Pacific'!#REF!+'Rest of world'!#REF!</f>
        <v>#REF!</v>
      </c>
      <c r="Y35" s="26" t="e">
        <f>Europe!#REF!+'Asia-Pacific'!#REF!+'Rest of world'!#REF!+'North America'!#REF!+'Latin America'!#REF!</f>
        <v>#REF!</v>
      </c>
      <c r="Z35" s="26">
        <f>Europe!P35+'Asia-Pacific'!P35+'Rest of world'!P35+'North America'!P35+'Latin America'!P35</f>
        <v>24</v>
      </c>
      <c r="AA35" s="23">
        <f t="shared" si="69"/>
        <v>0</v>
      </c>
      <c r="AB35" s="112" t="e">
        <f>'North America'!#REF!+Europe!#REF!+'Asia-Pacific'!#REF!+'Rest of world'!#REF!</f>
        <v>#REF!</v>
      </c>
      <c r="AC35" s="26" t="e">
        <f>Europe!#REF!+'Asia-Pacific'!#REF!+'Rest of world'!#REF!+'North America'!#REF!+'Latin America'!#REF!</f>
        <v>#REF!</v>
      </c>
      <c r="AD35" s="26">
        <f>Europe!T35+'Asia-Pacific'!T35+'Rest of world'!T35+'North America'!T35+'Latin America'!T35</f>
        <v>24</v>
      </c>
      <c r="AE35" s="23">
        <f t="shared" si="70"/>
        <v>0</v>
      </c>
      <c r="AF35" s="112">
        <f>'North America'!V35+Europe!V35+'Asia-Pacific'!V35+'Rest of world'!V35</f>
        <v>0</v>
      </c>
      <c r="AG35" s="26">
        <f>Europe!W35+'Asia-Pacific'!W35+'Rest of world'!W35+'North America'!W35+'Latin America'!W35</f>
        <v>0</v>
      </c>
      <c r="AH35" s="26">
        <f>Europe!X35+'Asia-Pacific'!X35+'Rest of world'!X35+'North America'!X35+'Latin America'!X35</f>
        <v>0</v>
      </c>
      <c r="AI35" s="23">
        <f t="shared" si="71"/>
        <v>0</v>
      </c>
      <c r="AJ35" s="112" t="e">
        <f>'North America'!Z35+Europe!Z35+'Asia-Pacific'!Z35+'Rest of world'!#REF!</f>
        <v>#REF!</v>
      </c>
      <c r="AK35" s="26">
        <f>Europe!AA35+'Asia-Pacific'!AA35+'Rest of world'!AA35+'North America'!AA35+'Latin America'!AA35</f>
        <v>0</v>
      </c>
      <c r="AL35" s="26">
        <f>Europe!AB35+'Asia-Pacific'!AB35+'Rest of world'!AB35+'North America'!AB35+'Latin America'!AB35</f>
        <v>24</v>
      </c>
      <c r="AM35" s="23">
        <f t="shared" si="72"/>
        <v>0</v>
      </c>
      <c r="AN35" s="112" t="e">
        <f>'North America'!#REF!+Europe!#REF!+'Asia-Pacific'!#REF!+'Rest of world'!#REF!</f>
        <v>#REF!</v>
      </c>
      <c r="AO35" s="26" t="e">
        <f>Europe!#REF!+'Asia-Pacific'!#REF!+'Rest of world'!#REF!+'North America'!#REF!+'Latin America'!#REF!</f>
        <v>#REF!</v>
      </c>
      <c r="AP35" s="26">
        <f>Europe!AF35+'Asia-Pacific'!AF35+'Rest of world'!AF35+'North America'!AF35+'Latin America'!AF35</f>
        <v>24</v>
      </c>
      <c r="AQ35" s="23">
        <f t="shared" si="73"/>
        <v>0</v>
      </c>
      <c r="AR35" s="112" t="e">
        <f>'North America'!#REF!+Europe!#REF!+'Asia-Pacific'!#REF!+'Rest of world'!#REF!</f>
        <v>#REF!</v>
      </c>
      <c r="AS35" s="26" t="e">
        <f>Europe!#REF!+'Asia-Pacific'!#REF!+'Rest of world'!#REF!+'North America'!#REF!+'Latin America'!#REF!</f>
        <v>#REF!</v>
      </c>
      <c r="AT35" s="26">
        <f>Europe!AJ35+'Asia-Pacific'!AJ35+'Rest of world'!AJ35+'North America'!AJ35+'Latin America'!AJ35</f>
        <v>24</v>
      </c>
      <c r="AU35" s="23">
        <f t="shared" si="74"/>
        <v>0</v>
      </c>
      <c r="AV35" s="112" t="e">
        <f>'North America'!#REF!+Europe!#REF!+'Asia-Pacific'!#REF!+'Rest of world'!#REF!</f>
        <v>#REF!</v>
      </c>
      <c r="AW35" s="26" t="e">
        <f>Europe!#REF!+'Asia-Pacific'!#REF!+'Rest of world'!#REF!+'North America'!#REF!+'Latin America'!#REF!</f>
        <v>#REF!</v>
      </c>
      <c r="AX35" s="26">
        <f>Europe!AN35+'Asia-Pacific'!AN35+'Rest of world'!AN35+'North America'!AN35+'Latin America'!AN35</f>
        <v>24</v>
      </c>
      <c r="AY35" s="23">
        <f t="shared" si="75"/>
        <v>0</v>
      </c>
      <c r="AZ35" s="112" t="e">
        <f>'North America'!#REF!+Europe!#REF!+'Asia-Pacific'!#REF!+'Rest of world'!#REF!</f>
        <v>#REF!</v>
      </c>
      <c r="BA35" s="26" t="e">
        <f>Europe!#REF!+'Asia-Pacific'!#REF!+'Rest of world'!#REF!+'North America'!#REF!+'Latin America'!#REF!</f>
        <v>#REF!</v>
      </c>
      <c r="BB35" s="26">
        <f>Europe!AR35+'Asia-Pacific'!AR35+'Rest of world'!AR35+'North America'!AR35+'Latin America'!AR35</f>
        <v>24</v>
      </c>
      <c r="BC35" s="23">
        <f t="shared" si="76"/>
        <v>0</v>
      </c>
      <c r="BD35" s="112" t="e">
        <f>'North America'!#REF!+Europe!#REF!+'Asia-Pacific'!#REF!+'Rest of world'!#REF!</f>
        <v>#REF!</v>
      </c>
      <c r="BE35" s="26" t="e">
        <f>Europe!#REF!+'Asia-Pacific'!#REF!+'Rest of world'!#REF!+'North America'!#REF!+'Latin America'!#REF!</f>
        <v>#REF!</v>
      </c>
      <c r="BF35" s="26">
        <f>Europe!AV35+'Asia-Pacific'!AV35+'Rest of world'!AV35+'North America'!AV35+'Latin America'!AV35</f>
        <v>16</v>
      </c>
      <c r="BG35" s="23">
        <f t="shared" si="77"/>
        <v>0</v>
      </c>
      <c r="BH35" s="112" t="e">
        <f>'North America'!#REF!+Europe!#REF!+'Asia-Pacific'!#REF!+'Rest of world'!#REF!</f>
        <v>#REF!</v>
      </c>
      <c r="BI35" s="26" t="e">
        <f>Europe!#REF!+'Asia-Pacific'!#REF!+'Rest of world'!#REF!+'North America'!#REF!+'Latin America'!#REF!</f>
        <v>#REF!</v>
      </c>
      <c r="BK35" s="240">
        <f t="shared" si="78"/>
        <v>196</v>
      </c>
      <c r="BL35" s="241" t="e">
        <f t="shared" si="79"/>
        <v>#REF!</v>
      </c>
      <c r="BM35" s="240">
        <f t="shared" si="80"/>
        <v>48</v>
      </c>
      <c r="BN35" s="241" t="e">
        <f t="shared" si="81"/>
        <v>#REF!</v>
      </c>
      <c r="BO35" s="240">
        <f t="shared" si="82"/>
        <v>72</v>
      </c>
      <c r="BP35" s="241" t="e">
        <f t="shared" si="83"/>
        <v>#REF!</v>
      </c>
      <c r="BQ35" s="201">
        <f t="shared" si="84"/>
        <v>64</v>
      </c>
      <c r="BR35" s="204" t="e">
        <f t="shared" si="85"/>
        <v>#REF!</v>
      </c>
      <c r="BS35" s="240">
        <f t="shared" si="37"/>
        <v>380</v>
      </c>
      <c r="BT35" s="253" t="e">
        <f t="shared" si="32"/>
        <v>#REF!</v>
      </c>
      <c r="BU35" s="246" t="e">
        <f t="shared" si="86"/>
        <v>#REF!</v>
      </c>
      <c r="BV35" s="201">
        <f t="shared" si="87"/>
        <v>0</v>
      </c>
      <c r="BW35" s="2"/>
      <c r="BX35" s="33">
        <f t="shared" si="33"/>
        <v>380</v>
      </c>
      <c r="BY35" s="113" t="e">
        <f t="shared" si="34"/>
        <v>#REF!</v>
      </c>
      <c r="CA35" s="27">
        <f>+Domestic!B35</f>
        <v>780</v>
      </c>
      <c r="CB35" s="113" t="e">
        <f>+Domestic!#REF!</f>
        <v>#REF!</v>
      </c>
      <c r="CD35" s="27">
        <f t="shared" si="35"/>
        <v>1160</v>
      </c>
      <c r="CE35" s="113" t="e">
        <f t="shared" si="36"/>
        <v>#REF!</v>
      </c>
      <c r="DJ35" s="210">
        <v>2950.3333333333335</v>
      </c>
      <c r="DK35" s="211">
        <v>1532.8736865890858</v>
      </c>
      <c r="DL35" s="200">
        <v>4.5224883333333334</v>
      </c>
      <c r="DM35" s="209">
        <v>20.351197500000001</v>
      </c>
      <c r="DN35" s="201">
        <f t="shared" si="88"/>
        <v>-2570.3333333333335</v>
      </c>
      <c r="DO35" s="201">
        <f t="shared" si="89"/>
        <v>-1532.8736865890858</v>
      </c>
      <c r="DP35" s="204" t="e">
        <f t="shared" si="90"/>
        <v>#REF!</v>
      </c>
    </row>
    <row r="36" spans="1:122" ht="12.6" customHeight="1">
      <c r="A36" s="35" t="s">
        <v>11</v>
      </c>
      <c r="B36" s="264"/>
      <c r="C36" s="264"/>
      <c r="D36" s="135"/>
      <c r="E36" s="157"/>
      <c r="F36" s="149"/>
      <c r="G36" s="151"/>
      <c r="H36" s="135"/>
      <c r="I36" s="151">
        <f t="shared" si="18"/>
        <v>0</v>
      </c>
      <c r="J36" s="27">
        <f t="shared" si="65"/>
        <v>0</v>
      </c>
      <c r="K36" s="23">
        <f t="shared" si="66"/>
        <v>0</v>
      </c>
      <c r="L36" s="112" t="e">
        <f t="shared" si="67"/>
        <v>#REF!</v>
      </c>
      <c r="M36" s="113" t="e">
        <f t="shared" si="67"/>
        <v>#REF!</v>
      </c>
      <c r="N36" s="26">
        <f>Europe!D36+'Asia-Pacific'!D36+'Rest of world'!D36+'North America'!D36+'Latin America'!D36</f>
        <v>0</v>
      </c>
      <c r="O36" s="23">
        <f t="shared" si="3"/>
        <v>0</v>
      </c>
      <c r="P36" s="112" t="e">
        <f>'North America'!#REF!+Europe!#REF!+'Asia-Pacific'!#REF!+'Rest of world'!#REF!</f>
        <v>#REF!</v>
      </c>
      <c r="Q36" s="26" t="e">
        <f>Europe!#REF!+'Asia-Pacific'!#REF!+'Rest of world'!#REF!+'North America'!#REF!+'Latin America'!#REF!</f>
        <v>#REF!</v>
      </c>
      <c r="R36" s="26">
        <f>Europe!H36+'Asia-Pacific'!H36+'Rest of world'!H36+'North America'!H36+'Latin America'!H36</f>
        <v>0</v>
      </c>
      <c r="S36" s="23">
        <f t="shared" si="4"/>
        <v>0</v>
      </c>
      <c r="T36" s="112" t="e">
        <f>'North America'!#REF!+Europe!#REF!+'Asia-Pacific'!#REF!+'Rest of world'!#REF!</f>
        <v>#REF!</v>
      </c>
      <c r="U36" s="26" t="e">
        <f>Europe!#REF!+'Asia-Pacific'!#REF!+'Rest of world'!#REF!+'North America'!#REF!+'Latin America'!#REF!</f>
        <v>#REF!</v>
      </c>
      <c r="V36" s="26">
        <f>Europe!L36+'Asia-Pacific'!L36+'Rest of world'!L36+'North America'!L36+'Latin America'!L36</f>
        <v>0</v>
      </c>
      <c r="W36" s="23">
        <f t="shared" si="68"/>
        <v>0</v>
      </c>
      <c r="X36" s="112" t="e">
        <f>'North America'!#REF!+Europe!#REF!+'Asia-Pacific'!#REF!+'Rest of world'!#REF!</f>
        <v>#REF!</v>
      </c>
      <c r="Y36" s="26" t="e">
        <f>Europe!#REF!+'Asia-Pacific'!#REF!+'Rest of world'!#REF!+'North America'!#REF!+'Latin America'!#REF!</f>
        <v>#REF!</v>
      </c>
      <c r="Z36" s="26">
        <f>Europe!P36+'Asia-Pacific'!P36+'Rest of world'!P36+'North America'!P36+'Latin America'!P36</f>
        <v>0</v>
      </c>
      <c r="AA36" s="23">
        <f t="shared" si="69"/>
        <v>0</v>
      </c>
      <c r="AB36" s="112" t="e">
        <f>'North America'!#REF!+Europe!#REF!+'Asia-Pacific'!#REF!+'Rest of world'!#REF!</f>
        <v>#REF!</v>
      </c>
      <c r="AC36" s="26" t="e">
        <f>Europe!#REF!+'Asia-Pacific'!#REF!+'Rest of world'!#REF!+'North America'!#REF!+'Latin America'!#REF!</f>
        <v>#REF!</v>
      </c>
      <c r="AD36" s="26">
        <f>Europe!T36+'Asia-Pacific'!T36+'Rest of world'!T36+'North America'!T36+'Latin America'!T36</f>
        <v>0</v>
      </c>
      <c r="AE36" s="23">
        <f t="shared" si="70"/>
        <v>0</v>
      </c>
      <c r="AF36" s="112">
        <f>'North America'!V36+Europe!V36+'Asia-Pacific'!V36+'Rest of world'!V36</f>
        <v>0</v>
      </c>
      <c r="AG36" s="26">
        <f>Europe!W36+'Asia-Pacific'!W36+'Rest of world'!W36+'North America'!W36+'Latin America'!W36</f>
        <v>0</v>
      </c>
      <c r="AH36" s="26">
        <f>Europe!X36+'Asia-Pacific'!X36+'Rest of world'!X36+'North America'!X36+'Latin America'!X36</f>
        <v>0</v>
      </c>
      <c r="AI36" s="23">
        <f t="shared" si="71"/>
        <v>0</v>
      </c>
      <c r="AJ36" s="112" t="e">
        <f>'North America'!Z36+Europe!Z36+'Asia-Pacific'!Z36+'Rest of world'!#REF!</f>
        <v>#REF!</v>
      </c>
      <c r="AK36" s="26">
        <f>Europe!AA36+'Asia-Pacific'!AA36+'Rest of world'!AA36+'North America'!AA36+'Latin America'!AA36</f>
        <v>0</v>
      </c>
      <c r="AL36" s="26">
        <f>Europe!AB36+'Asia-Pacific'!AB36+'Rest of world'!AB36+'North America'!AB36+'Latin America'!AB36</f>
        <v>0</v>
      </c>
      <c r="AM36" s="23">
        <f t="shared" si="72"/>
        <v>0</v>
      </c>
      <c r="AN36" s="112" t="e">
        <f>'North America'!#REF!+Europe!#REF!+'Asia-Pacific'!#REF!+'Rest of world'!#REF!</f>
        <v>#REF!</v>
      </c>
      <c r="AO36" s="26" t="e">
        <f>Europe!#REF!+'Asia-Pacific'!#REF!+'Rest of world'!#REF!+'North America'!#REF!+'Latin America'!#REF!</f>
        <v>#REF!</v>
      </c>
      <c r="AP36" s="26">
        <f>Europe!AF36+'Asia-Pacific'!AF36+'Rest of world'!AF36+'North America'!AF36+'Latin America'!AF36</f>
        <v>0</v>
      </c>
      <c r="AQ36" s="23">
        <f t="shared" si="73"/>
        <v>0</v>
      </c>
      <c r="AR36" s="112" t="e">
        <f>'North America'!#REF!+Europe!#REF!+'Asia-Pacific'!#REF!+'Rest of world'!#REF!</f>
        <v>#REF!</v>
      </c>
      <c r="AS36" s="26" t="e">
        <f>Europe!#REF!+'Asia-Pacific'!#REF!+'Rest of world'!#REF!+'North America'!#REF!+'Latin America'!#REF!</f>
        <v>#REF!</v>
      </c>
      <c r="AT36" s="26">
        <f>Europe!AJ36+'Asia-Pacific'!AJ36+'Rest of world'!AJ36+'North America'!AJ36+'Latin America'!AJ36</f>
        <v>0</v>
      </c>
      <c r="AU36" s="23">
        <f t="shared" si="74"/>
        <v>0</v>
      </c>
      <c r="AV36" s="112" t="e">
        <f>'North America'!#REF!+Europe!#REF!+'Asia-Pacific'!#REF!+'Rest of world'!#REF!</f>
        <v>#REF!</v>
      </c>
      <c r="AW36" s="26" t="e">
        <f>Europe!#REF!+'Asia-Pacific'!#REF!+'Rest of world'!#REF!+'North America'!#REF!+'Latin America'!#REF!</f>
        <v>#REF!</v>
      </c>
      <c r="AX36" s="26">
        <f>Europe!AN36+'Asia-Pacific'!AN36+'Rest of world'!AN36+'North America'!AN36+'Latin America'!AN36</f>
        <v>0</v>
      </c>
      <c r="AY36" s="23">
        <f t="shared" si="75"/>
        <v>0</v>
      </c>
      <c r="AZ36" s="112" t="e">
        <f>'North America'!#REF!+Europe!#REF!+'Asia-Pacific'!#REF!+'Rest of world'!#REF!</f>
        <v>#REF!</v>
      </c>
      <c r="BA36" s="26" t="e">
        <f>Europe!#REF!+'Asia-Pacific'!#REF!+'Rest of world'!#REF!+'North America'!#REF!+'Latin America'!#REF!</f>
        <v>#REF!</v>
      </c>
      <c r="BB36" s="26">
        <f>Europe!AR36+'Asia-Pacific'!AR36+'Rest of world'!AR36+'North America'!AR36+'Latin America'!AR36</f>
        <v>0</v>
      </c>
      <c r="BC36" s="23">
        <f t="shared" si="76"/>
        <v>0</v>
      </c>
      <c r="BD36" s="112" t="e">
        <f>'North America'!#REF!+Europe!#REF!+'Asia-Pacific'!#REF!+'Rest of world'!#REF!</f>
        <v>#REF!</v>
      </c>
      <c r="BE36" s="26" t="e">
        <f>Europe!#REF!+'Asia-Pacific'!#REF!+'Rest of world'!#REF!+'North America'!#REF!+'Latin America'!#REF!</f>
        <v>#REF!</v>
      </c>
      <c r="BF36" s="26">
        <f>Europe!AV36+'Asia-Pacific'!AV36+'Rest of world'!AV36+'North America'!AV36+'Latin America'!AV36</f>
        <v>0</v>
      </c>
      <c r="BG36" s="23">
        <f t="shared" si="77"/>
        <v>0</v>
      </c>
      <c r="BH36" s="112" t="e">
        <f>'North America'!#REF!+Europe!#REF!+'Asia-Pacific'!#REF!+'Rest of world'!#REF!</f>
        <v>#REF!</v>
      </c>
      <c r="BI36" s="26" t="e">
        <f>Europe!#REF!+'Asia-Pacific'!#REF!+'Rest of world'!#REF!+'North America'!#REF!+'Latin America'!#REF!</f>
        <v>#REF!</v>
      </c>
      <c r="BK36" s="240">
        <f t="shared" si="78"/>
        <v>0</v>
      </c>
      <c r="BL36" s="241" t="e">
        <f t="shared" si="79"/>
        <v>#REF!</v>
      </c>
      <c r="BM36" s="240">
        <f t="shared" si="80"/>
        <v>0</v>
      </c>
      <c r="BN36" s="241" t="e">
        <f t="shared" si="81"/>
        <v>#REF!</v>
      </c>
      <c r="BO36" s="240">
        <f t="shared" si="82"/>
        <v>0</v>
      </c>
      <c r="BP36" s="241" t="e">
        <f t="shared" si="83"/>
        <v>#REF!</v>
      </c>
      <c r="BQ36" s="201">
        <f t="shared" si="84"/>
        <v>0</v>
      </c>
      <c r="BR36" s="204" t="e">
        <f t="shared" si="85"/>
        <v>#REF!</v>
      </c>
      <c r="BS36" s="240">
        <f t="shared" si="37"/>
        <v>0</v>
      </c>
      <c r="BT36" s="253" t="e">
        <f t="shared" si="32"/>
        <v>#REF!</v>
      </c>
      <c r="BU36" s="246" t="e">
        <f t="shared" si="86"/>
        <v>#REF!</v>
      </c>
      <c r="BV36" s="201">
        <f t="shared" si="87"/>
        <v>0</v>
      </c>
      <c r="BW36" s="2"/>
      <c r="BX36" s="33">
        <f t="shared" si="33"/>
        <v>0</v>
      </c>
      <c r="BY36" s="113" t="e">
        <f t="shared" si="34"/>
        <v>#REF!</v>
      </c>
      <c r="CA36" s="27">
        <f>+Domestic!B36</f>
        <v>3600</v>
      </c>
      <c r="CB36" s="113" t="e">
        <f>+Domestic!#REF!</f>
        <v>#REF!</v>
      </c>
      <c r="CD36" s="27">
        <f t="shared" si="35"/>
        <v>3600</v>
      </c>
      <c r="CE36" s="113" t="e">
        <f t="shared" si="36"/>
        <v>#REF!</v>
      </c>
      <c r="CZ36" s="201">
        <f>BK36-CV36</f>
        <v>0</v>
      </c>
      <c r="DA36" s="201">
        <f>BM36-CW36</f>
        <v>0</v>
      </c>
      <c r="DB36" s="201">
        <f>BO36-CX36</f>
        <v>0</v>
      </c>
      <c r="DC36" s="201">
        <f>BQ36-CY36</f>
        <v>0</v>
      </c>
      <c r="DD36" s="201">
        <f>BS36-CZ36</f>
        <v>0</v>
      </c>
      <c r="DJ36" s="210">
        <v>5825</v>
      </c>
      <c r="DK36" s="211">
        <v>1450.579399141631</v>
      </c>
      <c r="DL36" s="200">
        <v>8.4496250000000011</v>
      </c>
      <c r="DM36" s="209">
        <v>38.023312499999996</v>
      </c>
      <c r="DN36" s="201">
        <f t="shared" si="88"/>
        <v>-5825</v>
      </c>
      <c r="DO36" s="201">
        <f t="shared" si="89"/>
        <v>-1450.579399141631</v>
      </c>
      <c r="DP36" s="204" t="e">
        <f t="shared" si="90"/>
        <v>#REF!</v>
      </c>
    </row>
    <row r="37" spans="1:122" ht="12.6" customHeight="1">
      <c r="A37" s="35" t="s">
        <v>87</v>
      </c>
      <c r="B37" s="264"/>
      <c r="C37" s="264"/>
      <c r="D37" s="135"/>
      <c r="E37" s="157"/>
      <c r="F37" s="149"/>
      <c r="G37" s="151"/>
      <c r="H37" s="135"/>
      <c r="I37" s="151">
        <f t="shared" si="18"/>
        <v>0</v>
      </c>
      <c r="J37" s="27">
        <f t="shared" si="65"/>
        <v>0</v>
      </c>
      <c r="K37" s="23">
        <f t="shared" si="66"/>
        <v>0</v>
      </c>
      <c r="L37" s="112" t="e">
        <f t="shared" si="67"/>
        <v>#REF!</v>
      </c>
      <c r="M37" s="113" t="e">
        <f t="shared" si="67"/>
        <v>#REF!</v>
      </c>
      <c r="N37" s="26">
        <f>Europe!D37+'Asia-Pacific'!D37+'Rest of world'!D37+'North America'!D37+'Latin America'!D37</f>
        <v>0</v>
      </c>
      <c r="O37" s="23">
        <f t="shared" si="3"/>
        <v>0</v>
      </c>
      <c r="P37" s="112" t="e">
        <f>'North America'!#REF!+Europe!#REF!+'Asia-Pacific'!#REF!+'Rest of world'!#REF!</f>
        <v>#REF!</v>
      </c>
      <c r="Q37" s="26" t="e">
        <f>Europe!#REF!+'Asia-Pacific'!#REF!+'Rest of world'!#REF!+'North America'!#REF!+'Latin America'!#REF!</f>
        <v>#REF!</v>
      </c>
      <c r="R37" s="26">
        <f>Europe!H37+'Asia-Pacific'!H37+'Rest of world'!H37+'North America'!H37+'Latin America'!H37</f>
        <v>0</v>
      </c>
      <c r="S37" s="23">
        <f t="shared" si="4"/>
        <v>0</v>
      </c>
      <c r="T37" s="112" t="e">
        <f>'North America'!#REF!+Europe!#REF!+'Asia-Pacific'!#REF!+'Rest of world'!#REF!</f>
        <v>#REF!</v>
      </c>
      <c r="U37" s="26" t="e">
        <f>Europe!#REF!+'Asia-Pacific'!#REF!+'Rest of world'!#REF!+'North America'!#REF!+'Latin America'!#REF!</f>
        <v>#REF!</v>
      </c>
      <c r="V37" s="26">
        <f>Europe!L37+'Asia-Pacific'!L37+'Rest of world'!L37+'North America'!L37+'Latin America'!L37</f>
        <v>0</v>
      </c>
      <c r="W37" s="23">
        <f t="shared" si="68"/>
        <v>0</v>
      </c>
      <c r="X37" s="112" t="e">
        <f>'North America'!#REF!+Europe!#REF!+'Asia-Pacific'!#REF!+'Rest of world'!#REF!</f>
        <v>#REF!</v>
      </c>
      <c r="Y37" s="26" t="e">
        <f>Europe!#REF!+'Asia-Pacific'!#REF!+'Rest of world'!#REF!+'North America'!#REF!+'Latin America'!#REF!</f>
        <v>#REF!</v>
      </c>
      <c r="Z37" s="26">
        <f>Europe!P37+'Asia-Pacific'!P37+'Rest of world'!P37+'North America'!P37+'Latin America'!P37</f>
        <v>0</v>
      </c>
      <c r="AA37" s="23">
        <f t="shared" si="69"/>
        <v>0</v>
      </c>
      <c r="AB37" s="112" t="e">
        <f>'North America'!#REF!+Europe!#REF!+'Asia-Pacific'!#REF!+'Rest of world'!#REF!</f>
        <v>#REF!</v>
      </c>
      <c r="AC37" s="26" t="e">
        <f>Europe!#REF!+'Asia-Pacific'!#REF!+'Rest of world'!#REF!+'North America'!#REF!+'Latin America'!#REF!</f>
        <v>#REF!</v>
      </c>
      <c r="AD37" s="26">
        <f>Europe!T37+'Asia-Pacific'!T37+'Rest of world'!T37+'North America'!T37+'Latin America'!T37</f>
        <v>0</v>
      </c>
      <c r="AE37" s="23">
        <f t="shared" si="70"/>
        <v>0</v>
      </c>
      <c r="AF37" s="112">
        <f>'North America'!V37+Europe!V37+'Asia-Pacific'!V37+'Rest of world'!V37</f>
        <v>0</v>
      </c>
      <c r="AG37" s="26">
        <f>Europe!W37+'Asia-Pacific'!W37+'Rest of world'!W37+'North America'!W37+'Latin America'!W37</f>
        <v>0</v>
      </c>
      <c r="AH37" s="26">
        <f>Europe!X37+'Asia-Pacific'!X37+'Rest of world'!X37+'North America'!X37+'Latin America'!X37</f>
        <v>0</v>
      </c>
      <c r="AI37" s="23">
        <f t="shared" si="71"/>
        <v>0</v>
      </c>
      <c r="AJ37" s="112" t="e">
        <f>'North America'!Z37+Europe!Z37+'Asia-Pacific'!Z37+'Rest of world'!#REF!</f>
        <v>#REF!</v>
      </c>
      <c r="AK37" s="26">
        <f>Europe!AA37+'Asia-Pacific'!AA37+'Rest of world'!AA37+'North America'!AA37+'Latin America'!AA37</f>
        <v>0</v>
      </c>
      <c r="AL37" s="26">
        <f>Europe!AB37+'Asia-Pacific'!AB37+'Rest of world'!AB37+'North America'!AB37+'Latin America'!AB37</f>
        <v>0</v>
      </c>
      <c r="AM37" s="23">
        <f t="shared" si="72"/>
        <v>0</v>
      </c>
      <c r="AN37" s="112" t="e">
        <f>'North America'!#REF!+Europe!#REF!+'Asia-Pacific'!#REF!+'Rest of world'!#REF!</f>
        <v>#REF!</v>
      </c>
      <c r="AO37" s="26" t="e">
        <f>Europe!#REF!+'Asia-Pacific'!#REF!+'Rest of world'!#REF!+'North America'!#REF!+'Latin America'!#REF!</f>
        <v>#REF!</v>
      </c>
      <c r="AP37" s="26">
        <f>Europe!AF37+'Asia-Pacific'!AF37+'Rest of world'!AF37+'North America'!AF37+'Latin America'!AF37</f>
        <v>0</v>
      </c>
      <c r="AQ37" s="23">
        <f t="shared" si="73"/>
        <v>0</v>
      </c>
      <c r="AR37" s="112" t="e">
        <f>'North America'!#REF!+Europe!#REF!+'Asia-Pacific'!#REF!+'Rest of world'!#REF!</f>
        <v>#REF!</v>
      </c>
      <c r="AS37" s="26" t="e">
        <f>Europe!#REF!+'Asia-Pacific'!#REF!+'Rest of world'!#REF!+'North America'!#REF!+'Latin America'!#REF!</f>
        <v>#REF!</v>
      </c>
      <c r="AT37" s="26">
        <f>Europe!AJ37+'Asia-Pacific'!AJ37+'Rest of world'!AJ37+'North America'!AJ37+'Latin America'!AJ37</f>
        <v>0</v>
      </c>
      <c r="AU37" s="23">
        <f t="shared" si="74"/>
        <v>0</v>
      </c>
      <c r="AV37" s="112" t="e">
        <f>'North America'!#REF!+Europe!#REF!+'Asia-Pacific'!#REF!+'Rest of world'!#REF!</f>
        <v>#REF!</v>
      </c>
      <c r="AW37" s="26" t="e">
        <f>Europe!#REF!+'Asia-Pacific'!#REF!+'Rest of world'!#REF!+'North America'!#REF!+'Latin America'!#REF!</f>
        <v>#REF!</v>
      </c>
      <c r="AX37" s="26">
        <f>Europe!AN37+'Asia-Pacific'!AN37+'Rest of world'!AN37+'North America'!AN37+'Latin America'!AN37</f>
        <v>0</v>
      </c>
      <c r="AY37" s="23">
        <f t="shared" si="75"/>
        <v>0</v>
      </c>
      <c r="AZ37" s="112" t="e">
        <f>'North America'!#REF!+Europe!#REF!+'Asia-Pacific'!#REF!+'Rest of world'!#REF!</f>
        <v>#REF!</v>
      </c>
      <c r="BA37" s="26" t="e">
        <f>Europe!#REF!+'Asia-Pacific'!#REF!+'Rest of world'!#REF!+'North America'!#REF!+'Latin America'!#REF!</f>
        <v>#REF!</v>
      </c>
      <c r="BB37" s="26">
        <f>Europe!AR37+'Asia-Pacific'!AR37+'Rest of world'!AR37+'North America'!AR37+'Latin America'!AR37</f>
        <v>0</v>
      </c>
      <c r="BC37" s="23">
        <f t="shared" si="76"/>
        <v>0</v>
      </c>
      <c r="BD37" s="112" t="e">
        <f>'North America'!#REF!+Europe!#REF!+'Asia-Pacific'!#REF!+'Rest of world'!#REF!</f>
        <v>#REF!</v>
      </c>
      <c r="BE37" s="26" t="e">
        <f>Europe!#REF!+'Asia-Pacific'!#REF!+'Rest of world'!#REF!+'North America'!#REF!+'Latin America'!#REF!</f>
        <v>#REF!</v>
      </c>
      <c r="BF37" s="26">
        <f>Europe!AV37+'Asia-Pacific'!AV37+'Rest of world'!AV37+'North America'!AV37+'Latin America'!AV37</f>
        <v>0</v>
      </c>
      <c r="BG37" s="23">
        <f t="shared" si="77"/>
        <v>0</v>
      </c>
      <c r="BH37" s="112" t="e">
        <f>'North America'!#REF!+Europe!#REF!+'Asia-Pacific'!#REF!+'Rest of world'!#REF!</f>
        <v>#REF!</v>
      </c>
      <c r="BI37" s="26" t="e">
        <f>Europe!#REF!+'Asia-Pacific'!#REF!+'Rest of world'!#REF!+'North America'!#REF!+'Latin America'!#REF!</f>
        <v>#REF!</v>
      </c>
      <c r="BK37" s="240">
        <f t="shared" si="78"/>
        <v>0</v>
      </c>
      <c r="BL37" s="241" t="e">
        <f t="shared" si="79"/>
        <v>#REF!</v>
      </c>
      <c r="BM37" s="240">
        <f t="shared" si="80"/>
        <v>0</v>
      </c>
      <c r="BN37" s="241" t="e">
        <f t="shared" si="81"/>
        <v>#REF!</v>
      </c>
      <c r="BO37" s="240">
        <f t="shared" si="82"/>
        <v>0</v>
      </c>
      <c r="BP37" s="241" t="e">
        <f t="shared" si="83"/>
        <v>#REF!</v>
      </c>
      <c r="BQ37" s="201">
        <f t="shared" si="84"/>
        <v>0</v>
      </c>
      <c r="BR37" s="204" t="e">
        <f t="shared" si="85"/>
        <v>#REF!</v>
      </c>
      <c r="BS37" s="240">
        <f t="shared" si="37"/>
        <v>0</v>
      </c>
      <c r="BT37" s="253" t="e">
        <f t="shared" si="32"/>
        <v>#REF!</v>
      </c>
      <c r="BU37" s="246" t="e">
        <f t="shared" si="86"/>
        <v>#REF!</v>
      </c>
      <c r="BV37" s="201">
        <f t="shared" si="87"/>
        <v>0</v>
      </c>
      <c r="BW37" s="2"/>
      <c r="BX37" s="33">
        <f t="shared" si="33"/>
        <v>0</v>
      </c>
      <c r="BY37" s="113" t="e">
        <f t="shared" si="34"/>
        <v>#REF!</v>
      </c>
      <c r="CA37" s="27">
        <f>+Domestic!B37</f>
        <v>1914</v>
      </c>
      <c r="CB37" s="113" t="e">
        <f>+Domestic!#REF!</f>
        <v>#REF!</v>
      </c>
      <c r="CD37" s="27">
        <f t="shared" si="35"/>
        <v>1914</v>
      </c>
      <c r="CE37" s="113" t="e">
        <f t="shared" si="36"/>
        <v>#REF!</v>
      </c>
      <c r="CV37" s="203"/>
      <c r="CW37" s="203"/>
      <c r="CX37" s="203"/>
      <c r="CY37" s="203"/>
      <c r="CZ37" s="201">
        <f>BK37-CV37</f>
        <v>0</v>
      </c>
      <c r="DA37" s="201">
        <f>BM37-CW37</f>
        <v>0</v>
      </c>
      <c r="DB37" s="201">
        <f>BO37-CX37</f>
        <v>0</v>
      </c>
      <c r="DC37" s="201">
        <f>BQ37-CY37</f>
        <v>0</v>
      </c>
      <c r="DD37" s="201">
        <f>BS37-CZ37</f>
        <v>0</v>
      </c>
      <c r="DJ37" s="214">
        <v>0</v>
      </c>
      <c r="DK37" s="212">
        <v>0</v>
      </c>
      <c r="DL37" s="215">
        <v>0</v>
      </c>
      <c r="DM37" s="213">
        <v>0</v>
      </c>
      <c r="DN37" s="201">
        <f t="shared" si="88"/>
        <v>0</v>
      </c>
      <c r="DO37" s="201">
        <f t="shared" si="89"/>
        <v>0</v>
      </c>
      <c r="DP37" s="204" t="e">
        <f t="shared" si="90"/>
        <v>#REF!</v>
      </c>
    </row>
    <row r="38" spans="1:122" ht="12.6" customHeight="1">
      <c r="A38" s="35" t="s">
        <v>86</v>
      </c>
      <c r="B38" s="264"/>
      <c r="C38" s="264"/>
      <c r="D38" s="135"/>
      <c r="E38" s="157"/>
      <c r="F38" s="149"/>
      <c r="G38" s="151"/>
      <c r="H38" s="135"/>
      <c r="I38" s="151">
        <f t="shared" si="18"/>
        <v>0</v>
      </c>
      <c r="J38" s="27">
        <f>N38+R38+V38+Z38+AD38+AH38+AL38+AP38+AT38+AX38+BB38+BF38</f>
        <v>1920</v>
      </c>
      <c r="K38" s="23">
        <f>IF(ISERROR(L38/J38*1000000),0,(L38/J38*1000000))</f>
        <v>0</v>
      </c>
      <c r="L38" s="112" t="e">
        <f>P38+T38+X38+AB38+AF38+AJ38+AN38+AR38+AV38+AZ38+BD38+BH38</f>
        <v>#REF!</v>
      </c>
      <c r="M38" s="113" t="e">
        <f>Q38+U38+Y38+AC38+AG38+AK38+AO38+AS38+AW38+BA38+BE38+BI38</f>
        <v>#REF!</v>
      </c>
      <c r="N38" s="26">
        <f>Europe!D38+'Asia-Pacific'!D38+'Rest of world'!D38+'North America'!D38+'Latin America'!D38</f>
        <v>0</v>
      </c>
      <c r="O38" s="23">
        <f>IF(ISERROR(P38/N38*1000000),0,(P38/N38*1000000))</f>
        <v>0</v>
      </c>
      <c r="P38" s="112" t="e">
        <f>'North America'!#REF!+Europe!#REF!+'Asia-Pacific'!#REF!+'Rest of world'!#REF!</f>
        <v>#REF!</v>
      </c>
      <c r="Q38" s="26" t="e">
        <f>Europe!#REF!+'Asia-Pacific'!#REF!+'Rest of world'!#REF!+'North America'!#REF!+'Latin America'!#REF!</f>
        <v>#REF!</v>
      </c>
      <c r="R38" s="26">
        <f>Europe!H38+'Asia-Pacific'!H38+'Rest of world'!H38+'North America'!H38+'Latin America'!H38</f>
        <v>140</v>
      </c>
      <c r="S38" s="23">
        <f>IF(ISERROR(T38/R38*1000000),0,(T38/R38*1000000))</f>
        <v>0</v>
      </c>
      <c r="T38" s="112" t="e">
        <f>'North America'!#REF!+Europe!#REF!+'Asia-Pacific'!#REF!+'Rest of world'!#REF!</f>
        <v>#REF!</v>
      </c>
      <c r="U38" s="26" t="e">
        <f>Europe!#REF!+'Asia-Pacific'!#REF!+'Rest of world'!#REF!+'North America'!#REF!+'Latin America'!#REF!</f>
        <v>#REF!</v>
      </c>
      <c r="V38" s="26">
        <f>Europe!L38+'Asia-Pacific'!L38+'Rest of world'!L38+'North America'!L38+'Latin America'!L38</f>
        <v>230</v>
      </c>
      <c r="W38" s="23">
        <f t="shared" si="68"/>
        <v>0</v>
      </c>
      <c r="X38" s="112" t="e">
        <f>'North America'!#REF!+Europe!#REF!+'Asia-Pacific'!#REF!+'Rest of world'!#REF!</f>
        <v>#REF!</v>
      </c>
      <c r="Y38" s="26" t="e">
        <f>Europe!#REF!+'Asia-Pacific'!#REF!+'Rest of world'!#REF!+'North America'!#REF!+'Latin America'!#REF!</f>
        <v>#REF!</v>
      </c>
      <c r="Z38" s="26">
        <f>Europe!P38+'Asia-Pacific'!P38+'Rest of world'!P38+'North America'!P38+'Latin America'!P38</f>
        <v>160</v>
      </c>
      <c r="AA38" s="23">
        <f t="shared" si="69"/>
        <v>0</v>
      </c>
      <c r="AB38" s="112" t="e">
        <f>'North America'!#REF!+Europe!#REF!+'Asia-Pacific'!#REF!+'Rest of world'!#REF!</f>
        <v>#REF!</v>
      </c>
      <c r="AC38" s="26" t="e">
        <f>Europe!#REF!+'Asia-Pacific'!#REF!+'Rest of world'!#REF!+'North America'!#REF!+'Latin America'!#REF!</f>
        <v>#REF!</v>
      </c>
      <c r="AD38" s="26">
        <f>Europe!T38+'Asia-Pacific'!T38+'Rest of world'!T38+'North America'!T38+'Latin America'!T38</f>
        <v>230</v>
      </c>
      <c r="AE38" s="23">
        <f t="shared" si="70"/>
        <v>0</v>
      </c>
      <c r="AF38" s="112">
        <f>'North America'!V38+Europe!V38+'Asia-Pacific'!V38+'Rest of world'!V38</f>
        <v>0</v>
      </c>
      <c r="AG38" s="26">
        <f>Europe!W38+'Asia-Pacific'!W38+'Rest of world'!W38+'North America'!W38+'Latin America'!W38</f>
        <v>0</v>
      </c>
      <c r="AH38" s="26">
        <f>Europe!X38+'Asia-Pacific'!X38+'Rest of world'!X38+'North America'!X38+'Latin America'!X38</f>
        <v>160</v>
      </c>
      <c r="AI38" s="23">
        <f t="shared" si="71"/>
        <v>0</v>
      </c>
      <c r="AJ38" s="112" t="e">
        <f>'North America'!Z38+Europe!Z38+'Asia-Pacific'!Z38+'Rest of world'!#REF!</f>
        <v>#REF!</v>
      </c>
      <c r="AK38" s="26">
        <f>Europe!AA38+'Asia-Pacific'!AA38+'Rest of world'!AA38+'North America'!AA38+'Latin America'!AA38</f>
        <v>8.6241870000000012E-2</v>
      </c>
      <c r="AL38" s="26">
        <f>Europe!AB38+'Asia-Pacific'!AB38+'Rest of world'!AB38+'North America'!AB38+'Latin America'!AB38</f>
        <v>180</v>
      </c>
      <c r="AM38" s="23">
        <f t="shared" si="72"/>
        <v>0</v>
      </c>
      <c r="AN38" s="112" t="e">
        <f>'North America'!#REF!+Europe!#REF!+'Asia-Pacific'!#REF!+'Rest of world'!#REF!</f>
        <v>#REF!</v>
      </c>
      <c r="AO38" s="26" t="e">
        <f>Europe!#REF!+'Asia-Pacific'!#REF!+'Rest of world'!#REF!+'North America'!#REF!+'Latin America'!#REF!</f>
        <v>#REF!</v>
      </c>
      <c r="AP38" s="26">
        <f>Europe!AF38+'Asia-Pacific'!AF38+'Rest of world'!AF38+'North America'!AF38+'Latin America'!AF38</f>
        <v>160</v>
      </c>
      <c r="AQ38" s="23">
        <f t="shared" si="73"/>
        <v>0</v>
      </c>
      <c r="AR38" s="112" t="e">
        <f>'North America'!#REF!+Europe!#REF!+'Asia-Pacific'!#REF!+'Rest of world'!#REF!</f>
        <v>#REF!</v>
      </c>
      <c r="AS38" s="26" t="e">
        <f>Europe!#REF!+'Asia-Pacific'!#REF!+'Rest of world'!#REF!+'North America'!#REF!+'Latin America'!#REF!</f>
        <v>#REF!</v>
      </c>
      <c r="AT38" s="26">
        <f>Europe!AJ38+'Asia-Pacific'!AJ38+'Rest of world'!AJ38+'North America'!AJ38+'Latin America'!AJ38</f>
        <v>180</v>
      </c>
      <c r="AU38" s="23">
        <f t="shared" si="74"/>
        <v>0</v>
      </c>
      <c r="AV38" s="112" t="e">
        <f>'North America'!#REF!+Europe!#REF!+'Asia-Pacific'!#REF!+'Rest of world'!#REF!</f>
        <v>#REF!</v>
      </c>
      <c r="AW38" s="26" t="e">
        <f>Europe!#REF!+'Asia-Pacific'!#REF!+'Rest of world'!#REF!+'North America'!#REF!+'Latin America'!#REF!</f>
        <v>#REF!</v>
      </c>
      <c r="AX38" s="26">
        <f>Europe!AN38+'Asia-Pacific'!AN38+'Rest of world'!AN38+'North America'!AN38+'Latin America'!AN38</f>
        <v>160</v>
      </c>
      <c r="AY38" s="23">
        <f t="shared" si="75"/>
        <v>0</v>
      </c>
      <c r="AZ38" s="112" t="e">
        <f>'North America'!#REF!+Europe!#REF!+'Asia-Pacific'!#REF!+'Rest of world'!#REF!</f>
        <v>#REF!</v>
      </c>
      <c r="BA38" s="26" t="e">
        <f>Europe!#REF!+'Asia-Pacific'!#REF!+'Rest of world'!#REF!+'North America'!#REF!+'Latin America'!#REF!</f>
        <v>#REF!</v>
      </c>
      <c r="BB38" s="26">
        <f>Europe!AR38+'Asia-Pacific'!AR38+'Rest of world'!AR38+'North America'!AR38+'Latin America'!AR38</f>
        <v>180</v>
      </c>
      <c r="BC38" s="23">
        <f t="shared" si="76"/>
        <v>0</v>
      </c>
      <c r="BD38" s="112" t="e">
        <f>'North America'!#REF!+Europe!#REF!+'Asia-Pacific'!#REF!+'Rest of world'!#REF!</f>
        <v>#REF!</v>
      </c>
      <c r="BE38" s="26" t="e">
        <f>Europe!#REF!+'Asia-Pacific'!#REF!+'Rest of world'!#REF!+'North America'!#REF!+'Latin America'!#REF!</f>
        <v>#REF!</v>
      </c>
      <c r="BF38" s="26">
        <f>Europe!AV38+'Asia-Pacific'!AV38+'Rest of world'!AV38+'North America'!AV38+'Latin America'!AV38</f>
        <v>140</v>
      </c>
      <c r="BG38" s="23">
        <f t="shared" si="77"/>
        <v>0</v>
      </c>
      <c r="BH38" s="112" t="e">
        <f>'North America'!#REF!+Europe!#REF!+'Asia-Pacific'!#REF!+'Rest of world'!#REF!</f>
        <v>#REF!</v>
      </c>
      <c r="BI38" s="26" t="e">
        <f>Europe!#REF!+'Asia-Pacific'!#REF!+'Rest of world'!#REF!+'North America'!#REF!+'Latin America'!#REF!</f>
        <v>#REF!</v>
      </c>
      <c r="BK38" s="240">
        <f t="shared" si="78"/>
        <v>370</v>
      </c>
      <c r="BL38" s="241" t="e">
        <f t="shared" si="79"/>
        <v>#REF!</v>
      </c>
      <c r="BM38" s="240">
        <f t="shared" si="80"/>
        <v>550</v>
      </c>
      <c r="BN38" s="241" t="e">
        <f t="shared" si="81"/>
        <v>#REF!</v>
      </c>
      <c r="BO38" s="240">
        <f t="shared" si="82"/>
        <v>520</v>
      </c>
      <c r="BP38" s="241" t="e">
        <f t="shared" si="83"/>
        <v>#REF!</v>
      </c>
      <c r="BQ38" s="201">
        <f t="shared" si="84"/>
        <v>480</v>
      </c>
      <c r="BR38" s="204" t="e">
        <f t="shared" si="85"/>
        <v>#REF!</v>
      </c>
      <c r="BS38" s="240">
        <f t="shared" si="37"/>
        <v>1920</v>
      </c>
      <c r="BT38" s="253" t="e">
        <f t="shared" si="32"/>
        <v>#REF!</v>
      </c>
      <c r="BU38" s="246" t="e">
        <f t="shared" si="86"/>
        <v>#REF!</v>
      </c>
      <c r="BV38" s="201">
        <f t="shared" si="87"/>
        <v>0</v>
      </c>
      <c r="BW38" s="2"/>
      <c r="BX38" s="33">
        <f t="shared" si="33"/>
        <v>1920</v>
      </c>
      <c r="BY38" s="113" t="e">
        <f t="shared" si="34"/>
        <v>#REF!</v>
      </c>
      <c r="BZ38" s="201"/>
      <c r="CA38" s="27">
        <f>+Domestic!B38</f>
        <v>5233</v>
      </c>
      <c r="CB38" s="113" t="e">
        <f>+Domestic!#REF!</f>
        <v>#REF!</v>
      </c>
      <c r="CC38" s="203"/>
      <c r="CD38" s="27">
        <f t="shared" si="35"/>
        <v>7153</v>
      </c>
      <c r="CE38" s="113" t="e">
        <f t="shared" si="36"/>
        <v>#REF!</v>
      </c>
      <c r="CF38" s="203"/>
      <c r="CG38" s="203"/>
      <c r="CH38" s="203"/>
      <c r="CZ38" s="201">
        <f>BK38-CV38</f>
        <v>370</v>
      </c>
      <c r="DA38" s="201">
        <f>BM38-CW38</f>
        <v>550</v>
      </c>
      <c r="DB38" s="201">
        <f>BO38-CX38</f>
        <v>520</v>
      </c>
      <c r="DC38" s="201">
        <f>BQ38-CY38</f>
        <v>480</v>
      </c>
      <c r="DD38" s="201">
        <f>BS38-CZ38</f>
        <v>1550</v>
      </c>
      <c r="DJ38" s="214">
        <v>7261</v>
      </c>
      <c r="DK38" s="212"/>
      <c r="DL38" s="215"/>
      <c r="DM38" s="213">
        <v>34.519833000000013</v>
      </c>
      <c r="DN38" s="201">
        <f t="shared" si="88"/>
        <v>-5341</v>
      </c>
      <c r="DO38" s="201">
        <f t="shared" si="89"/>
        <v>0</v>
      </c>
      <c r="DP38" s="204" t="e">
        <f t="shared" si="90"/>
        <v>#REF!</v>
      </c>
      <c r="DQ38">
        <v>1056</v>
      </c>
      <c r="DR38" s="204">
        <f>1056*45*DJ38/10^7</f>
        <v>34.504272</v>
      </c>
    </row>
    <row r="39" spans="1:122" ht="12.6" customHeight="1">
      <c r="A39" s="35" t="s">
        <v>107</v>
      </c>
      <c r="B39" s="264"/>
      <c r="C39" s="264"/>
      <c r="D39" s="135"/>
      <c r="E39" s="157"/>
      <c r="F39" s="149"/>
      <c r="G39" s="151"/>
      <c r="H39" s="135"/>
      <c r="I39" s="151">
        <f t="shared" si="18"/>
        <v>0</v>
      </c>
      <c r="J39" s="27">
        <f>N39+R39+V39+Z39+AD39+AH39+AL39+AP39+AT39+AX39+BB39+BF39</f>
        <v>0</v>
      </c>
      <c r="K39" s="23">
        <f>IF(ISERROR(L39/J39*1000000),0,(L39/J39*1000000))</f>
        <v>0</v>
      </c>
      <c r="L39" s="112" t="e">
        <f>P39+T39+X39+AB39+AF39+AJ39+AN39+AR39+AV39+AZ39+BD39+BH39</f>
        <v>#REF!</v>
      </c>
      <c r="M39" s="113" t="e">
        <f>Q39+U39+Y39+AC39+AG39+AK39+AO39+AS39+AW39+BA39+BE39+BI39</f>
        <v>#REF!</v>
      </c>
      <c r="N39" s="26">
        <f>Europe!D39+'Asia-Pacific'!D39+'Rest of world'!D39+'North America'!D39+'Latin America'!D39</f>
        <v>0</v>
      </c>
      <c r="O39" s="23">
        <f>IF(ISERROR(P39/N39*1000000),0,(P39/N39*1000000))</f>
        <v>0</v>
      </c>
      <c r="P39" s="112" t="e">
        <f>'North America'!#REF!+Europe!#REF!+'Asia-Pacific'!#REF!+'Rest of world'!#REF!</f>
        <v>#REF!</v>
      </c>
      <c r="Q39" s="26" t="e">
        <f>Europe!#REF!+'Asia-Pacific'!#REF!+'Rest of world'!#REF!+'North America'!#REF!+'Latin America'!#REF!</f>
        <v>#REF!</v>
      </c>
      <c r="R39" s="26">
        <f>Europe!H39+'Asia-Pacific'!H39+'Rest of world'!H39+'North America'!H39+'Latin America'!H39</f>
        <v>0</v>
      </c>
      <c r="S39" s="23">
        <f>IF(ISERROR(T39/R39*1000000),0,(T39/R39*1000000))</f>
        <v>0</v>
      </c>
      <c r="T39" s="112" t="e">
        <f>'North America'!#REF!+Europe!#REF!+'Asia-Pacific'!#REF!+'Rest of world'!#REF!</f>
        <v>#REF!</v>
      </c>
      <c r="U39" s="26" t="e">
        <f>Europe!#REF!+'Asia-Pacific'!#REF!+'Rest of world'!#REF!+'North America'!#REF!+'Latin America'!#REF!</f>
        <v>#REF!</v>
      </c>
      <c r="V39" s="26">
        <f>Europe!L39+'Asia-Pacific'!L39+'Rest of world'!L39+'North America'!L39+'Latin America'!L39</f>
        <v>0</v>
      </c>
      <c r="W39" s="23">
        <f>IF(ISERROR(X39/V39*1000000),0,(X39/V39*1000000))</f>
        <v>0</v>
      </c>
      <c r="X39" s="112" t="e">
        <f>'North America'!#REF!+Europe!#REF!+'Asia-Pacific'!#REF!+'Rest of world'!#REF!</f>
        <v>#REF!</v>
      </c>
      <c r="Y39" s="26" t="e">
        <f>Europe!#REF!+'Asia-Pacific'!#REF!+'Rest of world'!#REF!+'North America'!#REF!+'Latin America'!#REF!</f>
        <v>#REF!</v>
      </c>
      <c r="Z39" s="26">
        <f>Europe!P39+'Asia-Pacific'!P39+'Rest of world'!P39+'North America'!P39+'Latin America'!P39</f>
        <v>0</v>
      </c>
      <c r="AA39" s="23">
        <f>IF(ISERROR(AB39/Z39*1000000),0,(AB39/Z39*1000000))</f>
        <v>0</v>
      </c>
      <c r="AB39" s="112" t="e">
        <f>'North America'!#REF!+Europe!#REF!+'Asia-Pacific'!#REF!+'Rest of world'!#REF!</f>
        <v>#REF!</v>
      </c>
      <c r="AC39" s="26" t="e">
        <f>Europe!#REF!+'Asia-Pacific'!#REF!+'Rest of world'!#REF!+'North America'!#REF!+'Latin America'!#REF!</f>
        <v>#REF!</v>
      </c>
      <c r="AD39" s="26">
        <f>Europe!T39+'Asia-Pacific'!T39+'Rest of world'!T39+'North America'!T39+'Latin America'!T39</f>
        <v>0</v>
      </c>
      <c r="AE39" s="23">
        <f>IF(ISERROR(AF39/AD39*1000000),0,(AF39/AD39*1000000))</f>
        <v>0</v>
      </c>
      <c r="AF39" s="112">
        <f>'North America'!V39+Europe!V39+'Asia-Pacific'!V39+'Rest of world'!V39</f>
        <v>0</v>
      </c>
      <c r="AG39" s="26">
        <f>Europe!W39+'Asia-Pacific'!W39+'Rest of world'!W39+'North America'!W39+'Latin America'!W39</f>
        <v>0</v>
      </c>
      <c r="AH39" s="26">
        <f>Europe!X39+'Asia-Pacific'!X39+'Rest of world'!X39+'North America'!X39+'Latin America'!X39</f>
        <v>0</v>
      </c>
      <c r="AI39" s="23">
        <f>IF(ISERROR(AJ39/AH39*1000000),0,(AJ39/AH39*1000000))</f>
        <v>0</v>
      </c>
      <c r="AJ39" s="112" t="e">
        <f>'North America'!Z39+Europe!Z39+'Asia-Pacific'!Z39+'Rest of world'!#REF!</f>
        <v>#REF!</v>
      </c>
      <c r="AK39" s="26">
        <f>Europe!AA39+'Asia-Pacific'!AA39+'Rest of world'!AA39+'North America'!AA39+'Latin America'!AA39</f>
        <v>0</v>
      </c>
      <c r="AL39" s="26">
        <f>Europe!AB39+'Asia-Pacific'!AB39+'Rest of world'!AB39+'North America'!AB39+'Latin America'!AB39</f>
        <v>0</v>
      </c>
      <c r="AM39" s="23">
        <f>IF(ISERROR(AN39/AL39*1000000),0,(AN39/AL39*1000000))</f>
        <v>0</v>
      </c>
      <c r="AN39" s="112" t="e">
        <f>'North America'!#REF!+Europe!#REF!+'Asia-Pacific'!#REF!+'Rest of world'!#REF!</f>
        <v>#REF!</v>
      </c>
      <c r="AO39" s="26" t="e">
        <f>Europe!#REF!+'Asia-Pacific'!#REF!+'Rest of world'!#REF!+'North America'!#REF!+'Latin America'!#REF!</f>
        <v>#REF!</v>
      </c>
      <c r="AP39" s="26">
        <f>Europe!AF39+'Asia-Pacific'!AF39+'Rest of world'!AF39+'North America'!AF39+'Latin America'!AF39</f>
        <v>0</v>
      </c>
      <c r="AQ39" s="23">
        <f>IF(ISERROR(AR39/AP39*1000000),0,(AR39/AP39*1000000))</f>
        <v>0</v>
      </c>
      <c r="AR39" s="112" t="e">
        <f>'North America'!#REF!+Europe!#REF!+'Asia-Pacific'!#REF!+'Rest of world'!#REF!</f>
        <v>#REF!</v>
      </c>
      <c r="AS39" s="26" t="e">
        <f>Europe!#REF!+'Asia-Pacific'!#REF!+'Rest of world'!#REF!+'North America'!#REF!+'Latin America'!#REF!</f>
        <v>#REF!</v>
      </c>
      <c r="AT39" s="26">
        <f>Europe!AJ39+'Asia-Pacific'!AJ39+'Rest of world'!AJ39+'North America'!AJ39+'Latin America'!AJ39</f>
        <v>0</v>
      </c>
      <c r="AU39" s="23">
        <f>IF(ISERROR(AV39/AT39*1000000),0,(AV39/AT39*1000000))</f>
        <v>0</v>
      </c>
      <c r="AV39" s="112" t="e">
        <f>'North America'!#REF!+Europe!#REF!+'Asia-Pacific'!#REF!+'Rest of world'!#REF!</f>
        <v>#REF!</v>
      </c>
      <c r="AW39" s="26" t="e">
        <f>Europe!#REF!+'Asia-Pacific'!#REF!+'Rest of world'!#REF!+'North America'!#REF!+'Latin America'!#REF!</f>
        <v>#REF!</v>
      </c>
      <c r="AX39" s="26">
        <f>Europe!AN39+'Asia-Pacific'!AN39+'Rest of world'!AN39+'North America'!AN39+'Latin America'!AN39</f>
        <v>0</v>
      </c>
      <c r="AY39" s="23">
        <f>IF(ISERROR(AZ39/AX39*1000000),0,(AZ39/AX39*1000000))</f>
        <v>0</v>
      </c>
      <c r="AZ39" s="112" t="e">
        <f>'North America'!#REF!+Europe!#REF!+'Asia-Pacific'!#REF!+'Rest of world'!#REF!</f>
        <v>#REF!</v>
      </c>
      <c r="BA39" s="26" t="e">
        <f>Europe!#REF!+'Asia-Pacific'!#REF!+'Rest of world'!#REF!+'North America'!#REF!+'Latin America'!#REF!</f>
        <v>#REF!</v>
      </c>
      <c r="BB39" s="26">
        <f>Europe!AR39+'Asia-Pacific'!AR39+'Rest of world'!AR39+'North America'!AR39+'Latin America'!AR39</f>
        <v>0</v>
      </c>
      <c r="BC39" s="23">
        <f>IF(ISERROR(BD39/BB39*1000000),0,(BD39/BB39*1000000))</f>
        <v>0</v>
      </c>
      <c r="BD39" s="112" t="e">
        <f>'North America'!#REF!+Europe!#REF!+'Asia-Pacific'!#REF!+'Rest of world'!#REF!</f>
        <v>#REF!</v>
      </c>
      <c r="BE39" s="26" t="e">
        <f>Europe!#REF!+'Asia-Pacific'!#REF!+'Rest of world'!#REF!+'North America'!#REF!+'Latin America'!#REF!</f>
        <v>#REF!</v>
      </c>
      <c r="BF39" s="26">
        <f>Europe!AV39+'Asia-Pacific'!AV39+'Rest of world'!AV39+'North America'!AV39+'Latin America'!AV39</f>
        <v>0</v>
      </c>
      <c r="BG39" s="23">
        <f>IF(ISERROR(BH39/BF39*1000000),0,(BH39/BF39*1000000))</f>
        <v>0</v>
      </c>
      <c r="BH39" s="112" t="e">
        <f>'North America'!#REF!+Europe!#REF!+'Asia-Pacific'!#REF!+'Rest of world'!#REF!</f>
        <v>#REF!</v>
      </c>
      <c r="BI39" s="26" t="e">
        <f>Europe!#REF!+'Asia-Pacific'!#REF!+'Rest of world'!#REF!+'North America'!#REF!+'Latin America'!#REF!</f>
        <v>#REF!</v>
      </c>
      <c r="BK39" s="240">
        <f>N39+R39+V39</f>
        <v>0</v>
      </c>
      <c r="BL39" s="241" t="e">
        <f>Q39+U39+Y39</f>
        <v>#REF!</v>
      </c>
      <c r="BM39" s="240">
        <f>Z39+AD39+AH39</f>
        <v>0</v>
      </c>
      <c r="BN39" s="241" t="e">
        <f>AC39+AG39+AK39</f>
        <v>#REF!</v>
      </c>
      <c r="BO39" s="240">
        <f>AL39+AP39+AT39</f>
        <v>0</v>
      </c>
      <c r="BP39" s="241" t="e">
        <f>AO39+AS39+AW39</f>
        <v>#REF!</v>
      </c>
      <c r="BQ39" s="201">
        <f>BF39+BB39+AX39</f>
        <v>0</v>
      </c>
      <c r="BR39" s="204" t="e">
        <f>BA39+BE39+BI39</f>
        <v>#REF!</v>
      </c>
      <c r="BS39" s="240">
        <f>BK39+BM39+BO39+BQ39</f>
        <v>0</v>
      </c>
      <c r="BT39" s="253" t="e">
        <f>BL39+BN39+BP39+BR39</f>
        <v>#REF!</v>
      </c>
      <c r="BU39" s="246" t="e">
        <f>BT39-M39</f>
        <v>#REF!</v>
      </c>
      <c r="BV39" s="201">
        <f>BS39-J39</f>
        <v>0</v>
      </c>
      <c r="BW39" s="2"/>
      <c r="BX39" s="33">
        <f>+N39+R39+V39+Z39+AD39+AH39+AL39+AP39+AT39+AX39+BB39+BF39</f>
        <v>0</v>
      </c>
      <c r="BY39" s="113" t="e">
        <f>+Q39+U39+Y39+AC39+AG39+AK39+AO39+AS39+AW39+BA39+BE39+BI39</f>
        <v>#REF!</v>
      </c>
      <c r="BZ39" s="201"/>
      <c r="CA39" s="27">
        <f>+Domestic!B39</f>
        <v>4800</v>
      </c>
      <c r="CB39" s="113" t="e">
        <f>+Domestic!#REF!</f>
        <v>#REF!</v>
      </c>
      <c r="CC39" s="203"/>
      <c r="CD39" s="27">
        <f>+BX39+CA39</f>
        <v>4800</v>
      </c>
      <c r="CE39" s="113" t="e">
        <f>+BY39+CB39</f>
        <v>#REF!</v>
      </c>
      <c r="CF39" s="203"/>
      <c r="CG39" s="203"/>
      <c r="CH39" s="203"/>
      <c r="CZ39" s="201"/>
      <c r="DA39" s="201"/>
      <c r="DB39" s="201"/>
      <c r="DC39" s="201"/>
      <c r="DD39" s="201"/>
      <c r="DJ39" s="214"/>
      <c r="DK39" s="212"/>
      <c r="DL39" s="215"/>
      <c r="DM39" s="213"/>
      <c r="DN39" s="201"/>
      <c r="DO39" s="201"/>
      <c r="DP39" s="204"/>
      <c r="DR39" s="204"/>
    </row>
    <row r="40" spans="1:122" ht="12.6" customHeight="1">
      <c r="A40" s="35" t="s">
        <v>40</v>
      </c>
      <c r="B40" s="264"/>
      <c r="C40" s="264"/>
      <c r="D40" s="135"/>
      <c r="E40" s="157"/>
      <c r="F40" s="149"/>
      <c r="G40" s="151"/>
      <c r="H40" s="135"/>
      <c r="I40" s="151">
        <f t="shared" si="18"/>
        <v>0</v>
      </c>
      <c r="J40" s="27">
        <f t="shared" si="65"/>
        <v>3300</v>
      </c>
      <c r="K40" s="23">
        <f>IF(ISERROR(L40/J40*1000000),0,(L40/J40*1000000))</f>
        <v>0</v>
      </c>
      <c r="L40" s="112" t="e">
        <f t="shared" si="67"/>
        <v>#REF!</v>
      </c>
      <c r="M40" s="113" t="e">
        <f t="shared" si="67"/>
        <v>#REF!</v>
      </c>
      <c r="N40" s="26">
        <f>Europe!D40+'Asia-Pacific'!D40+'Rest of world'!D40+'North America'!D40+'Latin America'!D40</f>
        <v>200</v>
      </c>
      <c r="O40" s="23">
        <f t="shared" si="3"/>
        <v>0</v>
      </c>
      <c r="P40" s="112" t="e">
        <f>'North America'!#REF!+Europe!#REF!+'Asia-Pacific'!#REF!+'Rest of world'!#REF!</f>
        <v>#REF!</v>
      </c>
      <c r="Q40" s="26" t="e">
        <f>Europe!#REF!+'Asia-Pacific'!#REF!+'Rest of world'!#REF!+'North America'!#REF!+'Latin America'!#REF!</f>
        <v>#REF!</v>
      </c>
      <c r="R40" s="26">
        <f>Europe!H40+'Asia-Pacific'!H40+'Rest of world'!H40+'North America'!H40+'Latin America'!H40</f>
        <v>215</v>
      </c>
      <c r="S40" s="23">
        <f t="shared" si="4"/>
        <v>0</v>
      </c>
      <c r="T40" s="112" t="e">
        <f>'North America'!#REF!+Europe!#REF!+'Asia-Pacific'!#REF!+'Rest of world'!#REF!</f>
        <v>#REF!</v>
      </c>
      <c r="U40" s="26" t="e">
        <f>Europe!#REF!+'Asia-Pacific'!#REF!+'Rest of world'!#REF!+'North America'!#REF!+'Latin America'!#REF!</f>
        <v>#REF!</v>
      </c>
      <c r="V40" s="26">
        <f>Europe!L40+'Asia-Pacific'!L40+'Rest of world'!L40+'North America'!L40+'Latin America'!L40</f>
        <v>200</v>
      </c>
      <c r="W40" s="23">
        <f t="shared" si="68"/>
        <v>0</v>
      </c>
      <c r="X40" s="112" t="e">
        <f>'North America'!#REF!+Europe!#REF!+'Asia-Pacific'!#REF!+'Rest of world'!#REF!</f>
        <v>#REF!</v>
      </c>
      <c r="Y40" s="26" t="e">
        <f>Europe!#REF!+'Asia-Pacific'!#REF!+'Rest of world'!#REF!+'North America'!#REF!+'Latin America'!#REF!</f>
        <v>#REF!</v>
      </c>
      <c r="Z40" s="26">
        <f>Europe!P40+'Asia-Pacific'!P40+'Rest of world'!P40+'North America'!P40+'Latin America'!P40</f>
        <v>215</v>
      </c>
      <c r="AA40" s="23">
        <f t="shared" si="69"/>
        <v>0</v>
      </c>
      <c r="AB40" s="112" t="e">
        <f>'North America'!#REF!+Europe!#REF!+'Asia-Pacific'!#REF!+'Rest of world'!#REF!</f>
        <v>#REF!</v>
      </c>
      <c r="AC40" s="26" t="e">
        <f>Europe!#REF!+'Asia-Pacific'!#REF!+'Rest of world'!#REF!+'North America'!#REF!+'Latin America'!#REF!</f>
        <v>#REF!</v>
      </c>
      <c r="AD40" s="26">
        <f>Europe!T40+'Asia-Pacific'!T40+'Rest of world'!T40+'North America'!T40+'Latin America'!T40</f>
        <v>200</v>
      </c>
      <c r="AE40" s="23">
        <f t="shared" si="70"/>
        <v>30090000</v>
      </c>
      <c r="AF40" s="112">
        <f>'North America'!V40+Europe!V40+'Asia-Pacific'!V40+'Rest of world'!V40</f>
        <v>6018</v>
      </c>
      <c r="AG40" s="26">
        <f>Europe!W40+'Asia-Pacific'!W40+'Rest of world'!W40+'North America'!W40+'Latin America'!W40</f>
        <v>0.36557166000000002</v>
      </c>
      <c r="AH40" s="26">
        <f>Europe!X40+'Asia-Pacific'!X40+'Rest of world'!X40+'North America'!X40+'Latin America'!X40</f>
        <v>320</v>
      </c>
      <c r="AI40" s="23">
        <f t="shared" si="71"/>
        <v>0</v>
      </c>
      <c r="AJ40" s="112" t="e">
        <f>'North America'!Z40+Europe!Z40+'Asia-Pacific'!Z40+'Rest of world'!#REF!</f>
        <v>#REF!</v>
      </c>
      <c r="AK40" s="26">
        <f>Europe!AA40+'Asia-Pacific'!AA40+'Rest of world'!AA40+'North America'!AA40+'Latin America'!AA40</f>
        <v>0.26793374399999997</v>
      </c>
      <c r="AL40" s="26">
        <f>Europe!AB40+'Asia-Pacific'!AB40+'Rest of world'!AB40+'North America'!AB40+'Latin America'!AB40</f>
        <v>335</v>
      </c>
      <c r="AM40" s="23">
        <f t="shared" si="72"/>
        <v>0</v>
      </c>
      <c r="AN40" s="112" t="e">
        <f>'North America'!#REF!+Europe!#REF!+'Asia-Pacific'!#REF!+'Rest of world'!#REF!</f>
        <v>#REF!</v>
      </c>
      <c r="AO40" s="26" t="e">
        <f>Europe!#REF!+'Asia-Pacific'!#REF!+'Rest of world'!#REF!+'North America'!#REF!+'Latin America'!#REF!</f>
        <v>#REF!</v>
      </c>
      <c r="AP40" s="26">
        <f>Europe!AF40+'Asia-Pacific'!AF40+'Rest of world'!AF40+'North America'!AF40+'Latin America'!AF40</f>
        <v>320</v>
      </c>
      <c r="AQ40" s="23">
        <f t="shared" si="73"/>
        <v>0</v>
      </c>
      <c r="AR40" s="112" t="e">
        <f>'North America'!#REF!+Europe!#REF!+'Asia-Pacific'!#REF!+'Rest of world'!#REF!</f>
        <v>#REF!</v>
      </c>
      <c r="AS40" s="26" t="e">
        <f>Europe!#REF!+'Asia-Pacific'!#REF!+'Rest of world'!#REF!+'North America'!#REF!+'Latin America'!#REF!</f>
        <v>#REF!</v>
      </c>
      <c r="AT40" s="26">
        <f>Europe!AJ40+'Asia-Pacific'!AJ40+'Rest of world'!AJ40+'North America'!AJ40+'Latin America'!AJ40</f>
        <v>335</v>
      </c>
      <c r="AU40" s="23">
        <f t="shared" si="74"/>
        <v>0</v>
      </c>
      <c r="AV40" s="112" t="e">
        <f>'North America'!#REF!+Europe!#REF!+'Asia-Pacific'!#REF!+'Rest of world'!#REF!</f>
        <v>#REF!</v>
      </c>
      <c r="AW40" s="26" t="e">
        <f>Europe!#REF!+'Asia-Pacific'!#REF!+'Rest of world'!#REF!+'North America'!#REF!+'Latin America'!#REF!</f>
        <v>#REF!</v>
      </c>
      <c r="AX40" s="26">
        <f>Europe!AN40+'Asia-Pacific'!AN40+'Rest of world'!AN40+'North America'!AN40+'Latin America'!AN40</f>
        <v>320</v>
      </c>
      <c r="AY40" s="23">
        <f t="shared" si="75"/>
        <v>0</v>
      </c>
      <c r="AZ40" s="112" t="e">
        <f>'North America'!#REF!+Europe!#REF!+'Asia-Pacific'!#REF!+'Rest of world'!#REF!</f>
        <v>#REF!</v>
      </c>
      <c r="BA40" s="26" t="e">
        <f>Europe!#REF!+'Asia-Pacific'!#REF!+'Rest of world'!#REF!+'North America'!#REF!+'Latin America'!#REF!</f>
        <v>#REF!</v>
      </c>
      <c r="BB40" s="26">
        <f>Europe!AR40+'Asia-Pacific'!AR40+'Rest of world'!AR40+'North America'!AR40+'Latin America'!AR40</f>
        <v>320</v>
      </c>
      <c r="BC40" s="23">
        <f t="shared" si="76"/>
        <v>0</v>
      </c>
      <c r="BD40" s="112" t="e">
        <f>'North America'!#REF!+Europe!#REF!+'Asia-Pacific'!#REF!+'Rest of world'!#REF!</f>
        <v>#REF!</v>
      </c>
      <c r="BE40" s="26" t="e">
        <f>Europe!#REF!+'Asia-Pacific'!#REF!+'Rest of world'!#REF!+'North America'!#REF!+'Latin America'!#REF!</f>
        <v>#REF!</v>
      </c>
      <c r="BF40" s="26">
        <f>Europe!AV40+'Asia-Pacific'!AV40+'Rest of world'!AV40+'North America'!AV40+'Latin America'!AV40</f>
        <v>320</v>
      </c>
      <c r="BG40" s="23">
        <f t="shared" si="77"/>
        <v>0</v>
      </c>
      <c r="BH40" s="112" t="e">
        <f>'North America'!#REF!+Europe!#REF!+'Asia-Pacific'!#REF!+'Rest of world'!#REF!</f>
        <v>#REF!</v>
      </c>
      <c r="BI40" s="26" t="e">
        <f>Europe!#REF!+'Asia-Pacific'!#REF!+'Rest of world'!#REF!+'North America'!#REF!+'Latin America'!#REF!</f>
        <v>#REF!</v>
      </c>
      <c r="BK40" s="240">
        <f t="shared" si="78"/>
        <v>615</v>
      </c>
      <c r="BL40" s="241" t="e">
        <f t="shared" si="79"/>
        <v>#REF!</v>
      </c>
      <c r="BM40" s="240">
        <f t="shared" si="80"/>
        <v>735</v>
      </c>
      <c r="BN40" s="241" t="e">
        <f t="shared" si="81"/>
        <v>#REF!</v>
      </c>
      <c r="BO40" s="240">
        <f t="shared" si="82"/>
        <v>990</v>
      </c>
      <c r="BP40" s="241" t="e">
        <f t="shared" si="83"/>
        <v>#REF!</v>
      </c>
      <c r="BQ40" s="201">
        <f t="shared" si="84"/>
        <v>960</v>
      </c>
      <c r="BR40" s="204" t="e">
        <f t="shared" si="85"/>
        <v>#REF!</v>
      </c>
      <c r="BS40" s="240">
        <f t="shared" si="37"/>
        <v>3300</v>
      </c>
      <c r="BT40" s="253" t="e">
        <f t="shared" si="32"/>
        <v>#REF!</v>
      </c>
      <c r="BU40" s="246" t="e">
        <f t="shared" si="86"/>
        <v>#REF!</v>
      </c>
      <c r="BV40" s="201">
        <f t="shared" si="87"/>
        <v>0</v>
      </c>
      <c r="BW40" s="2"/>
      <c r="BX40" s="33">
        <f t="shared" si="33"/>
        <v>3300</v>
      </c>
      <c r="BY40" s="113" t="e">
        <f t="shared" si="34"/>
        <v>#REF!</v>
      </c>
      <c r="BZ40" s="201"/>
      <c r="CA40" s="27">
        <f>+Domestic!B40</f>
        <v>2700</v>
      </c>
      <c r="CB40" s="113" t="e">
        <f>+Domestic!#REF!</f>
        <v>#REF!</v>
      </c>
      <c r="CC40" s="203"/>
      <c r="CD40" s="27">
        <f t="shared" si="35"/>
        <v>6000</v>
      </c>
      <c r="CE40" s="113" t="e">
        <f t="shared" si="36"/>
        <v>#REF!</v>
      </c>
      <c r="CF40" s="203"/>
      <c r="CG40" s="203"/>
      <c r="CH40" s="203"/>
      <c r="CZ40" s="201">
        <f>BK40-CV40</f>
        <v>615</v>
      </c>
      <c r="DA40" s="201">
        <f>BM40-CW40</f>
        <v>735</v>
      </c>
      <c r="DB40" s="201">
        <f>BO40-CX40</f>
        <v>990</v>
      </c>
      <c r="DC40" s="201">
        <f>BQ40-CY40</f>
        <v>960</v>
      </c>
      <c r="DJ40" s="210">
        <v>10925</v>
      </c>
      <c r="DK40" s="211">
        <v>3076.1995423340963</v>
      </c>
      <c r="DL40" s="200">
        <v>33.607480000000002</v>
      </c>
      <c r="DM40" s="209">
        <v>151.23366000000001</v>
      </c>
      <c r="DN40" s="201">
        <f t="shared" si="88"/>
        <v>-7625</v>
      </c>
      <c r="DO40" s="201">
        <f t="shared" si="89"/>
        <v>-3076.1995423340963</v>
      </c>
      <c r="DP40" s="204" t="e">
        <f t="shared" si="90"/>
        <v>#REF!</v>
      </c>
    </row>
    <row r="41" spans="1:122" ht="12.6" customHeight="1">
      <c r="A41" s="35" t="s">
        <v>30</v>
      </c>
      <c r="B41" s="264"/>
      <c r="C41" s="264"/>
      <c r="D41" s="135"/>
      <c r="E41" s="157"/>
      <c r="F41" s="149"/>
      <c r="G41" s="151"/>
      <c r="H41" s="135"/>
      <c r="I41" s="151">
        <f t="shared" si="18"/>
        <v>0</v>
      </c>
      <c r="J41" s="27">
        <f t="shared" si="65"/>
        <v>504</v>
      </c>
      <c r="K41" s="23">
        <f t="shared" si="66"/>
        <v>0</v>
      </c>
      <c r="L41" s="112" t="e">
        <f t="shared" si="67"/>
        <v>#REF!</v>
      </c>
      <c r="M41" s="113" t="e">
        <f t="shared" si="67"/>
        <v>#REF!</v>
      </c>
      <c r="N41" s="26">
        <f>Europe!D41+'Asia-Pacific'!D41+'Rest of world'!D41+'North America'!D41+'Latin America'!D41</f>
        <v>32</v>
      </c>
      <c r="O41" s="23">
        <f t="shared" si="3"/>
        <v>0</v>
      </c>
      <c r="P41" s="112" t="e">
        <f>'North America'!#REF!+Europe!#REF!+'Asia-Pacific'!#REF!+'Rest of world'!#REF!</f>
        <v>#REF!</v>
      </c>
      <c r="Q41" s="26" t="e">
        <f>Europe!#REF!+'Asia-Pacific'!#REF!+'Rest of world'!#REF!+'North America'!#REF!+'Latin America'!#REF!</f>
        <v>#REF!</v>
      </c>
      <c r="R41" s="26">
        <f>Europe!H41+'Asia-Pacific'!H41+'Rest of world'!H41+'North America'!H41+'Latin America'!H41</f>
        <v>44</v>
      </c>
      <c r="S41" s="23">
        <f t="shared" si="4"/>
        <v>0</v>
      </c>
      <c r="T41" s="112" t="e">
        <f>'North America'!#REF!+Europe!#REF!+'Asia-Pacific'!#REF!+'Rest of world'!#REF!</f>
        <v>#REF!</v>
      </c>
      <c r="U41" s="26" t="e">
        <f>Europe!#REF!+'Asia-Pacific'!#REF!+'Rest of world'!#REF!+'North America'!#REF!+'Latin America'!#REF!</f>
        <v>#REF!</v>
      </c>
      <c r="V41" s="26">
        <f>Europe!L41+'Asia-Pacific'!L41+'Rest of world'!L41+'North America'!L41+'Latin America'!L41</f>
        <v>52</v>
      </c>
      <c r="W41" s="23">
        <f t="shared" si="68"/>
        <v>0</v>
      </c>
      <c r="X41" s="112" t="e">
        <f>'North America'!#REF!+Europe!#REF!+'Asia-Pacific'!#REF!+'Rest of world'!#REF!</f>
        <v>#REF!</v>
      </c>
      <c r="Y41" s="26" t="e">
        <f>Europe!#REF!+'Asia-Pacific'!#REF!+'Rest of world'!#REF!+'North America'!#REF!+'Latin America'!#REF!</f>
        <v>#REF!</v>
      </c>
      <c r="Z41" s="26">
        <f>Europe!P41+'Asia-Pacific'!P41+'Rest of world'!P41+'North America'!P41+'Latin America'!P41</f>
        <v>52</v>
      </c>
      <c r="AA41" s="23">
        <f t="shared" si="69"/>
        <v>0</v>
      </c>
      <c r="AB41" s="112" t="e">
        <f>'North America'!#REF!+Europe!#REF!+'Asia-Pacific'!#REF!+'Rest of world'!#REF!</f>
        <v>#REF!</v>
      </c>
      <c r="AC41" s="26" t="e">
        <f>Europe!#REF!+'Asia-Pacific'!#REF!+'Rest of world'!#REF!+'North America'!#REF!+'Latin America'!#REF!</f>
        <v>#REF!</v>
      </c>
      <c r="AD41" s="26">
        <f>Europe!T41+'Asia-Pacific'!T41+'Rest of world'!T41+'North America'!T41+'Latin America'!T41</f>
        <v>32</v>
      </c>
      <c r="AE41" s="23">
        <f t="shared" si="70"/>
        <v>126250000</v>
      </c>
      <c r="AF41" s="112">
        <f>'North America'!V41+Europe!V41+'Asia-Pacific'!V41+'Rest of world'!V41</f>
        <v>4040</v>
      </c>
      <c r="AG41" s="26">
        <f>Europe!W41+'Asia-Pacific'!W41+'Rest of world'!W41+'North America'!W41+'Latin America'!W41</f>
        <v>0.57907836000000001</v>
      </c>
      <c r="AH41" s="26">
        <f>Europe!X41+'Asia-Pacific'!X41+'Rest of world'!X41+'North America'!X41+'Latin America'!X41</f>
        <v>40</v>
      </c>
      <c r="AI41" s="23">
        <f t="shared" si="71"/>
        <v>0</v>
      </c>
      <c r="AJ41" s="112" t="e">
        <f>'North America'!Z41+Europe!Z41+'Asia-Pacific'!Z41+'Rest of world'!#REF!</f>
        <v>#REF!</v>
      </c>
      <c r="AK41" s="26">
        <f>Europe!AA41+'Asia-Pacific'!AA41+'Rest of world'!AA41+'North America'!AA41+'Latin America'!AA41</f>
        <v>0.26765364600000002</v>
      </c>
      <c r="AL41" s="26">
        <f>Europe!AB41+'Asia-Pacific'!AB41+'Rest of world'!AB41+'North America'!AB41+'Latin America'!AB41</f>
        <v>32</v>
      </c>
      <c r="AM41" s="23">
        <f t="shared" si="72"/>
        <v>0</v>
      </c>
      <c r="AN41" s="112" t="e">
        <f>'North America'!#REF!+Europe!#REF!+'Asia-Pacific'!#REF!+'Rest of world'!#REF!</f>
        <v>#REF!</v>
      </c>
      <c r="AO41" s="26" t="e">
        <f>Europe!#REF!+'Asia-Pacific'!#REF!+'Rest of world'!#REF!+'North America'!#REF!+'Latin America'!#REF!</f>
        <v>#REF!</v>
      </c>
      <c r="AP41" s="26">
        <f>Europe!AF41+'Asia-Pacific'!AF41+'Rest of world'!AF41+'North America'!AF41+'Latin America'!AF41</f>
        <v>52</v>
      </c>
      <c r="AQ41" s="23">
        <f t="shared" si="73"/>
        <v>0</v>
      </c>
      <c r="AR41" s="112" t="e">
        <f>'North America'!#REF!+Europe!#REF!+'Asia-Pacific'!#REF!+'Rest of world'!#REF!</f>
        <v>#REF!</v>
      </c>
      <c r="AS41" s="26" t="e">
        <f>Europe!#REF!+'Asia-Pacific'!#REF!+'Rest of world'!#REF!+'North America'!#REF!+'Latin America'!#REF!</f>
        <v>#REF!</v>
      </c>
      <c r="AT41" s="26">
        <f>Europe!AJ41+'Asia-Pacific'!AJ41+'Rest of world'!AJ41+'North America'!AJ41+'Latin America'!AJ41</f>
        <v>32</v>
      </c>
      <c r="AU41" s="23">
        <f t="shared" si="74"/>
        <v>0</v>
      </c>
      <c r="AV41" s="112" t="e">
        <f>'North America'!#REF!+Europe!#REF!+'Asia-Pacific'!#REF!+'Rest of world'!#REF!</f>
        <v>#REF!</v>
      </c>
      <c r="AW41" s="26" t="e">
        <f>Europe!#REF!+'Asia-Pacific'!#REF!+'Rest of world'!#REF!+'North America'!#REF!+'Latin America'!#REF!</f>
        <v>#REF!</v>
      </c>
      <c r="AX41" s="26">
        <f>Europe!AN41+'Asia-Pacific'!AN41+'Rest of world'!AN41+'North America'!AN41+'Latin America'!AN41</f>
        <v>52</v>
      </c>
      <c r="AY41" s="23">
        <f t="shared" si="75"/>
        <v>0</v>
      </c>
      <c r="AZ41" s="112" t="e">
        <f>'North America'!#REF!+Europe!#REF!+'Asia-Pacific'!#REF!+'Rest of world'!#REF!</f>
        <v>#REF!</v>
      </c>
      <c r="BA41" s="26" t="e">
        <f>Europe!#REF!+'Asia-Pacific'!#REF!+'Rest of world'!#REF!+'North America'!#REF!+'Latin America'!#REF!</f>
        <v>#REF!</v>
      </c>
      <c r="BB41" s="26">
        <f>Europe!AR41+'Asia-Pacific'!AR41+'Rest of world'!AR41+'North America'!AR41+'Latin America'!AR41</f>
        <v>44</v>
      </c>
      <c r="BC41" s="23">
        <f t="shared" si="76"/>
        <v>0</v>
      </c>
      <c r="BD41" s="112" t="e">
        <f>'North America'!#REF!+Europe!#REF!+'Asia-Pacific'!#REF!+'Rest of world'!#REF!</f>
        <v>#REF!</v>
      </c>
      <c r="BE41" s="26" t="e">
        <f>Europe!#REF!+'Asia-Pacific'!#REF!+'Rest of world'!#REF!+'North America'!#REF!+'Latin America'!#REF!</f>
        <v>#REF!</v>
      </c>
      <c r="BF41" s="26">
        <f>Europe!AV41+'Asia-Pacific'!AV41+'Rest of world'!AV41+'North America'!AV41+'Latin America'!AV41</f>
        <v>40</v>
      </c>
      <c r="BG41" s="23">
        <f t="shared" si="77"/>
        <v>0</v>
      </c>
      <c r="BH41" s="112" t="e">
        <f>'North America'!#REF!+Europe!#REF!+'Asia-Pacific'!#REF!+'Rest of world'!#REF!</f>
        <v>#REF!</v>
      </c>
      <c r="BI41" s="26" t="e">
        <f>Europe!#REF!+'Asia-Pacific'!#REF!+'Rest of world'!#REF!+'North America'!#REF!+'Latin America'!#REF!</f>
        <v>#REF!</v>
      </c>
      <c r="BK41" s="240">
        <f t="shared" si="78"/>
        <v>128</v>
      </c>
      <c r="BL41" s="241" t="e">
        <f t="shared" si="79"/>
        <v>#REF!</v>
      </c>
      <c r="BM41" s="240">
        <f t="shared" si="80"/>
        <v>124</v>
      </c>
      <c r="BN41" s="241" t="e">
        <f t="shared" si="81"/>
        <v>#REF!</v>
      </c>
      <c r="BO41" s="240">
        <f t="shared" si="82"/>
        <v>116</v>
      </c>
      <c r="BP41" s="241" t="e">
        <f t="shared" si="83"/>
        <v>#REF!</v>
      </c>
      <c r="BQ41" s="201">
        <f t="shared" si="84"/>
        <v>136</v>
      </c>
      <c r="BR41" s="204" t="e">
        <f t="shared" si="85"/>
        <v>#REF!</v>
      </c>
      <c r="BS41" s="240">
        <f t="shared" si="37"/>
        <v>504</v>
      </c>
      <c r="BT41" s="253" t="e">
        <f t="shared" si="32"/>
        <v>#REF!</v>
      </c>
      <c r="BU41" s="246" t="e">
        <f t="shared" si="86"/>
        <v>#REF!</v>
      </c>
      <c r="BV41" s="201">
        <f t="shared" si="87"/>
        <v>0</v>
      </c>
      <c r="BW41" s="2"/>
      <c r="BX41" s="33">
        <f t="shared" si="33"/>
        <v>504</v>
      </c>
      <c r="BY41" s="113" t="e">
        <f t="shared" si="34"/>
        <v>#REF!</v>
      </c>
      <c r="BZ41" s="201"/>
      <c r="CA41" s="27">
        <f>+Domestic!B41</f>
        <v>0</v>
      </c>
      <c r="CB41" s="113" t="e">
        <f>+Domestic!#REF!</f>
        <v>#REF!</v>
      </c>
      <c r="CC41" s="203"/>
      <c r="CD41" s="27">
        <f t="shared" si="35"/>
        <v>504</v>
      </c>
      <c r="CE41" s="113" t="e">
        <f t="shared" si="36"/>
        <v>#REF!</v>
      </c>
      <c r="CF41" s="203"/>
      <c r="CG41" s="203"/>
      <c r="CH41" s="203"/>
      <c r="DJ41" s="210">
        <v>750</v>
      </c>
      <c r="DK41" s="211">
        <v>3599.7999999999993</v>
      </c>
      <c r="DL41" s="200">
        <v>2.6998499999999996</v>
      </c>
      <c r="DM41" s="209">
        <v>12.149324999999999</v>
      </c>
      <c r="DN41" s="201">
        <f t="shared" si="88"/>
        <v>-246</v>
      </c>
      <c r="DO41" s="201">
        <f t="shared" si="89"/>
        <v>-3599.7999999999993</v>
      </c>
      <c r="DP41" s="204" t="e">
        <f t="shared" si="90"/>
        <v>#REF!</v>
      </c>
    </row>
    <row r="42" spans="1:122" ht="12.6" customHeight="1">
      <c r="A42" s="35" t="s">
        <v>120</v>
      </c>
      <c r="B42" s="264"/>
      <c r="C42" s="264"/>
      <c r="D42" s="135"/>
      <c r="E42" s="157"/>
      <c r="F42" s="149"/>
      <c r="G42" s="151"/>
      <c r="H42" s="135"/>
      <c r="I42" s="151">
        <f t="shared" si="18"/>
        <v>0</v>
      </c>
      <c r="J42" s="27">
        <f t="shared" si="65"/>
        <v>0</v>
      </c>
      <c r="K42" s="23">
        <f t="shared" si="66"/>
        <v>0</v>
      </c>
      <c r="L42" s="112" t="e">
        <f t="shared" si="67"/>
        <v>#REF!</v>
      </c>
      <c r="M42" s="113" t="e">
        <f t="shared" si="67"/>
        <v>#REF!</v>
      </c>
      <c r="N42" s="26">
        <f>Europe!D42+'Asia-Pacific'!D42+'Rest of world'!D42+'North America'!D42+'Latin America'!D42</f>
        <v>0</v>
      </c>
      <c r="O42" s="23">
        <f t="shared" si="3"/>
        <v>0</v>
      </c>
      <c r="P42" s="112" t="e">
        <f>'North America'!#REF!+Europe!#REF!+'Asia-Pacific'!#REF!+'Rest of world'!#REF!</f>
        <v>#REF!</v>
      </c>
      <c r="Q42" s="26" t="e">
        <f>Europe!#REF!+'Asia-Pacific'!#REF!+'Rest of world'!#REF!+'North America'!#REF!+'Latin America'!#REF!</f>
        <v>#REF!</v>
      </c>
      <c r="R42" s="26">
        <f>Europe!H42+'Asia-Pacific'!H42+'Rest of world'!H42+'North America'!H42+'Latin America'!H42</f>
        <v>0</v>
      </c>
      <c r="S42" s="23">
        <f t="shared" si="4"/>
        <v>0</v>
      </c>
      <c r="T42" s="112" t="e">
        <f>'North America'!#REF!+Europe!#REF!+'Asia-Pacific'!#REF!+'Rest of world'!#REF!</f>
        <v>#REF!</v>
      </c>
      <c r="U42" s="26" t="e">
        <f>Europe!#REF!+'Asia-Pacific'!#REF!+'Rest of world'!#REF!+'North America'!#REF!+'Latin America'!#REF!</f>
        <v>#REF!</v>
      </c>
      <c r="V42" s="26">
        <f>Europe!L42+'Asia-Pacific'!L42+'Rest of world'!L42+'North America'!L42+'Latin America'!L42</f>
        <v>0</v>
      </c>
      <c r="W42" s="23">
        <f t="shared" si="68"/>
        <v>0</v>
      </c>
      <c r="X42" s="112" t="e">
        <f>'North America'!#REF!+Europe!#REF!+'Asia-Pacific'!#REF!+'Rest of world'!#REF!</f>
        <v>#REF!</v>
      </c>
      <c r="Y42" s="26" t="e">
        <f>Europe!#REF!+'Asia-Pacific'!#REF!+'Rest of world'!#REF!+'North America'!#REF!+'Latin America'!#REF!</f>
        <v>#REF!</v>
      </c>
      <c r="Z42" s="26">
        <f>Europe!P42+'Asia-Pacific'!P42+'Rest of world'!P42+'North America'!P42+'Latin America'!P42</f>
        <v>0</v>
      </c>
      <c r="AA42" s="23">
        <f t="shared" si="69"/>
        <v>0</v>
      </c>
      <c r="AB42" s="112" t="e">
        <f>'North America'!#REF!+Europe!#REF!+'Asia-Pacific'!#REF!+'Rest of world'!#REF!</f>
        <v>#REF!</v>
      </c>
      <c r="AC42" s="26" t="e">
        <f>Europe!#REF!+'Asia-Pacific'!#REF!+'Rest of world'!#REF!+'North America'!#REF!+'Latin America'!#REF!</f>
        <v>#REF!</v>
      </c>
      <c r="AD42" s="26">
        <f>Europe!T42+'Asia-Pacific'!T42+'Rest of world'!T42+'North America'!T42+'Latin America'!T42</f>
        <v>0</v>
      </c>
      <c r="AE42" s="23">
        <f t="shared" si="70"/>
        <v>0</v>
      </c>
      <c r="AF42" s="112">
        <f>'North America'!V42+Europe!V42+'Asia-Pacific'!V42+'Rest of world'!V42</f>
        <v>0</v>
      </c>
      <c r="AG42" s="26">
        <f>Europe!W42+'Asia-Pacific'!W42+'Rest of world'!W42+'North America'!W42+'Latin America'!W42</f>
        <v>0</v>
      </c>
      <c r="AH42" s="26">
        <f>Europe!X42+'Asia-Pacific'!X42+'Rest of world'!X42+'North America'!X42+'Latin America'!X42</f>
        <v>0</v>
      </c>
      <c r="AI42" s="23">
        <f t="shared" si="71"/>
        <v>0</v>
      </c>
      <c r="AJ42" s="112" t="e">
        <f>'North America'!Z42+Europe!Z42+'Asia-Pacific'!Z42+'Rest of world'!#REF!</f>
        <v>#REF!</v>
      </c>
      <c r="AK42" s="26">
        <f>Europe!AA42+'Asia-Pacific'!AA42+'Rest of world'!AA42+'North America'!AA42+'Latin America'!AA42</f>
        <v>0</v>
      </c>
      <c r="AL42" s="26">
        <f>Europe!AB42+'Asia-Pacific'!AB42+'Rest of world'!AB42+'North America'!AB42+'Latin America'!AB42</f>
        <v>0</v>
      </c>
      <c r="AM42" s="23">
        <f t="shared" si="72"/>
        <v>0</v>
      </c>
      <c r="AN42" s="112" t="e">
        <f>'North America'!#REF!+Europe!#REF!+'Asia-Pacific'!#REF!+'Rest of world'!#REF!</f>
        <v>#REF!</v>
      </c>
      <c r="AO42" s="26" t="e">
        <f>Europe!#REF!+'Asia-Pacific'!#REF!+'Rest of world'!#REF!+'North America'!#REF!+'Latin America'!#REF!</f>
        <v>#REF!</v>
      </c>
      <c r="AP42" s="26">
        <f>Europe!AF42+'Asia-Pacific'!AF42+'Rest of world'!AF42+'North America'!AF42+'Latin America'!AF42</f>
        <v>0</v>
      </c>
      <c r="AQ42" s="23">
        <f t="shared" si="73"/>
        <v>0</v>
      </c>
      <c r="AR42" s="112" t="e">
        <f>'North America'!#REF!+Europe!#REF!+'Asia-Pacific'!#REF!+'Rest of world'!#REF!</f>
        <v>#REF!</v>
      </c>
      <c r="AS42" s="26" t="e">
        <f>Europe!#REF!+'Asia-Pacific'!#REF!+'Rest of world'!#REF!+'North America'!#REF!+'Latin America'!#REF!</f>
        <v>#REF!</v>
      </c>
      <c r="AT42" s="26">
        <f>Europe!AJ42+'Asia-Pacific'!AJ42+'Rest of world'!AJ42+'North America'!AJ42+'Latin America'!AJ42</f>
        <v>0</v>
      </c>
      <c r="AU42" s="23">
        <f t="shared" si="74"/>
        <v>0</v>
      </c>
      <c r="AV42" s="112" t="e">
        <f>'North America'!#REF!+Europe!#REF!+'Asia-Pacific'!#REF!+'Rest of world'!#REF!</f>
        <v>#REF!</v>
      </c>
      <c r="AW42" s="26" t="e">
        <f>Europe!#REF!+'Asia-Pacific'!#REF!+'Rest of world'!#REF!+'North America'!#REF!+'Latin America'!#REF!</f>
        <v>#REF!</v>
      </c>
      <c r="AX42" s="26">
        <f>Europe!AN42+'Asia-Pacific'!AN42+'Rest of world'!AN42+'North America'!AN42+'Latin America'!AN42</f>
        <v>0</v>
      </c>
      <c r="AY42" s="23">
        <f t="shared" si="75"/>
        <v>0</v>
      </c>
      <c r="AZ42" s="112" t="e">
        <f>'North America'!#REF!+Europe!#REF!+'Asia-Pacific'!#REF!+'Rest of world'!#REF!</f>
        <v>#REF!</v>
      </c>
      <c r="BA42" s="26" t="e">
        <f>Europe!#REF!+'Asia-Pacific'!#REF!+'Rest of world'!#REF!+'North America'!#REF!+'Latin America'!#REF!</f>
        <v>#REF!</v>
      </c>
      <c r="BB42" s="26">
        <f>Europe!AR42+'Asia-Pacific'!AR42+'Rest of world'!AR42+'North America'!AR42+'Latin America'!AR42</f>
        <v>0</v>
      </c>
      <c r="BC42" s="23">
        <f t="shared" si="76"/>
        <v>0</v>
      </c>
      <c r="BD42" s="112" t="e">
        <f>'North America'!#REF!+Europe!#REF!+'Asia-Pacific'!#REF!+'Rest of world'!#REF!</f>
        <v>#REF!</v>
      </c>
      <c r="BE42" s="26" t="e">
        <f>Europe!#REF!+'Asia-Pacific'!#REF!+'Rest of world'!#REF!+'North America'!#REF!+'Latin America'!#REF!</f>
        <v>#REF!</v>
      </c>
      <c r="BF42" s="26">
        <f>Europe!AV42+'Asia-Pacific'!AV42+'Rest of world'!AV42+'North America'!AV42+'Latin America'!AV42</f>
        <v>0</v>
      </c>
      <c r="BG42" s="23">
        <f t="shared" si="77"/>
        <v>0</v>
      </c>
      <c r="BH42" s="112" t="e">
        <f>'North America'!#REF!+Europe!#REF!+'Asia-Pacific'!#REF!+'Rest of world'!#REF!</f>
        <v>#REF!</v>
      </c>
      <c r="BI42" s="26" t="e">
        <f>Europe!#REF!+'Asia-Pacific'!#REF!+'Rest of world'!#REF!+'North America'!#REF!+'Latin America'!#REF!</f>
        <v>#REF!</v>
      </c>
      <c r="BK42" s="240">
        <f t="shared" si="78"/>
        <v>0</v>
      </c>
      <c r="BL42" s="241" t="e">
        <f t="shared" si="79"/>
        <v>#REF!</v>
      </c>
      <c r="BM42" s="240">
        <f t="shared" si="80"/>
        <v>0</v>
      </c>
      <c r="BN42" s="241" t="e">
        <f t="shared" si="81"/>
        <v>#REF!</v>
      </c>
      <c r="BO42" s="240">
        <f t="shared" si="82"/>
        <v>0</v>
      </c>
      <c r="BP42" s="241" t="e">
        <f t="shared" si="83"/>
        <v>#REF!</v>
      </c>
      <c r="BQ42" s="201">
        <f t="shared" si="84"/>
        <v>0</v>
      </c>
      <c r="BR42" s="204" t="e">
        <f t="shared" si="85"/>
        <v>#REF!</v>
      </c>
      <c r="BS42" s="240">
        <f t="shared" si="37"/>
        <v>0</v>
      </c>
      <c r="BT42" s="253" t="e">
        <f t="shared" si="32"/>
        <v>#REF!</v>
      </c>
      <c r="BU42" s="246" t="e">
        <f t="shared" si="86"/>
        <v>#REF!</v>
      </c>
      <c r="BV42" s="201">
        <f t="shared" si="87"/>
        <v>0</v>
      </c>
      <c r="BW42" s="2"/>
      <c r="BX42" s="33">
        <f t="shared" si="33"/>
        <v>0</v>
      </c>
      <c r="BY42" s="113" t="e">
        <f t="shared" si="34"/>
        <v>#REF!</v>
      </c>
      <c r="BZ42" s="201"/>
      <c r="CA42" s="27">
        <f>+Domestic!B42</f>
        <v>0</v>
      </c>
      <c r="CB42" s="113" t="e">
        <f>+Domestic!#REF!</f>
        <v>#REF!</v>
      </c>
      <c r="CC42" s="203"/>
      <c r="CD42" s="27">
        <f t="shared" si="35"/>
        <v>0</v>
      </c>
      <c r="CE42" s="113" t="e">
        <f t="shared" si="36"/>
        <v>#REF!</v>
      </c>
      <c r="CF42" s="203"/>
      <c r="CG42" s="203"/>
      <c r="CH42" s="203"/>
      <c r="DJ42" s="210">
        <v>0</v>
      </c>
      <c r="DK42" s="211">
        <v>0</v>
      </c>
      <c r="DL42" s="200">
        <v>0</v>
      </c>
      <c r="DM42" s="209">
        <v>0</v>
      </c>
      <c r="DN42" s="201">
        <f t="shared" si="88"/>
        <v>0</v>
      </c>
      <c r="DO42" s="201">
        <f t="shared" si="89"/>
        <v>0</v>
      </c>
      <c r="DP42" s="204" t="e">
        <f t="shared" si="90"/>
        <v>#REF!</v>
      </c>
    </row>
    <row r="43" spans="1:122" ht="12.6" customHeight="1">
      <c r="A43" s="35" t="s">
        <v>36</v>
      </c>
      <c r="B43" s="264"/>
      <c r="C43" s="264"/>
      <c r="D43" s="135"/>
      <c r="E43" s="157"/>
      <c r="F43" s="149"/>
      <c r="G43" s="151"/>
      <c r="H43" s="135"/>
      <c r="I43" s="151">
        <f t="shared" si="18"/>
        <v>0</v>
      </c>
      <c r="J43" s="27">
        <f t="shared" si="65"/>
        <v>0</v>
      </c>
      <c r="K43" s="23">
        <f t="shared" si="66"/>
        <v>0</v>
      </c>
      <c r="L43" s="112" t="e">
        <f t="shared" si="67"/>
        <v>#REF!</v>
      </c>
      <c r="M43" s="113" t="e">
        <f t="shared" si="67"/>
        <v>#REF!</v>
      </c>
      <c r="N43" s="26">
        <f>Europe!D43+'Asia-Pacific'!D43+'Rest of world'!D43+'North America'!D43+'Latin America'!D43</f>
        <v>0</v>
      </c>
      <c r="O43" s="23">
        <f t="shared" si="3"/>
        <v>0</v>
      </c>
      <c r="P43" s="112" t="e">
        <f>'North America'!#REF!+Europe!#REF!+'Asia-Pacific'!#REF!+'Rest of world'!#REF!</f>
        <v>#REF!</v>
      </c>
      <c r="Q43" s="26" t="e">
        <f>Europe!#REF!+'Asia-Pacific'!#REF!+'Rest of world'!#REF!+'North America'!#REF!+'Latin America'!#REF!</f>
        <v>#REF!</v>
      </c>
      <c r="R43" s="26">
        <f>Europe!H43+'Asia-Pacific'!H43+'Rest of world'!H43+'North America'!H43+'Latin America'!H43</f>
        <v>0</v>
      </c>
      <c r="S43" s="23">
        <f t="shared" si="4"/>
        <v>0</v>
      </c>
      <c r="T43" s="112" t="e">
        <f>'North America'!#REF!+Europe!#REF!+'Asia-Pacific'!#REF!+'Rest of world'!#REF!</f>
        <v>#REF!</v>
      </c>
      <c r="U43" s="26" t="e">
        <f>Europe!#REF!+'Asia-Pacific'!#REF!+'Rest of world'!#REF!+'North America'!#REF!+'Latin America'!#REF!</f>
        <v>#REF!</v>
      </c>
      <c r="V43" s="26">
        <f>Europe!L43+'Asia-Pacific'!L43+'Rest of world'!L43+'North America'!L43+'Latin America'!L43</f>
        <v>0</v>
      </c>
      <c r="W43" s="23">
        <f t="shared" si="68"/>
        <v>0</v>
      </c>
      <c r="X43" s="112" t="e">
        <f>'North America'!#REF!+Europe!#REF!+'Asia-Pacific'!#REF!+'Rest of world'!#REF!</f>
        <v>#REF!</v>
      </c>
      <c r="Y43" s="26" t="e">
        <f>Europe!#REF!+'Asia-Pacific'!#REF!+'Rest of world'!#REF!+'North America'!#REF!+'Latin America'!#REF!</f>
        <v>#REF!</v>
      </c>
      <c r="Z43" s="26">
        <f>Europe!P43+'Asia-Pacific'!P43+'Rest of world'!P43+'North America'!P43+'Latin America'!P43</f>
        <v>0</v>
      </c>
      <c r="AA43" s="23">
        <f t="shared" si="69"/>
        <v>0</v>
      </c>
      <c r="AB43" s="112" t="e">
        <f>'North America'!#REF!+Europe!#REF!+'Asia-Pacific'!#REF!+'Rest of world'!#REF!</f>
        <v>#REF!</v>
      </c>
      <c r="AC43" s="26" t="e">
        <f>Europe!#REF!+'Asia-Pacific'!#REF!+'Rest of world'!#REF!+'North America'!#REF!+'Latin America'!#REF!</f>
        <v>#REF!</v>
      </c>
      <c r="AD43" s="26">
        <f>Europe!T43+'Asia-Pacific'!T43+'Rest of world'!T43+'North America'!T43+'Latin America'!T43</f>
        <v>0</v>
      </c>
      <c r="AE43" s="23">
        <f t="shared" si="70"/>
        <v>0</v>
      </c>
      <c r="AF43" s="112">
        <f>'North America'!V43+Europe!V43+'Asia-Pacific'!V43+'Rest of world'!V43</f>
        <v>0</v>
      </c>
      <c r="AG43" s="26">
        <f>Europe!W43+'Asia-Pacific'!W43+'Rest of world'!W43+'North America'!W43+'Latin America'!W43</f>
        <v>0</v>
      </c>
      <c r="AH43" s="26">
        <f>Europe!X43+'Asia-Pacific'!X43+'Rest of world'!X43+'North America'!X43+'Latin America'!X43</f>
        <v>0</v>
      </c>
      <c r="AI43" s="23">
        <f t="shared" si="71"/>
        <v>0</v>
      </c>
      <c r="AJ43" s="112" t="e">
        <f>'North America'!Z43+Europe!Z43+'Asia-Pacific'!Z43+'Rest of world'!#REF!</f>
        <v>#REF!</v>
      </c>
      <c r="AK43" s="26">
        <f>Europe!AA43+'Asia-Pacific'!AA43+'Rest of world'!AA43+'North America'!AA43+'Latin America'!AA43</f>
        <v>0</v>
      </c>
      <c r="AL43" s="26">
        <f>Europe!AB43+'Asia-Pacific'!AB43+'Rest of world'!AB43+'North America'!AB43+'Latin America'!AB43</f>
        <v>0</v>
      </c>
      <c r="AM43" s="23">
        <f t="shared" si="72"/>
        <v>0</v>
      </c>
      <c r="AN43" s="112" t="e">
        <f>'North America'!#REF!+Europe!#REF!+'Asia-Pacific'!#REF!+'Rest of world'!#REF!</f>
        <v>#REF!</v>
      </c>
      <c r="AO43" s="26" t="e">
        <f>Europe!#REF!+'Asia-Pacific'!#REF!+'Rest of world'!#REF!+'North America'!#REF!+'Latin America'!#REF!</f>
        <v>#REF!</v>
      </c>
      <c r="AP43" s="26">
        <f>Europe!AF43+'Asia-Pacific'!AF43+'Rest of world'!AF43+'North America'!AF43+'Latin America'!AF43</f>
        <v>0</v>
      </c>
      <c r="AQ43" s="23">
        <f t="shared" si="73"/>
        <v>0</v>
      </c>
      <c r="AR43" s="112" t="e">
        <f>'North America'!#REF!+Europe!#REF!+'Asia-Pacific'!#REF!+'Rest of world'!#REF!</f>
        <v>#REF!</v>
      </c>
      <c r="AS43" s="26" t="e">
        <f>Europe!#REF!+'Asia-Pacific'!#REF!+'Rest of world'!#REF!+'North America'!#REF!+'Latin America'!#REF!</f>
        <v>#REF!</v>
      </c>
      <c r="AT43" s="26">
        <f>Europe!AJ43+'Asia-Pacific'!AJ43+'Rest of world'!AJ43+'North America'!AJ43+'Latin America'!AJ43</f>
        <v>0</v>
      </c>
      <c r="AU43" s="23">
        <f t="shared" si="74"/>
        <v>0</v>
      </c>
      <c r="AV43" s="112" t="e">
        <f>'North America'!#REF!+Europe!#REF!+'Asia-Pacific'!#REF!+'Rest of world'!#REF!</f>
        <v>#REF!</v>
      </c>
      <c r="AW43" s="26" t="e">
        <f>Europe!#REF!+'Asia-Pacific'!#REF!+'Rest of world'!#REF!+'North America'!#REF!+'Latin America'!#REF!</f>
        <v>#REF!</v>
      </c>
      <c r="AX43" s="26">
        <f>Europe!AN43+'Asia-Pacific'!AN43+'Rest of world'!AN43+'North America'!AN43+'Latin America'!AN43</f>
        <v>0</v>
      </c>
      <c r="AY43" s="23">
        <f t="shared" si="75"/>
        <v>0</v>
      </c>
      <c r="AZ43" s="112" t="e">
        <f>'North America'!#REF!+Europe!#REF!+'Asia-Pacific'!#REF!+'Rest of world'!#REF!</f>
        <v>#REF!</v>
      </c>
      <c r="BA43" s="26" t="e">
        <f>Europe!#REF!+'Asia-Pacific'!#REF!+'Rest of world'!#REF!+'North America'!#REF!+'Latin America'!#REF!</f>
        <v>#REF!</v>
      </c>
      <c r="BB43" s="26">
        <f>Europe!AR43+'Asia-Pacific'!AR43+'Rest of world'!AR43+'North America'!AR43+'Latin America'!AR43</f>
        <v>0</v>
      </c>
      <c r="BC43" s="23">
        <f t="shared" si="76"/>
        <v>0</v>
      </c>
      <c r="BD43" s="112" t="e">
        <f>'North America'!#REF!+Europe!#REF!+'Asia-Pacific'!#REF!+'Rest of world'!#REF!</f>
        <v>#REF!</v>
      </c>
      <c r="BE43" s="26" t="e">
        <f>Europe!#REF!+'Asia-Pacific'!#REF!+'Rest of world'!#REF!+'North America'!#REF!+'Latin America'!#REF!</f>
        <v>#REF!</v>
      </c>
      <c r="BF43" s="26">
        <f>Europe!AV43+'Asia-Pacific'!AV43+'Rest of world'!AV43+'North America'!AV43+'Latin America'!AV43</f>
        <v>0</v>
      </c>
      <c r="BG43" s="23">
        <f t="shared" si="77"/>
        <v>0</v>
      </c>
      <c r="BH43" s="112" t="e">
        <f>'North America'!#REF!+Europe!#REF!+'Asia-Pacific'!#REF!+'Rest of world'!#REF!</f>
        <v>#REF!</v>
      </c>
      <c r="BI43" s="26" t="e">
        <f>Europe!#REF!+'Asia-Pacific'!#REF!+'Rest of world'!#REF!+'North America'!#REF!+'Latin America'!#REF!</f>
        <v>#REF!</v>
      </c>
      <c r="BK43" s="240">
        <f t="shared" si="78"/>
        <v>0</v>
      </c>
      <c r="BL43" s="241" t="e">
        <f t="shared" si="79"/>
        <v>#REF!</v>
      </c>
      <c r="BM43" s="240">
        <f t="shared" si="80"/>
        <v>0</v>
      </c>
      <c r="BN43" s="241" t="e">
        <f t="shared" si="81"/>
        <v>#REF!</v>
      </c>
      <c r="BO43" s="240">
        <f t="shared" si="82"/>
        <v>0</v>
      </c>
      <c r="BP43" s="241" t="e">
        <f t="shared" si="83"/>
        <v>#REF!</v>
      </c>
      <c r="BQ43" s="201">
        <f t="shared" si="84"/>
        <v>0</v>
      </c>
      <c r="BR43" s="204" t="e">
        <f t="shared" si="85"/>
        <v>#REF!</v>
      </c>
      <c r="BS43" s="240">
        <f t="shared" si="37"/>
        <v>0</v>
      </c>
      <c r="BT43" s="253" t="e">
        <f t="shared" si="32"/>
        <v>#REF!</v>
      </c>
      <c r="BU43" s="246" t="e">
        <f t="shared" si="86"/>
        <v>#REF!</v>
      </c>
      <c r="BV43" s="201">
        <f t="shared" si="87"/>
        <v>0</v>
      </c>
      <c r="BW43" s="2"/>
      <c r="BX43" s="33">
        <f t="shared" si="33"/>
        <v>0</v>
      </c>
      <c r="BY43" s="113" t="e">
        <f t="shared" si="34"/>
        <v>#REF!</v>
      </c>
      <c r="BZ43" s="201"/>
      <c r="CA43" s="27">
        <f>+Domestic!B43</f>
        <v>0</v>
      </c>
      <c r="CB43" s="113" t="e">
        <f>+Domestic!#REF!</f>
        <v>#REF!</v>
      </c>
      <c r="CC43" s="203"/>
      <c r="CD43" s="27">
        <f t="shared" si="35"/>
        <v>0</v>
      </c>
      <c r="CE43" s="113" t="e">
        <f t="shared" si="36"/>
        <v>#REF!</v>
      </c>
      <c r="CF43" s="203"/>
      <c r="CG43" s="203"/>
      <c r="CH43" s="203"/>
      <c r="DJ43" s="210">
        <v>4000</v>
      </c>
      <c r="DK43" s="211">
        <v>1294.8374999999999</v>
      </c>
      <c r="DL43" s="200">
        <v>5.1793499999999995</v>
      </c>
      <c r="DM43" s="209">
        <v>23.307075000000001</v>
      </c>
      <c r="DN43" s="201">
        <f t="shared" si="88"/>
        <v>-4000</v>
      </c>
      <c r="DO43" s="201">
        <f t="shared" si="89"/>
        <v>-1294.8374999999999</v>
      </c>
      <c r="DP43" s="204" t="e">
        <f t="shared" si="90"/>
        <v>#REF!</v>
      </c>
    </row>
    <row r="44" spans="1:122" ht="12.6" customHeight="1">
      <c r="A44" s="35" t="s">
        <v>53</v>
      </c>
      <c r="B44" s="264"/>
      <c r="C44" s="264"/>
      <c r="D44" s="135"/>
      <c r="E44" s="157"/>
      <c r="F44" s="149"/>
      <c r="G44" s="151"/>
      <c r="H44" s="135"/>
      <c r="I44" s="151">
        <f t="shared" si="18"/>
        <v>0</v>
      </c>
      <c r="J44" s="27">
        <f t="shared" si="65"/>
        <v>0</v>
      </c>
      <c r="K44" s="23">
        <f t="shared" si="66"/>
        <v>0</v>
      </c>
      <c r="L44" s="112" t="e">
        <f t="shared" si="67"/>
        <v>#REF!</v>
      </c>
      <c r="M44" s="113" t="e">
        <f t="shared" si="67"/>
        <v>#REF!</v>
      </c>
      <c r="N44" s="26">
        <f>Europe!D44+'Asia-Pacific'!D44+'Rest of world'!D44+'North America'!D44+'Latin America'!D44</f>
        <v>0</v>
      </c>
      <c r="O44" s="23">
        <f t="shared" si="3"/>
        <v>0</v>
      </c>
      <c r="P44" s="112" t="e">
        <f>'North America'!#REF!+Europe!#REF!+'Asia-Pacific'!#REF!+'Rest of world'!#REF!</f>
        <v>#REF!</v>
      </c>
      <c r="Q44" s="26" t="e">
        <f>Europe!#REF!+'Asia-Pacific'!#REF!+'Rest of world'!#REF!+'North America'!#REF!+'Latin America'!#REF!</f>
        <v>#REF!</v>
      </c>
      <c r="R44" s="26">
        <f>Europe!H44+'Asia-Pacific'!H44+'Rest of world'!H44+'North America'!H44+'Latin America'!H44</f>
        <v>0</v>
      </c>
      <c r="S44" s="23">
        <f t="shared" si="4"/>
        <v>0</v>
      </c>
      <c r="T44" s="112" t="e">
        <f>'North America'!#REF!+Europe!#REF!+'Asia-Pacific'!#REF!+'Rest of world'!#REF!</f>
        <v>#REF!</v>
      </c>
      <c r="U44" s="26" t="e">
        <f>Europe!#REF!+'Asia-Pacific'!#REF!+'Rest of world'!#REF!+'North America'!#REF!+'Latin America'!#REF!</f>
        <v>#REF!</v>
      </c>
      <c r="V44" s="26">
        <f>Europe!L44+'Asia-Pacific'!L44+'Rest of world'!L44+'North America'!L44+'Latin America'!L44</f>
        <v>0</v>
      </c>
      <c r="W44" s="23">
        <f t="shared" si="68"/>
        <v>0</v>
      </c>
      <c r="X44" s="112" t="e">
        <f>'North America'!#REF!+Europe!#REF!+'Asia-Pacific'!#REF!+'Rest of world'!#REF!</f>
        <v>#REF!</v>
      </c>
      <c r="Y44" s="26" t="e">
        <f>Europe!#REF!+'Asia-Pacific'!#REF!+'Rest of world'!#REF!+'North America'!#REF!+'Latin America'!#REF!</f>
        <v>#REF!</v>
      </c>
      <c r="Z44" s="26">
        <f>Europe!P44+'Asia-Pacific'!P44+'Rest of world'!P44+'North America'!P44+'Latin America'!P44</f>
        <v>0</v>
      </c>
      <c r="AA44" s="23">
        <f t="shared" si="69"/>
        <v>0</v>
      </c>
      <c r="AB44" s="112" t="e">
        <f>'North America'!#REF!+Europe!#REF!+'Asia-Pacific'!#REF!+'Rest of world'!#REF!</f>
        <v>#REF!</v>
      </c>
      <c r="AC44" s="26" t="e">
        <f>Europe!#REF!+'Asia-Pacific'!#REF!+'Rest of world'!#REF!+'North America'!#REF!+'Latin America'!#REF!</f>
        <v>#REF!</v>
      </c>
      <c r="AD44" s="26">
        <f>Europe!T44+'Asia-Pacific'!T44+'Rest of world'!T44+'North America'!T44+'Latin America'!T44</f>
        <v>0</v>
      </c>
      <c r="AE44" s="23">
        <f t="shared" si="70"/>
        <v>0</v>
      </c>
      <c r="AF44" s="112">
        <f>'North America'!V44+Europe!V44+'Asia-Pacific'!V44+'Rest of world'!V44</f>
        <v>0</v>
      </c>
      <c r="AG44" s="26">
        <f>Europe!W44+'Asia-Pacific'!W44+'Rest of world'!W44+'North America'!W44+'Latin America'!W44</f>
        <v>0</v>
      </c>
      <c r="AH44" s="26">
        <f>Europe!X44+'Asia-Pacific'!X44+'Rest of world'!X44+'North America'!X44+'Latin America'!X44</f>
        <v>0</v>
      </c>
      <c r="AI44" s="23">
        <f t="shared" si="71"/>
        <v>0</v>
      </c>
      <c r="AJ44" s="112" t="e">
        <f>'North America'!Z44+Europe!Z44+'Asia-Pacific'!Z44+'Rest of world'!#REF!</f>
        <v>#REF!</v>
      </c>
      <c r="AK44" s="26">
        <f>Europe!AA44+'Asia-Pacific'!AA44+'Rest of world'!AA44+'North America'!AA44+'Latin America'!AA44</f>
        <v>0</v>
      </c>
      <c r="AL44" s="26">
        <f>Europe!AB44+'Asia-Pacific'!AB44+'Rest of world'!AB44+'North America'!AB44+'Latin America'!AB44</f>
        <v>0</v>
      </c>
      <c r="AM44" s="23">
        <f t="shared" si="72"/>
        <v>0</v>
      </c>
      <c r="AN44" s="112" t="e">
        <f>'North America'!#REF!+Europe!#REF!+'Asia-Pacific'!#REF!+'Rest of world'!#REF!</f>
        <v>#REF!</v>
      </c>
      <c r="AO44" s="26" t="e">
        <f>Europe!#REF!+'Asia-Pacific'!#REF!+'Rest of world'!#REF!+'North America'!#REF!+'Latin America'!#REF!</f>
        <v>#REF!</v>
      </c>
      <c r="AP44" s="26">
        <f>Europe!AF44+'Asia-Pacific'!AF44+'Rest of world'!AF44+'North America'!AF44+'Latin America'!AF44</f>
        <v>0</v>
      </c>
      <c r="AQ44" s="23">
        <f t="shared" si="73"/>
        <v>0</v>
      </c>
      <c r="AR44" s="112" t="e">
        <f>'North America'!#REF!+Europe!#REF!+'Asia-Pacific'!#REF!+'Rest of world'!#REF!</f>
        <v>#REF!</v>
      </c>
      <c r="AS44" s="26" t="e">
        <f>Europe!#REF!+'Asia-Pacific'!#REF!+'Rest of world'!#REF!+'North America'!#REF!+'Latin America'!#REF!</f>
        <v>#REF!</v>
      </c>
      <c r="AT44" s="26">
        <f>Europe!AJ44+'Asia-Pacific'!AJ44+'Rest of world'!AJ44+'North America'!AJ44+'Latin America'!AJ44</f>
        <v>0</v>
      </c>
      <c r="AU44" s="23">
        <f t="shared" si="74"/>
        <v>0</v>
      </c>
      <c r="AV44" s="112" t="e">
        <f>'North America'!#REF!+Europe!#REF!+'Asia-Pacific'!#REF!+'Rest of world'!#REF!</f>
        <v>#REF!</v>
      </c>
      <c r="AW44" s="26" t="e">
        <f>Europe!#REF!+'Asia-Pacific'!#REF!+'Rest of world'!#REF!+'North America'!#REF!+'Latin America'!#REF!</f>
        <v>#REF!</v>
      </c>
      <c r="AX44" s="26">
        <f>Europe!AN44+'Asia-Pacific'!AN44+'Rest of world'!AN44+'North America'!AN44+'Latin America'!AN44</f>
        <v>0</v>
      </c>
      <c r="AY44" s="23">
        <f t="shared" si="75"/>
        <v>0</v>
      </c>
      <c r="AZ44" s="112" t="e">
        <f>'North America'!#REF!+Europe!#REF!+'Asia-Pacific'!#REF!+'Rest of world'!#REF!</f>
        <v>#REF!</v>
      </c>
      <c r="BA44" s="26" t="e">
        <f>Europe!#REF!+'Asia-Pacific'!#REF!+'Rest of world'!#REF!+'North America'!#REF!+'Latin America'!#REF!</f>
        <v>#REF!</v>
      </c>
      <c r="BB44" s="26">
        <f>Europe!AR44+'Asia-Pacific'!AR44+'Rest of world'!AR44+'North America'!AR44+'Latin America'!AR44</f>
        <v>0</v>
      </c>
      <c r="BC44" s="23">
        <f t="shared" si="76"/>
        <v>0</v>
      </c>
      <c r="BD44" s="112" t="e">
        <f>'North America'!#REF!+Europe!#REF!+'Asia-Pacific'!#REF!+'Rest of world'!#REF!</f>
        <v>#REF!</v>
      </c>
      <c r="BE44" s="26" t="e">
        <f>Europe!#REF!+'Asia-Pacific'!#REF!+'Rest of world'!#REF!+'North America'!#REF!+'Latin America'!#REF!</f>
        <v>#REF!</v>
      </c>
      <c r="BF44" s="26">
        <f>Europe!AV44+'Asia-Pacific'!AV44+'Rest of world'!AV44+'North America'!AV44+'Latin America'!AV44</f>
        <v>0</v>
      </c>
      <c r="BG44" s="23">
        <f t="shared" si="77"/>
        <v>0</v>
      </c>
      <c r="BH44" s="112" t="e">
        <f>'North America'!#REF!+Europe!#REF!+'Asia-Pacific'!#REF!+'Rest of world'!#REF!</f>
        <v>#REF!</v>
      </c>
      <c r="BI44" s="26" t="e">
        <f>Europe!#REF!+'Asia-Pacific'!#REF!+'Rest of world'!#REF!+'North America'!#REF!+'Latin America'!#REF!</f>
        <v>#REF!</v>
      </c>
      <c r="BK44" s="240">
        <f t="shared" si="78"/>
        <v>0</v>
      </c>
      <c r="BL44" s="241" t="e">
        <f t="shared" si="79"/>
        <v>#REF!</v>
      </c>
      <c r="BM44" s="240">
        <f t="shared" si="80"/>
        <v>0</v>
      </c>
      <c r="BN44" s="241" t="e">
        <f t="shared" si="81"/>
        <v>#REF!</v>
      </c>
      <c r="BO44" s="240">
        <f t="shared" si="82"/>
        <v>0</v>
      </c>
      <c r="BP44" s="241" t="e">
        <f t="shared" si="83"/>
        <v>#REF!</v>
      </c>
      <c r="BQ44" s="201">
        <f t="shared" si="84"/>
        <v>0</v>
      </c>
      <c r="BR44" s="204" t="e">
        <f t="shared" si="85"/>
        <v>#REF!</v>
      </c>
      <c r="BS44" s="240">
        <f t="shared" si="37"/>
        <v>0</v>
      </c>
      <c r="BT44" s="253" t="e">
        <f t="shared" si="32"/>
        <v>#REF!</v>
      </c>
      <c r="BU44" s="246" t="e">
        <f t="shared" si="86"/>
        <v>#REF!</v>
      </c>
      <c r="BV44" s="201">
        <f t="shared" si="87"/>
        <v>0</v>
      </c>
      <c r="BW44" s="2"/>
      <c r="BX44" s="33">
        <f t="shared" si="33"/>
        <v>0</v>
      </c>
      <c r="BY44" s="113" t="e">
        <f t="shared" si="34"/>
        <v>#REF!</v>
      </c>
      <c r="BZ44" s="201"/>
      <c r="CA44" s="27">
        <f>+Domestic!B44</f>
        <v>0</v>
      </c>
      <c r="CB44" s="113" t="e">
        <f>+Domestic!#REF!</f>
        <v>#REF!</v>
      </c>
      <c r="CC44" s="203"/>
      <c r="CD44" s="27">
        <f t="shared" si="35"/>
        <v>0</v>
      </c>
      <c r="CE44" s="113" t="e">
        <f t="shared" si="36"/>
        <v>#REF!</v>
      </c>
      <c r="CF44" s="203"/>
      <c r="CG44" s="203"/>
      <c r="CH44" s="203"/>
      <c r="DJ44" s="210">
        <v>500</v>
      </c>
      <c r="DK44" s="211">
        <v>1370.0000000000002</v>
      </c>
      <c r="DL44" s="200">
        <v>0.68500000000000005</v>
      </c>
      <c r="DM44" s="209">
        <v>3.0825000000000005</v>
      </c>
      <c r="DN44" s="201">
        <f t="shared" si="88"/>
        <v>-500</v>
      </c>
      <c r="DO44" s="201">
        <f t="shared" si="89"/>
        <v>-1370.0000000000002</v>
      </c>
      <c r="DP44" s="204" t="e">
        <f t="shared" si="90"/>
        <v>#REF!</v>
      </c>
    </row>
    <row r="45" spans="1:122" ht="12.6" customHeight="1">
      <c r="A45" s="287" t="s">
        <v>124</v>
      </c>
      <c r="B45" s="264"/>
      <c r="C45" s="264"/>
      <c r="D45" s="135"/>
      <c r="E45" s="157"/>
      <c r="F45" s="149"/>
      <c r="G45" s="151"/>
      <c r="H45" s="135"/>
      <c r="I45" s="151">
        <f t="shared" si="18"/>
        <v>0</v>
      </c>
      <c r="J45" s="27">
        <f t="shared" si="65"/>
        <v>60</v>
      </c>
      <c r="K45" s="23">
        <f t="shared" si="66"/>
        <v>0</v>
      </c>
      <c r="L45" s="112" t="e">
        <f t="shared" si="67"/>
        <v>#REF!</v>
      </c>
      <c r="M45" s="113" t="e">
        <f t="shared" si="67"/>
        <v>#REF!</v>
      </c>
      <c r="N45" s="26">
        <f>Europe!D45+'Asia-Pacific'!D45+'Rest of world'!D45+'North America'!D45+'Latin America'!D45</f>
        <v>0</v>
      </c>
      <c r="O45" s="23">
        <f t="shared" si="3"/>
        <v>0</v>
      </c>
      <c r="P45" s="112" t="e">
        <f>'North America'!#REF!+Europe!#REF!+'Asia-Pacific'!#REF!+'Rest of world'!#REF!</f>
        <v>#REF!</v>
      </c>
      <c r="Q45" s="26" t="e">
        <f>Europe!#REF!+'Asia-Pacific'!#REF!+'Rest of world'!#REF!+'North America'!#REF!+'Latin America'!#REF!</f>
        <v>#REF!</v>
      </c>
      <c r="R45" s="26">
        <f>Europe!H45+'Asia-Pacific'!H45+'Rest of world'!H45+'North America'!H45+'Latin America'!H45</f>
        <v>0</v>
      </c>
      <c r="S45" s="23">
        <f t="shared" si="4"/>
        <v>0</v>
      </c>
      <c r="T45" s="112" t="e">
        <f>'North America'!#REF!+Europe!#REF!+'Asia-Pacific'!#REF!+'Rest of world'!#REF!</f>
        <v>#REF!</v>
      </c>
      <c r="U45" s="26" t="e">
        <f>Europe!#REF!+'Asia-Pacific'!#REF!+'Rest of world'!#REF!+'North America'!#REF!+'Latin America'!#REF!</f>
        <v>#REF!</v>
      </c>
      <c r="V45" s="26">
        <f>Europe!L45+'Asia-Pacific'!L45+'Rest of world'!L45+'North America'!L45+'Latin America'!L45</f>
        <v>15</v>
      </c>
      <c r="W45" s="23">
        <f t="shared" si="68"/>
        <v>0</v>
      </c>
      <c r="X45" s="112" t="e">
        <f>'North America'!#REF!+Europe!#REF!+'Asia-Pacific'!#REF!+'Rest of world'!#REF!</f>
        <v>#REF!</v>
      </c>
      <c r="Y45" s="26" t="e">
        <f>Europe!#REF!+'Asia-Pacific'!#REF!+'Rest of world'!#REF!+'North America'!#REF!+'Latin America'!#REF!</f>
        <v>#REF!</v>
      </c>
      <c r="Z45" s="26">
        <f>Europe!P45+'Asia-Pacific'!P45+'Rest of world'!P45+'North America'!P45+'Latin America'!P45</f>
        <v>0</v>
      </c>
      <c r="AA45" s="23">
        <f t="shared" si="69"/>
        <v>0</v>
      </c>
      <c r="AB45" s="112" t="e">
        <f>'North America'!#REF!+Europe!#REF!+'Asia-Pacific'!#REF!+'Rest of world'!#REF!</f>
        <v>#REF!</v>
      </c>
      <c r="AC45" s="26" t="e">
        <f>Europe!#REF!+'Asia-Pacific'!#REF!+'Rest of world'!#REF!+'North America'!#REF!+'Latin America'!#REF!</f>
        <v>#REF!</v>
      </c>
      <c r="AD45" s="26">
        <f>Europe!T45+'Asia-Pacific'!T45+'Rest of world'!T45+'North America'!T45+'Latin America'!T45</f>
        <v>0</v>
      </c>
      <c r="AE45" s="23">
        <f t="shared" si="70"/>
        <v>0</v>
      </c>
      <c r="AF45" s="112">
        <f>'North America'!V45+Europe!V45+'Asia-Pacific'!V45+'Rest of world'!V45</f>
        <v>0</v>
      </c>
      <c r="AG45" s="26">
        <f>Europe!W45+'Asia-Pacific'!W45+'Rest of world'!W45+'North America'!W45+'Latin America'!W45</f>
        <v>0</v>
      </c>
      <c r="AH45" s="26">
        <f>Europe!X45+'Asia-Pacific'!X45+'Rest of world'!X45+'North America'!X45+'Latin America'!X45</f>
        <v>15</v>
      </c>
      <c r="AI45" s="23">
        <f t="shared" si="71"/>
        <v>0</v>
      </c>
      <c r="AJ45" s="112" t="e">
        <f>'North America'!Z45+Europe!Z45+'Asia-Pacific'!Z45+'Rest of world'!#REF!</f>
        <v>#REF!</v>
      </c>
      <c r="AK45" s="26">
        <f>Europe!AA45+'Asia-Pacific'!AA45+'Rest of world'!AA45+'North America'!AA45+'Latin America'!AA45</f>
        <v>0</v>
      </c>
      <c r="AL45" s="26">
        <f>Europe!AB45+'Asia-Pacific'!AB45+'Rest of world'!AB45+'North America'!AB45+'Latin America'!AB45</f>
        <v>0</v>
      </c>
      <c r="AM45" s="23">
        <f t="shared" si="72"/>
        <v>0</v>
      </c>
      <c r="AN45" s="112" t="e">
        <f>'North America'!#REF!+Europe!#REF!+'Asia-Pacific'!#REF!+'Rest of world'!#REF!</f>
        <v>#REF!</v>
      </c>
      <c r="AO45" s="26" t="e">
        <f>Europe!#REF!+'Asia-Pacific'!#REF!+'Rest of world'!#REF!+'North America'!#REF!+'Latin America'!#REF!</f>
        <v>#REF!</v>
      </c>
      <c r="AP45" s="26">
        <f>Europe!AF45+'Asia-Pacific'!AF45+'Rest of world'!AF45+'North America'!AF45+'Latin America'!AF45</f>
        <v>0</v>
      </c>
      <c r="AQ45" s="23">
        <f t="shared" si="73"/>
        <v>0</v>
      </c>
      <c r="AR45" s="112" t="e">
        <f>'North America'!#REF!+Europe!#REF!+'Asia-Pacific'!#REF!+'Rest of world'!#REF!</f>
        <v>#REF!</v>
      </c>
      <c r="AS45" s="26" t="e">
        <f>Europe!#REF!+'Asia-Pacific'!#REF!+'Rest of world'!#REF!+'North America'!#REF!+'Latin America'!#REF!</f>
        <v>#REF!</v>
      </c>
      <c r="AT45" s="26">
        <f>Europe!AJ45+'Asia-Pacific'!AJ45+'Rest of world'!AJ45+'North America'!AJ45+'Latin America'!AJ45</f>
        <v>15</v>
      </c>
      <c r="AU45" s="23">
        <f t="shared" si="74"/>
        <v>0</v>
      </c>
      <c r="AV45" s="112" t="e">
        <f>'North America'!#REF!+Europe!#REF!+'Asia-Pacific'!#REF!+'Rest of world'!#REF!</f>
        <v>#REF!</v>
      </c>
      <c r="AW45" s="26" t="e">
        <f>Europe!#REF!+'Asia-Pacific'!#REF!+'Rest of world'!#REF!+'North America'!#REF!+'Latin America'!#REF!</f>
        <v>#REF!</v>
      </c>
      <c r="AX45" s="26">
        <f>Europe!AN45+'Asia-Pacific'!AN45+'Rest of world'!AN45+'North America'!AN45+'Latin America'!AN45</f>
        <v>0</v>
      </c>
      <c r="AY45" s="23">
        <f t="shared" si="75"/>
        <v>0</v>
      </c>
      <c r="AZ45" s="112" t="e">
        <f>'North America'!#REF!+Europe!#REF!+'Asia-Pacific'!#REF!+'Rest of world'!#REF!</f>
        <v>#REF!</v>
      </c>
      <c r="BA45" s="26" t="e">
        <f>Europe!#REF!+'Asia-Pacific'!#REF!+'Rest of world'!#REF!+'North America'!#REF!+'Latin America'!#REF!</f>
        <v>#REF!</v>
      </c>
      <c r="BB45" s="26">
        <f>Europe!AR45+'Asia-Pacific'!AR45+'Rest of world'!AR45+'North America'!AR45+'Latin America'!AR45</f>
        <v>15</v>
      </c>
      <c r="BC45" s="23">
        <f t="shared" si="76"/>
        <v>0</v>
      </c>
      <c r="BD45" s="112" t="e">
        <f>'North America'!#REF!+Europe!#REF!+'Asia-Pacific'!#REF!+'Rest of world'!#REF!</f>
        <v>#REF!</v>
      </c>
      <c r="BE45" s="26" t="e">
        <f>Europe!#REF!+'Asia-Pacific'!#REF!+'Rest of world'!#REF!+'North America'!#REF!+'Latin America'!#REF!</f>
        <v>#REF!</v>
      </c>
      <c r="BF45" s="26">
        <f>Europe!AV45+'Asia-Pacific'!AV45+'Rest of world'!AV45+'North America'!AV45+'Latin America'!AV45</f>
        <v>0</v>
      </c>
      <c r="BG45" s="23">
        <f t="shared" si="77"/>
        <v>0</v>
      </c>
      <c r="BH45" s="112" t="e">
        <f>'North America'!#REF!+Europe!#REF!+'Asia-Pacific'!#REF!+'Rest of world'!#REF!</f>
        <v>#REF!</v>
      </c>
      <c r="BI45" s="26" t="e">
        <f>Europe!#REF!+'Asia-Pacific'!#REF!+'Rest of world'!#REF!+'North America'!#REF!+'Latin America'!#REF!</f>
        <v>#REF!</v>
      </c>
      <c r="BK45" s="240">
        <f t="shared" si="78"/>
        <v>15</v>
      </c>
      <c r="BL45" s="241" t="e">
        <f t="shared" si="79"/>
        <v>#REF!</v>
      </c>
      <c r="BM45" s="240">
        <f t="shared" si="80"/>
        <v>15</v>
      </c>
      <c r="BN45" s="241" t="e">
        <f t="shared" si="81"/>
        <v>#REF!</v>
      </c>
      <c r="BO45" s="240">
        <f t="shared" si="82"/>
        <v>15</v>
      </c>
      <c r="BP45" s="241" t="e">
        <f t="shared" si="83"/>
        <v>#REF!</v>
      </c>
      <c r="BQ45" s="201">
        <f t="shared" si="84"/>
        <v>15</v>
      </c>
      <c r="BR45" s="204" t="e">
        <f t="shared" si="85"/>
        <v>#REF!</v>
      </c>
      <c r="BS45" s="240">
        <f t="shared" si="37"/>
        <v>60</v>
      </c>
      <c r="BT45" s="253" t="e">
        <f t="shared" si="32"/>
        <v>#REF!</v>
      </c>
      <c r="BU45" s="246" t="e">
        <f t="shared" si="86"/>
        <v>#REF!</v>
      </c>
      <c r="BV45" s="201">
        <f t="shared" si="87"/>
        <v>0</v>
      </c>
      <c r="BW45" s="2"/>
      <c r="BX45" s="33">
        <f t="shared" si="33"/>
        <v>60</v>
      </c>
      <c r="BY45" s="113" t="e">
        <f t="shared" si="34"/>
        <v>#REF!</v>
      </c>
      <c r="BZ45" s="201"/>
      <c r="CA45" s="27">
        <f>+Domestic!B45</f>
        <v>2400</v>
      </c>
      <c r="CB45" s="113" t="e">
        <f>+Domestic!#REF!</f>
        <v>#REF!</v>
      </c>
      <c r="CD45" s="27">
        <f t="shared" si="35"/>
        <v>2460</v>
      </c>
      <c r="CE45" s="113" t="e">
        <f t="shared" si="36"/>
        <v>#REF!</v>
      </c>
      <c r="DJ45" s="210">
        <v>0</v>
      </c>
      <c r="DK45" s="211">
        <v>0</v>
      </c>
      <c r="DL45" s="200">
        <v>0</v>
      </c>
      <c r="DM45" s="209">
        <v>0</v>
      </c>
      <c r="DN45" s="201">
        <f t="shared" si="88"/>
        <v>60</v>
      </c>
      <c r="DO45" s="201">
        <f t="shared" si="89"/>
        <v>0</v>
      </c>
      <c r="DP45" s="204" t="e">
        <f t="shared" si="90"/>
        <v>#REF!</v>
      </c>
    </row>
    <row r="46" spans="1:122" ht="12.6" customHeight="1">
      <c r="A46" s="145" t="s">
        <v>63</v>
      </c>
      <c r="B46" s="264"/>
      <c r="C46" s="264"/>
      <c r="D46" s="135"/>
      <c r="E46" s="157"/>
      <c r="F46" s="149"/>
      <c r="G46" s="151"/>
      <c r="H46" s="135"/>
      <c r="I46" s="151">
        <f t="shared" si="18"/>
        <v>0</v>
      </c>
      <c r="J46" s="27">
        <f t="shared" si="65"/>
        <v>0</v>
      </c>
      <c r="K46" s="23">
        <f t="shared" si="66"/>
        <v>0</v>
      </c>
      <c r="L46" s="112" t="e">
        <f t="shared" si="67"/>
        <v>#REF!</v>
      </c>
      <c r="M46" s="113" t="e">
        <f t="shared" si="67"/>
        <v>#REF!</v>
      </c>
      <c r="N46" s="26">
        <f>Europe!D46+'Asia-Pacific'!D46+'Rest of world'!D46+'North America'!D46+'Latin America'!D46</f>
        <v>0</v>
      </c>
      <c r="O46" s="23">
        <f t="shared" si="3"/>
        <v>0</v>
      </c>
      <c r="P46" s="112" t="e">
        <f>'North America'!#REF!+Europe!#REF!+'Asia-Pacific'!#REF!+'Rest of world'!#REF!</f>
        <v>#REF!</v>
      </c>
      <c r="Q46" s="26" t="e">
        <f>Europe!#REF!+'Asia-Pacific'!#REF!+'Rest of world'!#REF!+'North America'!#REF!+'Latin America'!#REF!</f>
        <v>#REF!</v>
      </c>
      <c r="R46" s="26">
        <f>Europe!H46+'Asia-Pacific'!H46+'Rest of world'!H46+'North America'!H46+'Latin America'!H46</f>
        <v>0</v>
      </c>
      <c r="S46" s="23">
        <f t="shared" si="4"/>
        <v>0</v>
      </c>
      <c r="T46" s="112" t="e">
        <f>'North America'!#REF!+Europe!#REF!+'Asia-Pacific'!#REF!+'Rest of world'!#REF!</f>
        <v>#REF!</v>
      </c>
      <c r="U46" s="26" t="e">
        <f>Europe!#REF!+'Asia-Pacific'!#REF!+'Rest of world'!#REF!+'North America'!#REF!+'Latin America'!#REF!</f>
        <v>#REF!</v>
      </c>
      <c r="V46" s="26">
        <f>Europe!L46+'Asia-Pacific'!L46+'Rest of world'!L46+'North America'!L46+'Latin America'!L46</f>
        <v>0</v>
      </c>
      <c r="W46" s="23">
        <f t="shared" si="68"/>
        <v>0</v>
      </c>
      <c r="X46" s="112" t="e">
        <f>'North America'!#REF!+Europe!#REF!+'Asia-Pacific'!#REF!+'Rest of world'!#REF!</f>
        <v>#REF!</v>
      </c>
      <c r="Y46" s="26" t="e">
        <f>Europe!#REF!+'Asia-Pacific'!#REF!+'Rest of world'!#REF!+'North America'!#REF!+'Latin America'!#REF!</f>
        <v>#REF!</v>
      </c>
      <c r="Z46" s="26">
        <f>Europe!P46+'Asia-Pacific'!P46+'Rest of world'!P46+'North America'!P46+'Latin America'!P46</f>
        <v>0</v>
      </c>
      <c r="AA46" s="23">
        <f t="shared" si="69"/>
        <v>0</v>
      </c>
      <c r="AB46" s="112" t="e">
        <f>'North America'!#REF!+Europe!#REF!+'Asia-Pacific'!#REF!+'Rest of world'!#REF!</f>
        <v>#REF!</v>
      </c>
      <c r="AC46" s="26" t="e">
        <f>Europe!#REF!+'Asia-Pacific'!#REF!+'Rest of world'!#REF!+'North America'!#REF!+'Latin America'!#REF!</f>
        <v>#REF!</v>
      </c>
      <c r="AD46" s="26">
        <f>Europe!T46+'Asia-Pacific'!T46+'Rest of world'!T46+'North America'!T46+'Latin America'!T46</f>
        <v>0</v>
      </c>
      <c r="AE46" s="23">
        <f t="shared" si="70"/>
        <v>0</v>
      </c>
      <c r="AF46" s="112">
        <f>'North America'!V46+Europe!V46+'Asia-Pacific'!V46+'Rest of world'!V46</f>
        <v>0</v>
      </c>
      <c r="AG46" s="26">
        <f>Europe!W46+'Asia-Pacific'!W46+'Rest of world'!W46+'North America'!W46+'Latin America'!W46</f>
        <v>0</v>
      </c>
      <c r="AH46" s="26">
        <f>Europe!X46+'Asia-Pacific'!X46+'Rest of world'!X46+'North America'!X46+'Latin America'!X46</f>
        <v>0</v>
      </c>
      <c r="AI46" s="23">
        <f t="shared" si="71"/>
        <v>0</v>
      </c>
      <c r="AJ46" s="112" t="e">
        <f>'North America'!Z46+Europe!Z46+'Asia-Pacific'!Z46+'Rest of world'!#REF!</f>
        <v>#REF!</v>
      </c>
      <c r="AK46" s="26">
        <f>Europe!AA46+'Asia-Pacific'!AA46+'Rest of world'!AA46+'North America'!AA46+'Latin America'!AA46</f>
        <v>0</v>
      </c>
      <c r="AL46" s="26">
        <f>Europe!AB46+'Asia-Pacific'!AB46+'Rest of world'!AB46+'North America'!AB46+'Latin America'!AB46</f>
        <v>0</v>
      </c>
      <c r="AM46" s="23">
        <f t="shared" si="72"/>
        <v>0</v>
      </c>
      <c r="AN46" s="112" t="e">
        <f>'North America'!#REF!+Europe!#REF!+'Asia-Pacific'!#REF!+'Rest of world'!#REF!</f>
        <v>#REF!</v>
      </c>
      <c r="AO46" s="26" t="e">
        <f>Europe!#REF!+'Asia-Pacific'!#REF!+'Rest of world'!#REF!+'North America'!#REF!+'Latin America'!#REF!</f>
        <v>#REF!</v>
      </c>
      <c r="AP46" s="26">
        <f>Europe!AF46+'Asia-Pacific'!AF46+'Rest of world'!AF46+'North America'!AF46+'Latin America'!AF46</f>
        <v>0</v>
      </c>
      <c r="AQ46" s="23">
        <f t="shared" si="73"/>
        <v>0</v>
      </c>
      <c r="AR46" s="112" t="e">
        <f>'North America'!#REF!+Europe!#REF!+'Asia-Pacific'!#REF!+'Rest of world'!#REF!</f>
        <v>#REF!</v>
      </c>
      <c r="AS46" s="26" t="e">
        <f>Europe!#REF!+'Asia-Pacific'!#REF!+'Rest of world'!#REF!+'North America'!#REF!+'Latin America'!#REF!</f>
        <v>#REF!</v>
      </c>
      <c r="AT46" s="26">
        <f>Europe!AJ46+'Asia-Pacific'!AJ46+'Rest of world'!AJ46+'North America'!AJ46+'Latin America'!AJ46</f>
        <v>0</v>
      </c>
      <c r="AU46" s="23">
        <f t="shared" si="74"/>
        <v>0</v>
      </c>
      <c r="AV46" s="112" t="e">
        <f>'North America'!#REF!+Europe!#REF!+'Asia-Pacific'!#REF!+'Rest of world'!#REF!</f>
        <v>#REF!</v>
      </c>
      <c r="AW46" s="26" t="e">
        <f>Europe!#REF!+'Asia-Pacific'!#REF!+'Rest of world'!#REF!+'North America'!#REF!+'Latin America'!#REF!</f>
        <v>#REF!</v>
      </c>
      <c r="AX46" s="26">
        <f>Europe!AN46+'Asia-Pacific'!AN46+'Rest of world'!AN46+'North America'!AN46+'Latin America'!AN46</f>
        <v>0</v>
      </c>
      <c r="AY46" s="23">
        <f t="shared" si="75"/>
        <v>0</v>
      </c>
      <c r="AZ46" s="112" t="e">
        <f>'North America'!#REF!+Europe!#REF!+'Asia-Pacific'!#REF!+'Rest of world'!#REF!</f>
        <v>#REF!</v>
      </c>
      <c r="BA46" s="26" t="e">
        <f>Europe!#REF!+'Asia-Pacific'!#REF!+'Rest of world'!#REF!+'North America'!#REF!+'Latin America'!#REF!</f>
        <v>#REF!</v>
      </c>
      <c r="BB46" s="26">
        <f>Europe!AR46+'Asia-Pacific'!AR46+'Rest of world'!AR46+'North America'!AR46+'Latin America'!AR46</f>
        <v>0</v>
      </c>
      <c r="BC46" s="23">
        <f t="shared" si="76"/>
        <v>0</v>
      </c>
      <c r="BD46" s="112" t="e">
        <f>'North America'!#REF!+Europe!#REF!+'Asia-Pacific'!#REF!+'Rest of world'!#REF!</f>
        <v>#REF!</v>
      </c>
      <c r="BE46" s="26" t="e">
        <f>Europe!#REF!+'Asia-Pacific'!#REF!+'Rest of world'!#REF!+'North America'!#REF!+'Latin America'!#REF!</f>
        <v>#REF!</v>
      </c>
      <c r="BF46" s="26">
        <f>Europe!AV46+'Asia-Pacific'!AV46+'Rest of world'!AV46+'North America'!AV46+'Latin America'!AV46</f>
        <v>0</v>
      </c>
      <c r="BG46" s="23">
        <f t="shared" si="77"/>
        <v>0</v>
      </c>
      <c r="BH46" s="112" t="e">
        <f>'North America'!#REF!+Europe!#REF!+'Asia-Pacific'!#REF!+'Rest of world'!#REF!</f>
        <v>#REF!</v>
      </c>
      <c r="BI46" s="26" t="e">
        <f>Europe!#REF!+'Asia-Pacific'!#REF!+'Rest of world'!#REF!+'North America'!#REF!+'Latin America'!#REF!</f>
        <v>#REF!</v>
      </c>
      <c r="BK46" s="240">
        <f t="shared" si="78"/>
        <v>0</v>
      </c>
      <c r="BL46" s="241" t="e">
        <f t="shared" si="79"/>
        <v>#REF!</v>
      </c>
      <c r="BM46" s="240">
        <f t="shared" si="80"/>
        <v>0</v>
      </c>
      <c r="BN46" s="241" t="e">
        <f t="shared" si="81"/>
        <v>#REF!</v>
      </c>
      <c r="BO46" s="240">
        <f t="shared" si="82"/>
        <v>0</v>
      </c>
      <c r="BP46" s="241" t="e">
        <f t="shared" si="83"/>
        <v>#REF!</v>
      </c>
      <c r="BQ46" s="201">
        <f t="shared" si="84"/>
        <v>0</v>
      </c>
      <c r="BR46" s="204" t="e">
        <f t="shared" si="85"/>
        <v>#REF!</v>
      </c>
      <c r="BS46" s="240">
        <f t="shared" si="37"/>
        <v>0</v>
      </c>
      <c r="BT46" s="253" t="e">
        <f t="shared" si="32"/>
        <v>#REF!</v>
      </c>
      <c r="BU46" s="246" t="e">
        <f t="shared" si="86"/>
        <v>#REF!</v>
      </c>
      <c r="BV46" s="201">
        <f t="shared" si="87"/>
        <v>0</v>
      </c>
      <c r="BW46" s="2"/>
      <c r="BX46" s="33">
        <f t="shared" si="33"/>
        <v>0</v>
      </c>
      <c r="BY46" s="113" t="e">
        <f t="shared" si="34"/>
        <v>#REF!</v>
      </c>
      <c r="BZ46" s="201"/>
      <c r="CA46" s="27">
        <f>+Domestic!B46</f>
        <v>0</v>
      </c>
      <c r="CB46" s="113" t="e">
        <f>+Domestic!#REF!</f>
        <v>#REF!</v>
      </c>
      <c r="CD46" s="27">
        <f t="shared" si="35"/>
        <v>0</v>
      </c>
      <c r="CE46" s="113" t="e">
        <f t="shared" si="36"/>
        <v>#REF!</v>
      </c>
      <c r="DJ46" s="210">
        <v>0</v>
      </c>
      <c r="DK46" s="211">
        <v>0</v>
      </c>
      <c r="DL46" s="200">
        <v>0</v>
      </c>
      <c r="DM46" s="209">
        <v>0</v>
      </c>
      <c r="DN46" s="201">
        <f t="shared" si="88"/>
        <v>0</v>
      </c>
      <c r="DO46" s="201">
        <f t="shared" si="89"/>
        <v>0</v>
      </c>
      <c r="DP46" s="204" t="e">
        <f t="shared" si="90"/>
        <v>#REF!</v>
      </c>
    </row>
    <row r="47" spans="1:122" ht="12.6" customHeight="1">
      <c r="A47" s="145" t="s">
        <v>41</v>
      </c>
      <c r="B47" s="264"/>
      <c r="C47" s="264"/>
      <c r="D47" s="135"/>
      <c r="E47" s="157"/>
      <c r="F47" s="149"/>
      <c r="G47" s="151"/>
      <c r="H47" s="135"/>
      <c r="I47" s="151">
        <f t="shared" si="18"/>
        <v>0</v>
      </c>
      <c r="J47" s="27">
        <f t="shared" si="65"/>
        <v>120</v>
      </c>
      <c r="K47" s="23">
        <f t="shared" si="66"/>
        <v>0</v>
      </c>
      <c r="L47" s="112" t="e">
        <f t="shared" si="67"/>
        <v>#REF!</v>
      </c>
      <c r="M47" s="113" t="e">
        <f t="shared" si="67"/>
        <v>#REF!</v>
      </c>
      <c r="N47" s="26">
        <f>Europe!D47+'Asia-Pacific'!D47+'Rest of world'!D47+'North America'!D47+'Latin America'!D47</f>
        <v>0</v>
      </c>
      <c r="O47" s="23">
        <f t="shared" si="3"/>
        <v>0</v>
      </c>
      <c r="P47" s="112" t="e">
        <f>'North America'!#REF!+Europe!#REF!+'Asia-Pacific'!#REF!+'Rest of world'!#REF!</f>
        <v>#REF!</v>
      </c>
      <c r="Q47" s="26" t="e">
        <f>Europe!#REF!+'Asia-Pacific'!#REF!+'Rest of world'!#REF!+'North America'!#REF!+'Latin America'!#REF!</f>
        <v>#REF!</v>
      </c>
      <c r="R47" s="26">
        <f>Europe!H47+'Asia-Pacific'!H47+'Rest of world'!H47+'North America'!H47+'Latin America'!H47</f>
        <v>0</v>
      </c>
      <c r="S47" s="23">
        <f t="shared" si="4"/>
        <v>0</v>
      </c>
      <c r="T47" s="112" t="e">
        <f>'North America'!#REF!+Europe!#REF!+'Asia-Pacific'!#REF!+'Rest of world'!#REF!</f>
        <v>#REF!</v>
      </c>
      <c r="U47" s="26" t="e">
        <f>Europe!#REF!+'Asia-Pacific'!#REF!+'Rest of world'!#REF!+'North America'!#REF!+'Latin America'!#REF!</f>
        <v>#REF!</v>
      </c>
      <c r="V47" s="26">
        <f>Europe!L47+'Asia-Pacific'!L47+'Rest of world'!L47+'North America'!L47+'Latin America'!L47</f>
        <v>20</v>
      </c>
      <c r="W47" s="23">
        <f t="shared" si="68"/>
        <v>0</v>
      </c>
      <c r="X47" s="112" t="e">
        <f>'North America'!#REF!+Europe!#REF!+'Asia-Pacific'!#REF!+'Rest of world'!#REF!</f>
        <v>#REF!</v>
      </c>
      <c r="Y47" s="26" t="e">
        <f>Europe!#REF!+'Asia-Pacific'!#REF!+'Rest of world'!#REF!+'North America'!#REF!+'Latin America'!#REF!</f>
        <v>#REF!</v>
      </c>
      <c r="Z47" s="26">
        <f>Europe!P47+'Asia-Pacific'!P47+'Rest of world'!P47+'North America'!P47+'Latin America'!P47</f>
        <v>0</v>
      </c>
      <c r="AA47" s="23">
        <f t="shared" si="69"/>
        <v>0</v>
      </c>
      <c r="AB47" s="112" t="e">
        <f>'North America'!#REF!+Europe!#REF!+'Asia-Pacific'!#REF!+'Rest of world'!#REF!</f>
        <v>#REF!</v>
      </c>
      <c r="AC47" s="26" t="e">
        <f>Europe!#REF!+'Asia-Pacific'!#REF!+'Rest of world'!#REF!+'North America'!#REF!+'Latin America'!#REF!</f>
        <v>#REF!</v>
      </c>
      <c r="AD47" s="26">
        <f>Europe!T47+'Asia-Pacific'!T47+'Rest of world'!T47+'North America'!T47+'Latin America'!T47</f>
        <v>20</v>
      </c>
      <c r="AE47" s="23">
        <f t="shared" si="70"/>
        <v>0</v>
      </c>
      <c r="AF47" s="112">
        <f>'North America'!V47+Europe!V47+'Asia-Pacific'!V47+'Rest of world'!V47</f>
        <v>0</v>
      </c>
      <c r="AG47" s="26">
        <f>Europe!W47+'Asia-Pacific'!W47+'Rest of world'!W47+'North America'!W47+'Latin America'!W47</f>
        <v>0</v>
      </c>
      <c r="AH47" s="26">
        <f>Europe!X47+'Asia-Pacific'!X47+'Rest of world'!X47+'North America'!X47+'Latin America'!X47</f>
        <v>0</v>
      </c>
      <c r="AI47" s="23">
        <f t="shared" si="71"/>
        <v>0</v>
      </c>
      <c r="AJ47" s="112" t="e">
        <f>'North America'!Z47+Europe!Z47+'Asia-Pacific'!Z47+'Rest of world'!#REF!</f>
        <v>#REF!</v>
      </c>
      <c r="AK47" s="26">
        <f>Europe!AA47+'Asia-Pacific'!AA47+'Rest of world'!AA47+'North America'!AA47+'Latin America'!AA47</f>
        <v>0.46128139200000001</v>
      </c>
      <c r="AL47" s="26">
        <f>Europe!AB47+'Asia-Pacific'!AB47+'Rest of world'!AB47+'North America'!AB47+'Latin America'!AB47</f>
        <v>20</v>
      </c>
      <c r="AM47" s="23">
        <f t="shared" si="72"/>
        <v>0</v>
      </c>
      <c r="AN47" s="112" t="e">
        <f>'North America'!#REF!+Europe!#REF!+'Asia-Pacific'!#REF!+'Rest of world'!#REF!</f>
        <v>#REF!</v>
      </c>
      <c r="AO47" s="26" t="e">
        <f>Europe!#REF!+'Asia-Pacific'!#REF!+'Rest of world'!#REF!+'North America'!#REF!+'Latin America'!#REF!</f>
        <v>#REF!</v>
      </c>
      <c r="AP47" s="26">
        <f>Europe!AF47+'Asia-Pacific'!AF47+'Rest of world'!AF47+'North America'!AF47+'Latin America'!AF47</f>
        <v>0</v>
      </c>
      <c r="AQ47" s="23">
        <f t="shared" si="73"/>
        <v>0</v>
      </c>
      <c r="AR47" s="112" t="e">
        <f>'North America'!#REF!+Europe!#REF!+'Asia-Pacific'!#REF!+'Rest of world'!#REF!</f>
        <v>#REF!</v>
      </c>
      <c r="AS47" s="26" t="e">
        <f>Europe!#REF!+'Asia-Pacific'!#REF!+'Rest of world'!#REF!+'North America'!#REF!+'Latin America'!#REF!</f>
        <v>#REF!</v>
      </c>
      <c r="AT47" s="26">
        <f>Europe!AJ47+'Asia-Pacific'!AJ47+'Rest of world'!AJ47+'North America'!AJ47+'Latin America'!AJ47</f>
        <v>20</v>
      </c>
      <c r="AU47" s="23">
        <f t="shared" si="74"/>
        <v>0</v>
      </c>
      <c r="AV47" s="112" t="e">
        <f>'North America'!#REF!+Europe!#REF!+'Asia-Pacific'!#REF!+'Rest of world'!#REF!</f>
        <v>#REF!</v>
      </c>
      <c r="AW47" s="26" t="e">
        <f>Europe!#REF!+'Asia-Pacific'!#REF!+'Rest of world'!#REF!+'North America'!#REF!+'Latin America'!#REF!</f>
        <v>#REF!</v>
      </c>
      <c r="AX47" s="26">
        <f>Europe!AN47+'Asia-Pacific'!AN47+'Rest of world'!AN47+'North America'!AN47+'Latin America'!AN47</f>
        <v>20</v>
      </c>
      <c r="AY47" s="23">
        <f t="shared" si="75"/>
        <v>0</v>
      </c>
      <c r="AZ47" s="112" t="e">
        <f>'North America'!#REF!+Europe!#REF!+'Asia-Pacific'!#REF!+'Rest of world'!#REF!</f>
        <v>#REF!</v>
      </c>
      <c r="BA47" s="26" t="e">
        <f>Europe!#REF!+'Asia-Pacific'!#REF!+'Rest of world'!#REF!+'North America'!#REF!+'Latin America'!#REF!</f>
        <v>#REF!</v>
      </c>
      <c r="BB47" s="26">
        <f>Europe!AR47+'Asia-Pacific'!AR47+'Rest of world'!AR47+'North America'!AR47+'Latin America'!AR47</f>
        <v>0</v>
      </c>
      <c r="BC47" s="23">
        <f t="shared" si="76"/>
        <v>0</v>
      </c>
      <c r="BD47" s="112" t="e">
        <f>'North America'!#REF!+Europe!#REF!+'Asia-Pacific'!#REF!+'Rest of world'!#REF!</f>
        <v>#REF!</v>
      </c>
      <c r="BE47" s="26" t="e">
        <f>Europe!#REF!+'Asia-Pacific'!#REF!+'Rest of world'!#REF!+'North America'!#REF!+'Latin America'!#REF!</f>
        <v>#REF!</v>
      </c>
      <c r="BF47" s="26">
        <f>Europe!AV47+'Asia-Pacific'!AV47+'Rest of world'!AV47+'North America'!AV47+'Latin America'!AV47</f>
        <v>20</v>
      </c>
      <c r="BG47" s="23">
        <f t="shared" si="77"/>
        <v>0</v>
      </c>
      <c r="BH47" s="112" t="e">
        <f>'North America'!#REF!+Europe!#REF!+'Asia-Pacific'!#REF!+'Rest of world'!#REF!</f>
        <v>#REF!</v>
      </c>
      <c r="BI47" s="26" t="e">
        <f>Europe!#REF!+'Asia-Pacific'!#REF!+'Rest of world'!#REF!+'North America'!#REF!+'Latin America'!#REF!</f>
        <v>#REF!</v>
      </c>
      <c r="BK47" s="240">
        <f t="shared" si="78"/>
        <v>20</v>
      </c>
      <c r="BL47" s="241" t="e">
        <f t="shared" si="79"/>
        <v>#REF!</v>
      </c>
      <c r="BM47" s="240">
        <f t="shared" si="80"/>
        <v>20</v>
      </c>
      <c r="BN47" s="241" t="e">
        <f t="shared" si="81"/>
        <v>#REF!</v>
      </c>
      <c r="BO47" s="240">
        <f t="shared" si="82"/>
        <v>40</v>
      </c>
      <c r="BP47" s="241" t="e">
        <f t="shared" si="83"/>
        <v>#REF!</v>
      </c>
      <c r="BQ47" s="201">
        <f t="shared" si="84"/>
        <v>40</v>
      </c>
      <c r="BR47" s="204" t="e">
        <f t="shared" si="85"/>
        <v>#REF!</v>
      </c>
      <c r="BS47" s="240">
        <f t="shared" si="37"/>
        <v>120</v>
      </c>
      <c r="BT47" s="253" t="e">
        <f t="shared" si="32"/>
        <v>#REF!</v>
      </c>
      <c r="BU47" s="246" t="e">
        <f t="shared" si="86"/>
        <v>#REF!</v>
      </c>
      <c r="BV47" s="201">
        <f t="shared" si="87"/>
        <v>0</v>
      </c>
      <c r="BW47" s="2"/>
      <c r="BX47" s="33">
        <f t="shared" si="33"/>
        <v>120</v>
      </c>
      <c r="BY47" s="113" t="e">
        <f t="shared" si="34"/>
        <v>#REF!</v>
      </c>
      <c r="BZ47" s="201"/>
      <c r="CA47" s="27">
        <f>+Domestic!B47</f>
        <v>1200</v>
      </c>
      <c r="CB47" s="113" t="e">
        <f>+Domestic!#REF!</f>
        <v>#REF!</v>
      </c>
      <c r="CD47" s="27">
        <f t="shared" si="35"/>
        <v>1320</v>
      </c>
      <c r="CE47" s="113" t="e">
        <f t="shared" si="36"/>
        <v>#REF!</v>
      </c>
      <c r="DJ47" s="210">
        <v>0</v>
      </c>
      <c r="DK47" s="211">
        <v>0</v>
      </c>
      <c r="DL47" s="200">
        <v>0</v>
      </c>
      <c r="DM47" s="209">
        <v>0</v>
      </c>
      <c r="DN47" s="201">
        <f t="shared" si="88"/>
        <v>120</v>
      </c>
      <c r="DO47" s="201">
        <f t="shared" si="89"/>
        <v>0</v>
      </c>
      <c r="DP47" s="204" t="e">
        <f t="shared" si="90"/>
        <v>#REF!</v>
      </c>
    </row>
    <row r="48" spans="1:122" ht="12.6" customHeight="1">
      <c r="A48" s="145" t="s">
        <v>52</v>
      </c>
      <c r="B48" s="264"/>
      <c r="C48" s="264"/>
      <c r="D48" s="135"/>
      <c r="E48" s="157"/>
      <c r="F48" s="149"/>
      <c r="G48" s="151"/>
      <c r="H48" s="135"/>
      <c r="I48" s="151">
        <f t="shared" si="18"/>
        <v>0</v>
      </c>
      <c r="J48" s="27">
        <f t="shared" si="65"/>
        <v>0</v>
      </c>
      <c r="K48" s="23">
        <f t="shared" si="66"/>
        <v>0</v>
      </c>
      <c r="L48" s="112" t="e">
        <f t="shared" si="67"/>
        <v>#REF!</v>
      </c>
      <c r="M48" s="113" t="e">
        <f t="shared" si="67"/>
        <v>#REF!</v>
      </c>
      <c r="N48" s="26">
        <f>Europe!D48+'Asia-Pacific'!D48+'Rest of world'!D48+'North America'!D48+'Latin America'!D48</f>
        <v>0</v>
      </c>
      <c r="O48" s="23">
        <f t="shared" si="3"/>
        <v>0</v>
      </c>
      <c r="P48" s="112" t="e">
        <f>'North America'!#REF!+Europe!#REF!+'Asia-Pacific'!#REF!+'Rest of world'!#REF!</f>
        <v>#REF!</v>
      </c>
      <c r="Q48" s="26" t="e">
        <f>Europe!#REF!+'Asia-Pacific'!#REF!+'Rest of world'!#REF!+'North America'!#REF!+'Latin America'!#REF!</f>
        <v>#REF!</v>
      </c>
      <c r="R48" s="26">
        <f>Europe!H48+'Asia-Pacific'!H48+'Rest of world'!H48+'North America'!H48+'Latin America'!H48</f>
        <v>0</v>
      </c>
      <c r="S48" s="23">
        <f t="shared" si="4"/>
        <v>0</v>
      </c>
      <c r="T48" s="112" t="e">
        <f>'North America'!#REF!+Europe!#REF!+'Asia-Pacific'!#REF!+'Rest of world'!#REF!</f>
        <v>#REF!</v>
      </c>
      <c r="U48" s="26" t="e">
        <f>Europe!#REF!+'Asia-Pacific'!#REF!+'Rest of world'!#REF!+'North America'!#REF!+'Latin America'!#REF!</f>
        <v>#REF!</v>
      </c>
      <c r="V48" s="26">
        <f>Europe!L48+'Asia-Pacific'!L48+'Rest of world'!L48+'North America'!L48+'Latin America'!L48</f>
        <v>0</v>
      </c>
      <c r="W48" s="23">
        <f t="shared" si="68"/>
        <v>0</v>
      </c>
      <c r="X48" s="112" t="e">
        <f>'North America'!#REF!+Europe!#REF!+'Asia-Pacific'!#REF!+'Rest of world'!#REF!</f>
        <v>#REF!</v>
      </c>
      <c r="Y48" s="26" t="e">
        <f>Europe!#REF!+'Asia-Pacific'!#REF!+'Rest of world'!#REF!+'North America'!#REF!+'Latin America'!#REF!</f>
        <v>#REF!</v>
      </c>
      <c r="Z48" s="26">
        <f>Europe!P48+'Asia-Pacific'!P48+'Rest of world'!P48+'North America'!P48+'Latin America'!P48</f>
        <v>0</v>
      </c>
      <c r="AA48" s="23">
        <f t="shared" si="69"/>
        <v>0</v>
      </c>
      <c r="AB48" s="112" t="e">
        <f>'North America'!#REF!+Europe!#REF!+'Asia-Pacific'!#REF!+'Rest of world'!#REF!</f>
        <v>#REF!</v>
      </c>
      <c r="AC48" s="26" t="e">
        <f>Europe!#REF!+'Asia-Pacific'!#REF!+'Rest of world'!#REF!+'North America'!#REF!+'Latin America'!#REF!</f>
        <v>#REF!</v>
      </c>
      <c r="AD48" s="26">
        <f>Europe!T48+'Asia-Pacific'!T48+'Rest of world'!T48+'North America'!T48+'Latin America'!T48</f>
        <v>0</v>
      </c>
      <c r="AE48" s="23">
        <f t="shared" si="70"/>
        <v>0</v>
      </c>
      <c r="AF48" s="112">
        <f>'North America'!V48+Europe!V48+'Asia-Pacific'!V48+'Rest of world'!V48</f>
        <v>0</v>
      </c>
      <c r="AG48" s="26">
        <f>Europe!W48+'Asia-Pacific'!W48+'Rest of world'!W48+'North America'!W48+'Latin America'!W48</f>
        <v>0</v>
      </c>
      <c r="AH48" s="26">
        <f>Europe!X48+'Asia-Pacific'!X48+'Rest of world'!X48+'North America'!X48+'Latin America'!X48</f>
        <v>0</v>
      </c>
      <c r="AI48" s="23">
        <f t="shared" si="71"/>
        <v>0</v>
      </c>
      <c r="AJ48" s="112" t="e">
        <f>'North America'!Z48+Europe!Z48+'Asia-Pacific'!Z48+'Rest of world'!#REF!</f>
        <v>#REF!</v>
      </c>
      <c r="AK48" s="26">
        <f>Europe!AA48+'Asia-Pacific'!AA48+'Rest of world'!AA48+'North America'!AA48+'Latin America'!AA48</f>
        <v>0</v>
      </c>
      <c r="AL48" s="26">
        <f>Europe!AB48+'Asia-Pacific'!AB48+'Rest of world'!AB48+'North America'!AB48+'Latin America'!AB48</f>
        <v>0</v>
      </c>
      <c r="AM48" s="23">
        <f t="shared" si="72"/>
        <v>0</v>
      </c>
      <c r="AN48" s="112" t="e">
        <f>'North America'!#REF!+Europe!#REF!+'Asia-Pacific'!#REF!+'Rest of world'!#REF!</f>
        <v>#REF!</v>
      </c>
      <c r="AO48" s="26" t="e">
        <f>Europe!#REF!+'Asia-Pacific'!#REF!+'Rest of world'!#REF!+'North America'!#REF!+'Latin America'!#REF!</f>
        <v>#REF!</v>
      </c>
      <c r="AP48" s="26">
        <f>Europe!AF48+'Asia-Pacific'!AF48+'Rest of world'!AF48+'North America'!AF48+'Latin America'!AF48</f>
        <v>0</v>
      </c>
      <c r="AQ48" s="23">
        <f t="shared" si="73"/>
        <v>0</v>
      </c>
      <c r="AR48" s="112" t="e">
        <f>'North America'!#REF!+Europe!#REF!+'Asia-Pacific'!#REF!+'Rest of world'!#REF!</f>
        <v>#REF!</v>
      </c>
      <c r="AS48" s="26" t="e">
        <f>Europe!#REF!+'Asia-Pacific'!#REF!+'Rest of world'!#REF!+'North America'!#REF!+'Latin America'!#REF!</f>
        <v>#REF!</v>
      </c>
      <c r="AT48" s="26">
        <f>Europe!AJ48+'Asia-Pacific'!AJ48+'Rest of world'!AJ48+'North America'!AJ48+'Latin America'!AJ48</f>
        <v>0</v>
      </c>
      <c r="AU48" s="23">
        <f t="shared" si="74"/>
        <v>0</v>
      </c>
      <c r="AV48" s="112" t="e">
        <f>'North America'!#REF!+Europe!#REF!+'Asia-Pacific'!#REF!+'Rest of world'!#REF!</f>
        <v>#REF!</v>
      </c>
      <c r="AW48" s="26" t="e">
        <f>Europe!#REF!+'Asia-Pacific'!#REF!+'Rest of world'!#REF!+'North America'!#REF!+'Latin America'!#REF!</f>
        <v>#REF!</v>
      </c>
      <c r="AX48" s="26">
        <f>Europe!AN48+'Asia-Pacific'!AN48+'Rest of world'!AN48+'North America'!AN48+'Latin America'!AN48</f>
        <v>0</v>
      </c>
      <c r="AY48" s="23">
        <f t="shared" si="75"/>
        <v>0</v>
      </c>
      <c r="AZ48" s="112" t="e">
        <f>'North America'!#REF!+Europe!#REF!+'Asia-Pacific'!#REF!+'Rest of world'!#REF!</f>
        <v>#REF!</v>
      </c>
      <c r="BA48" s="26" t="e">
        <f>Europe!#REF!+'Asia-Pacific'!#REF!+'Rest of world'!#REF!+'North America'!#REF!+'Latin America'!#REF!</f>
        <v>#REF!</v>
      </c>
      <c r="BB48" s="26">
        <f>Europe!AR48+'Asia-Pacific'!AR48+'Rest of world'!AR48+'North America'!AR48+'Latin America'!AR48</f>
        <v>0</v>
      </c>
      <c r="BC48" s="23">
        <f t="shared" si="76"/>
        <v>0</v>
      </c>
      <c r="BD48" s="112" t="e">
        <f>'North America'!#REF!+Europe!#REF!+'Asia-Pacific'!#REF!+'Rest of world'!#REF!</f>
        <v>#REF!</v>
      </c>
      <c r="BE48" s="26" t="e">
        <f>Europe!#REF!+'Asia-Pacific'!#REF!+'Rest of world'!#REF!+'North America'!#REF!+'Latin America'!#REF!</f>
        <v>#REF!</v>
      </c>
      <c r="BF48" s="26">
        <f>Europe!AV48+'Asia-Pacific'!AV48+'Rest of world'!AV48+'North America'!AV48+'Latin America'!AV48</f>
        <v>0</v>
      </c>
      <c r="BG48" s="23">
        <f t="shared" si="77"/>
        <v>0</v>
      </c>
      <c r="BH48" s="112" t="e">
        <f>'North America'!#REF!+Europe!#REF!+'Asia-Pacific'!#REF!+'Rest of world'!#REF!</f>
        <v>#REF!</v>
      </c>
      <c r="BI48" s="26" t="e">
        <f>Europe!#REF!+'Asia-Pacific'!#REF!+'Rest of world'!#REF!+'North America'!#REF!+'Latin America'!#REF!</f>
        <v>#REF!</v>
      </c>
      <c r="BK48" s="240">
        <f t="shared" si="78"/>
        <v>0</v>
      </c>
      <c r="BL48" s="241" t="e">
        <f t="shared" si="79"/>
        <v>#REF!</v>
      </c>
      <c r="BM48" s="240">
        <f t="shared" si="80"/>
        <v>0</v>
      </c>
      <c r="BN48" s="241" t="e">
        <f t="shared" si="81"/>
        <v>#REF!</v>
      </c>
      <c r="BO48" s="240">
        <f t="shared" si="82"/>
        <v>0</v>
      </c>
      <c r="BP48" s="241" t="e">
        <f t="shared" si="83"/>
        <v>#REF!</v>
      </c>
      <c r="BQ48" s="201">
        <f t="shared" si="84"/>
        <v>0</v>
      </c>
      <c r="BR48" s="204" t="e">
        <f t="shared" si="85"/>
        <v>#REF!</v>
      </c>
      <c r="BS48" s="240">
        <f t="shared" si="37"/>
        <v>0</v>
      </c>
      <c r="BT48" s="253" t="e">
        <f t="shared" si="32"/>
        <v>#REF!</v>
      </c>
      <c r="BU48" s="246" t="e">
        <f t="shared" si="86"/>
        <v>#REF!</v>
      </c>
      <c r="BV48" s="201">
        <f t="shared" si="87"/>
        <v>0</v>
      </c>
      <c r="BW48" s="2"/>
      <c r="BX48" s="33">
        <f t="shared" si="33"/>
        <v>0</v>
      </c>
      <c r="BY48" s="113" t="e">
        <f t="shared" si="34"/>
        <v>#REF!</v>
      </c>
      <c r="BZ48" s="201"/>
      <c r="CA48" s="27">
        <f>+Domestic!B48</f>
        <v>0</v>
      </c>
      <c r="CB48" s="113" t="e">
        <f>+Domestic!#REF!</f>
        <v>#REF!</v>
      </c>
      <c r="CD48" s="27">
        <f t="shared" si="35"/>
        <v>0</v>
      </c>
      <c r="CE48" s="113" t="e">
        <f t="shared" si="36"/>
        <v>#REF!</v>
      </c>
      <c r="CZ48" s="201">
        <f>BK48-CV48</f>
        <v>0</v>
      </c>
      <c r="DA48" s="201">
        <f>BM48-CW48</f>
        <v>0</v>
      </c>
      <c r="DB48" s="201">
        <f>BO48-CX48</f>
        <v>0</v>
      </c>
      <c r="DC48" s="201">
        <f>BQ48-CY48</f>
        <v>0</v>
      </c>
      <c r="DJ48" s="210">
        <v>11000</v>
      </c>
      <c r="DK48" s="211">
        <v>1802.0272727272725</v>
      </c>
      <c r="DL48" s="200">
        <v>19.822299999999998</v>
      </c>
      <c r="DM48" s="209">
        <v>89.20035</v>
      </c>
      <c r="DN48" s="201">
        <f t="shared" si="88"/>
        <v>-11000</v>
      </c>
      <c r="DO48" s="201">
        <f t="shared" si="89"/>
        <v>-1802.0272727272725</v>
      </c>
      <c r="DP48" s="204" t="e">
        <f t="shared" si="90"/>
        <v>#REF!</v>
      </c>
    </row>
    <row r="49" spans="1:120" ht="12.6" customHeight="1">
      <c r="A49" s="145" t="s">
        <v>42</v>
      </c>
      <c r="B49" s="264"/>
      <c r="C49" s="264"/>
      <c r="D49" s="135"/>
      <c r="E49" s="157"/>
      <c r="F49" s="149"/>
      <c r="G49" s="151"/>
      <c r="H49" s="135"/>
      <c r="I49" s="151">
        <f t="shared" si="18"/>
        <v>0</v>
      </c>
      <c r="J49" s="27">
        <f t="shared" si="65"/>
        <v>0</v>
      </c>
      <c r="K49" s="23">
        <f t="shared" si="66"/>
        <v>0</v>
      </c>
      <c r="L49" s="112" t="e">
        <f t="shared" si="67"/>
        <v>#REF!</v>
      </c>
      <c r="M49" s="113" t="e">
        <f t="shared" si="67"/>
        <v>#REF!</v>
      </c>
      <c r="N49" s="26">
        <f>Europe!D49+'Asia-Pacific'!D49+'Rest of world'!D49+'North America'!D49+'Latin America'!D49</f>
        <v>0</v>
      </c>
      <c r="O49" s="23">
        <f t="shared" si="3"/>
        <v>0</v>
      </c>
      <c r="P49" s="112" t="e">
        <f>'North America'!#REF!+Europe!#REF!+'Asia-Pacific'!#REF!+'Rest of world'!#REF!</f>
        <v>#REF!</v>
      </c>
      <c r="Q49" s="26" t="e">
        <f>Europe!#REF!+'Asia-Pacific'!#REF!+'Rest of world'!#REF!+'North America'!#REF!+'Latin America'!#REF!</f>
        <v>#REF!</v>
      </c>
      <c r="R49" s="26">
        <f>Europe!H49+'Asia-Pacific'!H49+'Rest of world'!H49+'North America'!H49+'Latin America'!H49</f>
        <v>0</v>
      </c>
      <c r="S49" s="23">
        <f t="shared" si="4"/>
        <v>0</v>
      </c>
      <c r="T49" s="112" t="e">
        <f>'North America'!#REF!+Europe!#REF!+'Asia-Pacific'!#REF!+'Rest of world'!#REF!</f>
        <v>#REF!</v>
      </c>
      <c r="U49" s="26" t="e">
        <f>Europe!#REF!+'Asia-Pacific'!#REF!+'Rest of world'!#REF!+'North America'!#REF!+'Latin America'!#REF!</f>
        <v>#REF!</v>
      </c>
      <c r="V49" s="26">
        <f>Europe!L49+'Asia-Pacific'!L49+'Rest of world'!L49+'North America'!L49+'Latin America'!L49</f>
        <v>0</v>
      </c>
      <c r="W49" s="23">
        <f t="shared" si="68"/>
        <v>0</v>
      </c>
      <c r="X49" s="112" t="e">
        <f>'North America'!#REF!+Europe!#REF!+'Asia-Pacific'!#REF!+'Rest of world'!#REF!</f>
        <v>#REF!</v>
      </c>
      <c r="Y49" s="26" t="e">
        <f>Europe!#REF!+'Asia-Pacific'!#REF!+'Rest of world'!#REF!+'North America'!#REF!+'Latin America'!#REF!</f>
        <v>#REF!</v>
      </c>
      <c r="Z49" s="26">
        <f>Europe!P49+'Asia-Pacific'!P49+'Rest of world'!P49+'North America'!P49+'Latin America'!P49</f>
        <v>0</v>
      </c>
      <c r="AA49" s="23">
        <f t="shared" si="69"/>
        <v>0</v>
      </c>
      <c r="AB49" s="112" t="e">
        <f>'North America'!#REF!+Europe!#REF!+'Asia-Pacific'!#REF!+'Rest of world'!#REF!</f>
        <v>#REF!</v>
      </c>
      <c r="AC49" s="26" t="e">
        <f>Europe!#REF!+'Asia-Pacific'!#REF!+'Rest of world'!#REF!+'North America'!#REF!+'Latin America'!#REF!</f>
        <v>#REF!</v>
      </c>
      <c r="AD49" s="26">
        <f>Europe!T49+'Asia-Pacific'!T49+'Rest of world'!T49+'North America'!T49+'Latin America'!T49</f>
        <v>0</v>
      </c>
      <c r="AE49" s="23">
        <f t="shared" si="70"/>
        <v>0</v>
      </c>
      <c r="AF49" s="112">
        <f>'North America'!V49+Europe!V49+'Asia-Pacific'!V49+'Rest of world'!V49</f>
        <v>0</v>
      </c>
      <c r="AG49" s="26">
        <f>Europe!W49+'Asia-Pacific'!W49+'Rest of world'!W49+'North America'!W49+'Latin America'!W49</f>
        <v>0</v>
      </c>
      <c r="AH49" s="26">
        <f>Europe!X49+'Asia-Pacific'!X49+'Rest of world'!X49+'North America'!X49+'Latin America'!X49</f>
        <v>0</v>
      </c>
      <c r="AI49" s="23">
        <f t="shared" si="71"/>
        <v>0</v>
      </c>
      <c r="AJ49" s="112" t="e">
        <f>'North America'!Z49+Europe!Z49+'Asia-Pacific'!Z49+'Rest of world'!#REF!</f>
        <v>#REF!</v>
      </c>
      <c r="AK49" s="26">
        <f>Europe!AA49+'Asia-Pacific'!AA49+'Rest of world'!AA49+'North America'!AA49+'Latin America'!AA49</f>
        <v>0</v>
      </c>
      <c r="AL49" s="26">
        <f>Europe!AB49+'Asia-Pacific'!AB49+'Rest of world'!AB49+'North America'!AB49+'Latin America'!AB49</f>
        <v>0</v>
      </c>
      <c r="AM49" s="23">
        <f t="shared" si="72"/>
        <v>0</v>
      </c>
      <c r="AN49" s="112" t="e">
        <f>'North America'!#REF!+Europe!#REF!+'Asia-Pacific'!#REF!+'Rest of world'!#REF!</f>
        <v>#REF!</v>
      </c>
      <c r="AO49" s="26" t="e">
        <f>Europe!#REF!+'Asia-Pacific'!#REF!+'Rest of world'!#REF!+'North America'!#REF!+'Latin America'!#REF!</f>
        <v>#REF!</v>
      </c>
      <c r="AP49" s="26">
        <f>Europe!AF49+'Asia-Pacific'!AF49+'Rest of world'!AF49+'North America'!AF49+'Latin America'!AF49</f>
        <v>0</v>
      </c>
      <c r="AQ49" s="23">
        <f t="shared" si="73"/>
        <v>0</v>
      </c>
      <c r="AR49" s="112" t="e">
        <f>'North America'!#REF!+Europe!#REF!+'Asia-Pacific'!#REF!+'Rest of world'!#REF!</f>
        <v>#REF!</v>
      </c>
      <c r="AS49" s="26" t="e">
        <f>Europe!#REF!+'Asia-Pacific'!#REF!+'Rest of world'!#REF!+'North America'!#REF!+'Latin America'!#REF!</f>
        <v>#REF!</v>
      </c>
      <c r="AT49" s="26">
        <f>Europe!AJ49+'Asia-Pacific'!AJ49+'Rest of world'!AJ49+'North America'!AJ49+'Latin America'!AJ49</f>
        <v>0</v>
      </c>
      <c r="AU49" s="23">
        <f t="shared" si="74"/>
        <v>0</v>
      </c>
      <c r="AV49" s="112" t="e">
        <f>'North America'!#REF!+Europe!#REF!+'Asia-Pacific'!#REF!+'Rest of world'!#REF!</f>
        <v>#REF!</v>
      </c>
      <c r="AW49" s="26" t="e">
        <f>Europe!#REF!+'Asia-Pacific'!#REF!+'Rest of world'!#REF!+'North America'!#REF!+'Latin America'!#REF!</f>
        <v>#REF!</v>
      </c>
      <c r="AX49" s="26">
        <f>Europe!AN49+'Asia-Pacific'!AN49+'Rest of world'!AN49+'North America'!AN49+'Latin America'!AN49</f>
        <v>0</v>
      </c>
      <c r="AY49" s="23">
        <f t="shared" si="75"/>
        <v>0</v>
      </c>
      <c r="AZ49" s="112" t="e">
        <f>'North America'!#REF!+Europe!#REF!+'Asia-Pacific'!#REF!+'Rest of world'!#REF!</f>
        <v>#REF!</v>
      </c>
      <c r="BA49" s="26" t="e">
        <f>Europe!#REF!+'Asia-Pacific'!#REF!+'Rest of world'!#REF!+'North America'!#REF!+'Latin America'!#REF!</f>
        <v>#REF!</v>
      </c>
      <c r="BB49" s="26">
        <f>Europe!AR49+'Asia-Pacific'!AR49+'Rest of world'!AR49+'North America'!AR49+'Latin America'!AR49</f>
        <v>0</v>
      </c>
      <c r="BC49" s="23">
        <f t="shared" si="76"/>
        <v>0</v>
      </c>
      <c r="BD49" s="112" t="e">
        <f>'North America'!#REF!+Europe!#REF!+'Asia-Pacific'!#REF!+'Rest of world'!#REF!</f>
        <v>#REF!</v>
      </c>
      <c r="BE49" s="26" t="e">
        <f>Europe!#REF!+'Asia-Pacific'!#REF!+'Rest of world'!#REF!+'North America'!#REF!+'Latin America'!#REF!</f>
        <v>#REF!</v>
      </c>
      <c r="BF49" s="26">
        <f>Europe!AV49+'Asia-Pacific'!AV49+'Rest of world'!AV49+'North America'!AV49+'Latin America'!AV49</f>
        <v>0</v>
      </c>
      <c r="BG49" s="23">
        <f t="shared" si="77"/>
        <v>0</v>
      </c>
      <c r="BH49" s="112" t="e">
        <f>'North America'!#REF!+Europe!#REF!+'Asia-Pacific'!#REF!+'Rest of world'!#REF!</f>
        <v>#REF!</v>
      </c>
      <c r="BI49" s="26" t="e">
        <f>Europe!#REF!+'Asia-Pacific'!#REF!+'Rest of world'!#REF!+'North America'!#REF!+'Latin America'!#REF!</f>
        <v>#REF!</v>
      </c>
      <c r="BK49" s="240">
        <f t="shared" si="78"/>
        <v>0</v>
      </c>
      <c r="BL49" s="241" t="e">
        <f t="shared" si="79"/>
        <v>#REF!</v>
      </c>
      <c r="BM49" s="240">
        <f t="shared" si="80"/>
        <v>0</v>
      </c>
      <c r="BN49" s="241" t="e">
        <f t="shared" si="81"/>
        <v>#REF!</v>
      </c>
      <c r="BO49" s="240">
        <f t="shared" si="82"/>
        <v>0</v>
      </c>
      <c r="BP49" s="241" t="e">
        <f t="shared" si="83"/>
        <v>#REF!</v>
      </c>
      <c r="BQ49" s="201">
        <f t="shared" si="84"/>
        <v>0</v>
      </c>
      <c r="BR49" s="204" t="e">
        <f t="shared" si="85"/>
        <v>#REF!</v>
      </c>
      <c r="BS49" s="240">
        <f t="shared" si="37"/>
        <v>0</v>
      </c>
      <c r="BT49" s="253" t="e">
        <f t="shared" si="32"/>
        <v>#REF!</v>
      </c>
      <c r="BU49" s="246" t="e">
        <f t="shared" si="86"/>
        <v>#REF!</v>
      </c>
      <c r="BV49" s="201">
        <f t="shared" si="87"/>
        <v>0</v>
      </c>
      <c r="BW49" s="2"/>
      <c r="BX49" s="33">
        <f t="shared" si="33"/>
        <v>0</v>
      </c>
      <c r="BY49" s="113" t="e">
        <f t="shared" si="34"/>
        <v>#REF!</v>
      </c>
      <c r="BZ49" s="201"/>
      <c r="CA49" s="27">
        <f>+Domestic!B49</f>
        <v>0</v>
      </c>
      <c r="CB49" s="113" t="e">
        <f>+Domestic!#REF!</f>
        <v>#REF!</v>
      </c>
      <c r="CD49" s="27">
        <f t="shared" si="35"/>
        <v>0</v>
      </c>
      <c r="CE49" s="113" t="e">
        <f t="shared" si="36"/>
        <v>#REF!</v>
      </c>
      <c r="DJ49" s="210">
        <v>0</v>
      </c>
      <c r="DK49" s="211">
        <v>0</v>
      </c>
      <c r="DL49" s="200">
        <v>0</v>
      </c>
      <c r="DM49" s="209">
        <v>0</v>
      </c>
      <c r="DN49" s="201">
        <f t="shared" si="88"/>
        <v>0</v>
      </c>
      <c r="DO49" s="201">
        <f t="shared" si="89"/>
        <v>0</v>
      </c>
      <c r="DP49" s="204" t="e">
        <f t="shared" si="90"/>
        <v>#REF!</v>
      </c>
    </row>
    <row r="50" spans="1:120" ht="12.6" customHeight="1">
      <c r="A50" s="145" t="s">
        <v>127</v>
      </c>
      <c r="B50" s="264"/>
      <c r="C50" s="264"/>
      <c r="D50" s="135"/>
      <c r="E50" s="157"/>
      <c r="F50" s="149"/>
      <c r="G50" s="151"/>
      <c r="H50" s="135"/>
      <c r="I50" s="151">
        <f t="shared" si="18"/>
        <v>0</v>
      </c>
      <c r="J50" s="27">
        <f>N50+R50+V50+Z50+AD50+AH50+AL50+AP50+AT50+AX50+BB50+BF50</f>
        <v>0</v>
      </c>
      <c r="K50" s="23">
        <f>IF(ISERROR(L50/J50*1000000),0,(L50/J50*1000000))</f>
        <v>0</v>
      </c>
      <c r="L50" s="112" t="e">
        <f>P50+T50+X50+AB50+AF50+AJ50+AN50+AR50+AV50+AZ50+BD50+BH50</f>
        <v>#REF!</v>
      </c>
      <c r="M50" s="113" t="e">
        <f>Q50+U50+Y50+AC50+AG50+AK50+AO50+AS50+AW50+BA50+BE50+BI50</f>
        <v>#REF!</v>
      </c>
      <c r="N50" s="26">
        <f>Europe!D50+'Asia-Pacific'!D50+'Rest of world'!D50+'North America'!D50+'Latin America'!D50</f>
        <v>0</v>
      </c>
      <c r="O50" s="23">
        <f>IF(ISERROR(P50/N50*1000000),0,(P50/N50*1000000))</f>
        <v>0</v>
      </c>
      <c r="P50" s="112" t="e">
        <f>'North America'!#REF!+Europe!#REF!+'Asia-Pacific'!#REF!+'Rest of world'!#REF!</f>
        <v>#REF!</v>
      </c>
      <c r="Q50" s="26" t="e">
        <f>Europe!#REF!+'Asia-Pacific'!#REF!+'Rest of world'!#REF!+'North America'!#REF!+'Latin America'!#REF!</f>
        <v>#REF!</v>
      </c>
      <c r="R50" s="26">
        <f>Europe!H50+'Asia-Pacific'!H50+'Rest of world'!H50+'North America'!H50+'Latin America'!H50</f>
        <v>0</v>
      </c>
      <c r="S50" s="23">
        <f>IF(ISERROR(T50/R50*1000000),0,(T50/R50*1000000))</f>
        <v>0</v>
      </c>
      <c r="T50" s="112" t="e">
        <f>'North America'!#REF!+Europe!#REF!+'Asia-Pacific'!#REF!+'Rest of world'!#REF!</f>
        <v>#REF!</v>
      </c>
      <c r="U50" s="26" t="e">
        <f>Europe!#REF!+'Asia-Pacific'!#REF!+'Rest of world'!#REF!+'North America'!#REF!+'Latin America'!#REF!</f>
        <v>#REF!</v>
      </c>
      <c r="V50" s="26">
        <f>Europe!L50+'Asia-Pacific'!L50+'Rest of world'!L50+'North America'!L50+'Latin America'!L50</f>
        <v>0</v>
      </c>
      <c r="W50" s="23">
        <f t="shared" si="68"/>
        <v>0</v>
      </c>
      <c r="X50" s="112" t="e">
        <f>'North America'!#REF!+Europe!#REF!+'Asia-Pacific'!#REF!+'Rest of world'!#REF!</f>
        <v>#REF!</v>
      </c>
      <c r="Y50" s="26" t="e">
        <f>Europe!#REF!+'Asia-Pacific'!#REF!+'Rest of world'!#REF!+'North America'!#REF!+'Latin America'!#REF!</f>
        <v>#REF!</v>
      </c>
      <c r="Z50" s="26">
        <f>Europe!P50+'Asia-Pacific'!P50+'Rest of world'!P50+'North America'!P50+'Latin America'!P50</f>
        <v>0</v>
      </c>
      <c r="AA50" s="23">
        <f t="shared" si="69"/>
        <v>0</v>
      </c>
      <c r="AB50" s="112" t="e">
        <f>'North America'!#REF!+Europe!#REF!+'Asia-Pacific'!#REF!+'Rest of world'!#REF!</f>
        <v>#REF!</v>
      </c>
      <c r="AC50" s="26" t="e">
        <f>Europe!#REF!+'Asia-Pacific'!#REF!+'Rest of world'!#REF!+'North America'!#REF!+'Latin America'!#REF!</f>
        <v>#REF!</v>
      </c>
      <c r="AD50" s="26">
        <f>Europe!T50+'Asia-Pacific'!T50+'Rest of world'!T50+'North America'!T50+'Latin America'!T50</f>
        <v>0</v>
      </c>
      <c r="AE50" s="23">
        <f t="shared" si="70"/>
        <v>0</v>
      </c>
      <c r="AF50" s="112">
        <f>'North America'!V50+Europe!V50+'Asia-Pacific'!V50+'Rest of world'!V50</f>
        <v>0</v>
      </c>
      <c r="AG50" s="26">
        <f>Europe!W50+'Asia-Pacific'!W50+'Rest of world'!W50+'North America'!W50+'Latin America'!W50</f>
        <v>0</v>
      </c>
      <c r="AH50" s="26">
        <f>Europe!X50+'Asia-Pacific'!X50+'Rest of world'!X50+'North America'!X50+'Latin America'!X50</f>
        <v>0</v>
      </c>
      <c r="AI50" s="23">
        <f t="shared" si="71"/>
        <v>0</v>
      </c>
      <c r="AJ50" s="112" t="e">
        <f>'North America'!Z50+Europe!Z50+'Asia-Pacific'!Z50+'Rest of world'!#REF!</f>
        <v>#REF!</v>
      </c>
      <c r="AK50" s="26">
        <f>Europe!AA50+'Asia-Pacific'!AA50+'Rest of world'!AA50+'North America'!AA50+'Latin America'!AA50</f>
        <v>0</v>
      </c>
      <c r="AL50" s="26">
        <f>Europe!AB50+'Asia-Pacific'!AB50+'Rest of world'!AB50+'North America'!AB50+'Latin America'!AB50</f>
        <v>0</v>
      </c>
      <c r="AM50" s="23">
        <f t="shared" si="72"/>
        <v>0</v>
      </c>
      <c r="AN50" s="112" t="e">
        <f>'North America'!#REF!+Europe!#REF!+'Asia-Pacific'!#REF!+'Rest of world'!#REF!</f>
        <v>#REF!</v>
      </c>
      <c r="AO50" s="26" t="e">
        <f>Europe!#REF!+'Asia-Pacific'!#REF!+'Rest of world'!#REF!+'North America'!#REF!+'Latin America'!#REF!</f>
        <v>#REF!</v>
      </c>
      <c r="AP50" s="26">
        <f>Europe!AF50+'Asia-Pacific'!AF50+'Rest of world'!AF50+'North America'!AF50+'Latin America'!AF50</f>
        <v>0</v>
      </c>
      <c r="AQ50" s="23">
        <f t="shared" si="73"/>
        <v>0</v>
      </c>
      <c r="AR50" s="112" t="e">
        <f>'North America'!#REF!+Europe!#REF!+'Asia-Pacific'!#REF!+'Rest of world'!#REF!</f>
        <v>#REF!</v>
      </c>
      <c r="AS50" s="26" t="e">
        <f>Europe!#REF!+'Asia-Pacific'!#REF!+'Rest of world'!#REF!+'North America'!#REF!+'Latin America'!#REF!</f>
        <v>#REF!</v>
      </c>
      <c r="AT50" s="26">
        <f>Europe!AJ50+'Asia-Pacific'!AJ50+'Rest of world'!AJ50+'North America'!AJ50+'Latin America'!AJ50</f>
        <v>0</v>
      </c>
      <c r="AU50" s="23">
        <f t="shared" si="74"/>
        <v>0</v>
      </c>
      <c r="AV50" s="112" t="e">
        <f>'North America'!#REF!+Europe!#REF!+'Asia-Pacific'!#REF!+'Rest of world'!#REF!</f>
        <v>#REF!</v>
      </c>
      <c r="AW50" s="26" t="e">
        <f>Europe!#REF!+'Asia-Pacific'!#REF!+'Rest of world'!#REF!+'North America'!#REF!+'Latin America'!#REF!</f>
        <v>#REF!</v>
      </c>
      <c r="AX50" s="26">
        <f>Europe!AN50+'Asia-Pacific'!AN50+'Rest of world'!AN50+'North America'!AN50+'Latin America'!AN50</f>
        <v>0</v>
      </c>
      <c r="AY50" s="23">
        <f t="shared" si="75"/>
        <v>0</v>
      </c>
      <c r="AZ50" s="112" t="e">
        <f>'North America'!#REF!+Europe!#REF!+'Asia-Pacific'!#REF!+'Rest of world'!#REF!</f>
        <v>#REF!</v>
      </c>
      <c r="BA50" s="26" t="e">
        <f>Europe!#REF!+'Asia-Pacific'!#REF!+'Rest of world'!#REF!+'North America'!#REF!+'Latin America'!#REF!</f>
        <v>#REF!</v>
      </c>
      <c r="BB50" s="26">
        <f>Europe!AR50+'Asia-Pacific'!AR50+'Rest of world'!AR50+'North America'!AR50+'Latin America'!AR50</f>
        <v>0</v>
      </c>
      <c r="BC50" s="23">
        <f t="shared" si="76"/>
        <v>0</v>
      </c>
      <c r="BD50" s="112" t="e">
        <f>'North America'!#REF!+Europe!#REF!+'Asia-Pacific'!#REF!+'Rest of world'!#REF!</f>
        <v>#REF!</v>
      </c>
      <c r="BE50" s="26" t="e">
        <f>Europe!#REF!+'Asia-Pacific'!#REF!+'Rest of world'!#REF!+'North America'!#REF!+'Latin America'!#REF!</f>
        <v>#REF!</v>
      </c>
      <c r="BF50" s="26">
        <f>Europe!AV50+'Asia-Pacific'!AV50+'Rest of world'!AV50+'North America'!AV50+'Latin America'!AV50</f>
        <v>0</v>
      </c>
      <c r="BG50" s="23">
        <f t="shared" si="77"/>
        <v>0</v>
      </c>
      <c r="BH50" s="112" t="e">
        <f>'North America'!#REF!+Europe!#REF!+'Asia-Pacific'!#REF!+'Rest of world'!#REF!</f>
        <v>#REF!</v>
      </c>
      <c r="BI50" s="26" t="e">
        <f>Europe!#REF!+'Asia-Pacific'!#REF!+'Rest of world'!#REF!+'North America'!#REF!+'Latin America'!#REF!</f>
        <v>#REF!</v>
      </c>
      <c r="BK50" s="240">
        <f t="shared" si="78"/>
        <v>0</v>
      </c>
      <c r="BL50" s="241" t="e">
        <f t="shared" si="79"/>
        <v>#REF!</v>
      </c>
      <c r="BM50" s="240">
        <f t="shared" si="80"/>
        <v>0</v>
      </c>
      <c r="BN50" s="241" t="e">
        <f t="shared" si="81"/>
        <v>#REF!</v>
      </c>
      <c r="BO50" s="240">
        <f t="shared" si="82"/>
        <v>0</v>
      </c>
      <c r="BP50" s="241" t="e">
        <f t="shared" si="83"/>
        <v>#REF!</v>
      </c>
      <c r="BQ50" s="201">
        <f t="shared" si="84"/>
        <v>0</v>
      </c>
      <c r="BR50" s="204" t="e">
        <f t="shared" si="85"/>
        <v>#REF!</v>
      </c>
      <c r="BS50" s="240">
        <f t="shared" si="37"/>
        <v>0</v>
      </c>
      <c r="BT50" s="253" t="e">
        <f t="shared" si="32"/>
        <v>#REF!</v>
      </c>
      <c r="BU50" s="246" t="e">
        <f t="shared" si="86"/>
        <v>#REF!</v>
      </c>
      <c r="BV50" s="201">
        <f t="shared" si="87"/>
        <v>0</v>
      </c>
      <c r="BW50" s="2"/>
      <c r="BX50" s="33">
        <f t="shared" si="33"/>
        <v>0</v>
      </c>
      <c r="BY50" s="113" t="e">
        <f t="shared" si="34"/>
        <v>#REF!</v>
      </c>
      <c r="BZ50" s="201"/>
      <c r="CA50" s="27">
        <f>+Domestic!B50</f>
        <v>0</v>
      </c>
      <c r="CB50" s="113" t="e">
        <f>+Domestic!#REF!</f>
        <v>#REF!</v>
      </c>
      <c r="CD50" s="27">
        <f t="shared" si="35"/>
        <v>0</v>
      </c>
      <c r="CE50" s="113" t="e">
        <f t="shared" si="36"/>
        <v>#REF!</v>
      </c>
      <c r="DJ50" s="210">
        <v>0</v>
      </c>
      <c r="DK50" s="211">
        <v>0</v>
      </c>
      <c r="DL50" s="200">
        <v>0</v>
      </c>
      <c r="DM50" s="209">
        <v>0</v>
      </c>
      <c r="DN50" s="201">
        <f t="shared" si="88"/>
        <v>0</v>
      </c>
      <c r="DO50" s="201">
        <f t="shared" si="89"/>
        <v>0</v>
      </c>
      <c r="DP50" s="204" t="e">
        <f t="shared" si="90"/>
        <v>#REF!</v>
      </c>
    </row>
    <row r="51" spans="1:120" ht="12.6" customHeight="1">
      <c r="A51" s="160" t="s">
        <v>126</v>
      </c>
      <c r="B51" s="264"/>
      <c r="C51" s="264"/>
      <c r="D51" s="135"/>
      <c r="E51" s="157"/>
      <c r="F51" s="135"/>
      <c r="G51" s="151"/>
      <c r="H51" s="135"/>
      <c r="I51" s="151">
        <f t="shared" si="18"/>
        <v>0</v>
      </c>
      <c r="J51" s="27">
        <f t="shared" si="65"/>
        <v>1200</v>
      </c>
      <c r="K51" s="23">
        <f t="shared" si="66"/>
        <v>0</v>
      </c>
      <c r="L51" s="112" t="e">
        <f t="shared" si="67"/>
        <v>#REF!</v>
      </c>
      <c r="M51" s="113" t="e">
        <f t="shared" si="67"/>
        <v>#REF!</v>
      </c>
      <c r="N51" s="26">
        <f>Europe!D51+'Asia-Pacific'!D51+'Rest of world'!D51+'North America'!D51+'Latin America'!D51</f>
        <v>100</v>
      </c>
      <c r="O51" s="23">
        <f t="shared" si="3"/>
        <v>0</v>
      </c>
      <c r="P51" s="112" t="e">
        <f>'North America'!#REF!+Europe!#REF!+'Asia-Pacific'!#REF!+'Rest of world'!#REF!</f>
        <v>#REF!</v>
      </c>
      <c r="Q51" s="26" t="e">
        <f>Europe!#REF!+'Asia-Pacific'!#REF!+'Rest of world'!#REF!+'North America'!#REF!+'Latin America'!#REF!</f>
        <v>#REF!</v>
      </c>
      <c r="R51" s="26">
        <f>Europe!H51+'Asia-Pacific'!H51+'Rest of world'!H51+'North America'!H51+'Latin America'!H51</f>
        <v>100</v>
      </c>
      <c r="S51" s="23">
        <f t="shared" si="4"/>
        <v>0</v>
      </c>
      <c r="T51" s="112" t="e">
        <f>'North America'!#REF!+Europe!#REF!+'Asia-Pacific'!#REF!+'Rest of world'!#REF!</f>
        <v>#REF!</v>
      </c>
      <c r="U51" s="26" t="e">
        <f>Europe!#REF!+'Asia-Pacific'!#REF!+'Rest of world'!#REF!+'North America'!#REF!+'Latin America'!#REF!</f>
        <v>#REF!</v>
      </c>
      <c r="V51" s="26">
        <f>Europe!L51+'Asia-Pacific'!L51+'Rest of world'!L51+'North America'!L51+'Latin America'!L51</f>
        <v>100</v>
      </c>
      <c r="W51" s="23">
        <f t="shared" si="68"/>
        <v>0</v>
      </c>
      <c r="X51" s="112" t="e">
        <f>'North America'!#REF!+Europe!#REF!+'Asia-Pacific'!#REF!+'Rest of world'!#REF!</f>
        <v>#REF!</v>
      </c>
      <c r="Y51" s="26" t="e">
        <f>Europe!#REF!+'Asia-Pacific'!#REF!+'Rest of world'!#REF!+'North America'!#REF!+'Latin America'!#REF!</f>
        <v>#REF!</v>
      </c>
      <c r="Z51" s="26">
        <f>Europe!P51+'Asia-Pacific'!P51+'Rest of world'!P51+'North America'!P51+'Latin America'!P51</f>
        <v>100</v>
      </c>
      <c r="AA51" s="23">
        <f t="shared" si="69"/>
        <v>0</v>
      </c>
      <c r="AB51" s="112" t="e">
        <f>'North America'!#REF!+Europe!#REF!+'Asia-Pacific'!#REF!+'Rest of world'!#REF!</f>
        <v>#REF!</v>
      </c>
      <c r="AC51" s="26" t="e">
        <f>Europe!#REF!+'Asia-Pacific'!#REF!+'Rest of world'!#REF!+'North America'!#REF!+'Latin America'!#REF!</f>
        <v>#REF!</v>
      </c>
      <c r="AD51" s="26">
        <f>Europe!T51+'Asia-Pacific'!T51+'Rest of world'!T51+'North America'!T51+'Latin America'!T51</f>
        <v>100</v>
      </c>
      <c r="AE51" s="23">
        <f t="shared" si="70"/>
        <v>0</v>
      </c>
      <c r="AF51" s="112">
        <f>'North America'!V51+Europe!V51+'Asia-Pacific'!V51+'Rest of world'!V51</f>
        <v>0</v>
      </c>
      <c r="AG51" s="26">
        <f>Europe!W51+'Asia-Pacific'!W51+'Rest of world'!W51+'North America'!W51+'Latin America'!W51</f>
        <v>0</v>
      </c>
      <c r="AH51" s="26">
        <f>Europe!X51+'Asia-Pacific'!X51+'Rest of world'!X51+'North America'!X51+'Latin America'!X51</f>
        <v>100</v>
      </c>
      <c r="AI51" s="23">
        <f t="shared" si="71"/>
        <v>0</v>
      </c>
      <c r="AJ51" s="112" t="e">
        <f>'North America'!Z51+Europe!Z51+'Asia-Pacific'!Z51+'Rest of world'!#REF!</f>
        <v>#REF!</v>
      </c>
      <c r="AK51" s="26">
        <f>Europe!AA51+'Asia-Pacific'!AA51+'Rest of world'!AA51+'North America'!AA51+'Latin America'!AA51</f>
        <v>0</v>
      </c>
      <c r="AL51" s="26">
        <f>Europe!AB51+'Asia-Pacific'!AB51+'Rest of world'!AB51+'North America'!AB51+'Latin America'!AB51</f>
        <v>100</v>
      </c>
      <c r="AM51" s="23">
        <f t="shared" si="72"/>
        <v>0</v>
      </c>
      <c r="AN51" s="112" t="e">
        <f>'North America'!#REF!+Europe!#REF!+'Asia-Pacific'!#REF!+'Rest of world'!#REF!</f>
        <v>#REF!</v>
      </c>
      <c r="AO51" s="26" t="e">
        <f>Europe!#REF!+'Asia-Pacific'!#REF!+'Rest of world'!#REF!+'North America'!#REF!+'Latin America'!#REF!</f>
        <v>#REF!</v>
      </c>
      <c r="AP51" s="26">
        <f>Europe!AF51+'Asia-Pacific'!AF51+'Rest of world'!AF51+'North America'!AF51+'Latin America'!AF51</f>
        <v>100</v>
      </c>
      <c r="AQ51" s="23">
        <f t="shared" si="73"/>
        <v>0</v>
      </c>
      <c r="AR51" s="112" t="e">
        <f>'North America'!#REF!+Europe!#REF!+'Asia-Pacific'!#REF!+'Rest of world'!#REF!</f>
        <v>#REF!</v>
      </c>
      <c r="AS51" s="26" t="e">
        <f>Europe!#REF!+'Asia-Pacific'!#REF!+'Rest of world'!#REF!+'North America'!#REF!+'Latin America'!#REF!</f>
        <v>#REF!</v>
      </c>
      <c r="AT51" s="26">
        <f>Europe!AJ51+'Asia-Pacific'!AJ51+'Rest of world'!AJ51+'North America'!AJ51+'Latin America'!AJ51</f>
        <v>100</v>
      </c>
      <c r="AU51" s="23">
        <f t="shared" si="74"/>
        <v>0</v>
      </c>
      <c r="AV51" s="112" t="e">
        <f>'North America'!#REF!+Europe!#REF!+'Asia-Pacific'!#REF!+'Rest of world'!#REF!</f>
        <v>#REF!</v>
      </c>
      <c r="AW51" s="26" t="e">
        <f>Europe!#REF!+'Asia-Pacific'!#REF!+'Rest of world'!#REF!+'North America'!#REF!+'Latin America'!#REF!</f>
        <v>#REF!</v>
      </c>
      <c r="AX51" s="26">
        <f>Europe!AN51+'Asia-Pacific'!AN51+'Rest of world'!AN51+'North America'!AN51+'Latin America'!AN51</f>
        <v>100</v>
      </c>
      <c r="AY51" s="23">
        <f t="shared" si="75"/>
        <v>0</v>
      </c>
      <c r="AZ51" s="112" t="e">
        <f>'North America'!#REF!+Europe!#REF!+'Asia-Pacific'!#REF!+'Rest of world'!#REF!</f>
        <v>#REF!</v>
      </c>
      <c r="BA51" s="26" t="e">
        <f>Europe!#REF!+'Asia-Pacific'!#REF!+'Rest of world'!#REF!+'North America'!#REF!+'Latin America'!#REF!</f>
        <v>#REF!</v>
      </c>
      <c r="BB51" s="26">
        <f>Europe!AR51+'Asia-Pacific'!AR51+'Rest of world'!AR51+'North America'!AR51+'Latin America'!AR51</f>
        <v>100</v>
      </c>
      <c r="BC51" s="23">
        <f t="shared" si="76"/>
        <v>0</v>
      </c>
      <c r="BD51" s="112" t="e">
        <f>'North America'!#REF!+Europe!#REF!+'Asia-Pacific'!#REF!+'Rest of world'!#REF!</f>
        <v>#REF!</v>
      </c>
      <c r="BE51" s="26" t="e">
        <f>Europe!#REF!+'Asia-Pacific'!#REF!+'Rest of world'!#REF!+'North America'!#REF!+'Latin America'!#REF!</f>
        <v>#REF!</v>
      </c>
      <c r="BF51" s="26">
        <f>Europe!AV51+'Asia-Pacific'!AV51+'Rest of world'!AV51+'North America'!AV51+'Latin America'!AV51</f>
        <v>100</v>
      </c>
      <c r="BG51" s="23">
        <f t="shared" si="77"/>
        <v>0</v>
      </c>
      <c r="BH51" s="112" t="e">
        <f>'North America'!#REF!+Europe!#REF!+'Asia-Pacific'!#REF!+'Rest of world'!#REF!</f>
        <v>#REF!</v>
      </c>
      <c r="BI51" s="26" t="e">
        <f>Europe!#REF!+'Asia-Pacific'!#REF!+'Rest of world'!#REF!+'North America'!#REF!+'Latin America'!#REF!</f>
        <v>#REF!</v>
      </c>
      <c r="BK51" s="240">
        <f t="shared" si="78"/>
        <v>300</v>
      </c>
      <c r="BL51" s="241" t="e">
        <f t="shared" si="79"/>
        <v>#REF!</v>
      </c>
      <c r="BM51" s="240">
        <f t="shared" si="80"/>
        <v>300</v>
      </c>
      <c r="BN51" s="241" t="e">
        <f t="shared" si="81"/>
        <v>#REF!</v>
      </c>
      <c r="BO51" s="240">
        <f t="shared" si="82"/>
        <v>300</v>
      </c>
      <c r="BP51" s="241" t="e">
        <f t="shared" si="83"/>
        <v>#REF!</v>
      </c>
      <c r="BQ51" s="201">
        <f t="shared" si="84"/>
        <v>300</v>
      </c>
      <c r="BR51" s="204" t="e">
        <f t="shared" si="85"/>
        <v>#REF!</v>
      </c>
      <c r="BS51" s="240">
        <f t="shared" si="37"/>
        <v>1200</v>
      </c>
      <c r="BT51" s="253" t="e">
        <f t="shared" si="32"/>
        <v>#REF!</v>
      </c>
      <c r="BU51" s="246" t="e">
        <f t="shared" si="86"/>
        <v>#REF!</v>
      </c>
      <c r="BV51" s="201">
        <f t="shared" si="87"/>
        <v>0</v>
      </c>
      <c r="BW51" s="2"/>
      <c r="BX51" s="33">
        <f t="shared" si="33"/>
        <v>1200</v>
      </c>
      <c r="BY51" s="113" t="e">
        <f t="shared" si="34"/>
        <v>#REF!</v>
      </c>
      <c r="CA51" s="27">
        <f>+Domestic!B51</f>
        <v>0</v>
      </c>
      <c r="CB51" s="113" t="e">
        <f>+Domestic!#REF!</f>
        <v>#REF!</v>
      </c>
      <c r="CD51" s="27">
        <f t="shared" si="35"/>
        <v>1200</v>
      </c>
      <c r="CE51" s="113" t="e">
        <f t="shared" si="36"/>
        <v>#REF!</v>
      </c>
      <c r="CZ51" s="201">
        <f>BK51-CV51</f>
        <v>300</v>
      </c>
      <c r="DA51" s="201">
        <f>BM51-CW51</f>
        <v>300</v>
      </c>
      <c r="DB51" s="201">
        <f>BO51-CX51</f>
        <v>300</v>
      </c>
      <c r="DC51" s="201">
        <f>BQ51-CY51</f>
        <v>300</v>
      </c>
      <c r="DJ51" s="210">
        <v>2311</v>
      </c>
      <c r="DK51" s="211">
        <v>400.73561228905237</v>
      </c>
      <c r="DL51" s="200">
        <v>0.92609999999999992</v>
      </c>
      <c r="DM51" s="209">
        <v>4.1674499999999997</v>
      </c>
      <c r="DN51" s="201">
        <f t="shared" si="88"/>
        <v>-1111</v>
      </c>
      <c r="DO51" s="201">
        <f t="shared" si="89"/>
        <v>-400.73561228905237</v>
      </c>
      <c r="DP51" s="204" t="e">
        <f t="shared" si="90"/>
        <v>#REF!</v>
      </c>
    </row>
    <row r="52" spans="1:120" ht="12.6" customHeight="1">
      <c r="A52" s="35" t="s">
        <v>64</v>
      </c>
      <c r="B52" s="264"/>
      <c r="C52" s="264"/>
      <c r="D52" s="135"/>
      <c r="E52" s="157"/>
      <c r="F52" s="135"/>
      <c r="G52" s="151"/>
      <c r="H52" s="135"/>
      <c r="I52" s="151">
        <f t="shared" si="18"/>
        <v>0</v>
      </c>
      <c r="J52" s="27">
        <f t="shared" si="65"/>
        <v>0</v>
      </c>
      <c r="K52" s="23">
        <f t="shared" si="66"/>
        <v>0</v>
      </c>
      <c r="L52" s="112" t="e">
        <f t="shared" si="67"/>
        <v>#REF!</v>
      </c>
      <c r="M52" s="113" t="e">
        <f t="shared" si="67"/>
        <v>#REF!</v>
      </c>
      <c r="N52" s="26">
        <f>Europe!D52+'Asia-Pacific'!D52+'Rest of world'!D52+'North America'!D52+'Latin America'!D52</f>
        <v>0</v>
      </c>
      <c r="O52" s="23">
        <f t="shared" si="3"/>
        <v>0</v>
      </c>
      <c r="P52" s="112" t="e">
        <f>'North America'!#REF!+Europe!#REF!+'Asia-Pacific'!#REF!+'Rest of world'!#REF!</f>
        <v>#REF!</v>
      </c>
      <c r="Q52" s="26" t="e">
        <f>Europe!#REF!+'Asia-Pacific'!#REF!+'Rest of world'!#REF!+'North America'!#REF!+'Latin America'!#REF!</f>
        <v>#REF!</v>
      </c>
      <c r="R52" s="26">
        <f>Europe!H52+'Asia-Pacific'!H52+'Rest of world'!H52+'North America'!H52+'Latin America'!H52</f>
        <v>0</v>
      </c>
      <c r="S52" s="23">
        <f t="shared" si="4"/>
        <v>0</v>
      </c>
      <c r="T52" s="112" t="e">
        <f>'North America'!#REF!+Europe!#REF!+'Asia-Pacific'!#REF!+'Rest of world'!#REF!</f>
        <v>#REF!</v>
      </c>
      <c r="U52" s="26" t="e">
        <f>Europe!#REF!+'Asia-Pacific'!#REF!+'Rest of world'!#REF!+'North America'!#REF!+'Latin America'!#REF!</f>
        <v>#REF!</v>
      </c>
      <c r="V52" s="26">
        <f>Europe!L52+'Asia-Pacific'!L52+'Rest of world'!L52+'North America'!L52+'Latin America'!L52</f>
        <v>0</v>
      </c>
      <c r="W52" s="23">
        <f t="shared" si="68"/>
        <v>0</v>
      </c>
      <c r="X52" s="112" t="e">
        <f>'North America'!#REF!+Europe!#REF!+'Asia-Pacific'!#REF!+'Rest of world'!#REF!</f>
        <v>#REF!</v>
      </c>
      <c r="Y52" s="26" t="e">
        <f>Europe!#REF!+'Asia-Pacific'!#REF!+'Rest of world'!#REF!+'North America'!#REF!+'Latin America'!#REF!</f>
        <v>#REF!</v>
      </c>
      <c r="Z52" s="26">
        <f>Europe!P52+'Asia-Pacific'!P52+'Rest of world'!P52+'North America'!P52+'Latin America'!P52</f>
        <v>0</v>
      </c>
      <c r="AA52" s="23">
        <f t="shared" si="69"/>
        <v>0</v>
      </c>
      <c r="AB52" s="112" t="e">
        <f>'North America'!#REF!+Europe!#REF!+'Asia-Pacific'!#REF!+'Rest of world'!#REF!</f>
        <v>#REF!</v>
      </c>
      <c r="AC52" s="26" t="e">
        <f>Europe!#REF!+'Asia-Pacific'!#REF!+'Rest of world'!#REF!+'North America'!#REF!+'Latin America'!#REF!</f>
        <v>#REF!</v>
      </c>
      <c r="AD52" s="26">
        <f>Europe!T52+'Asia-Pacific'!T52+'Rest of world'!T52+'North America'!T52+'Latin America'!T52</f>
        <v>0</v>
      </c>
      <c r="AE52" s="23">
        <f t="shared" si="70"/>
        <v>0</v>
      </c>
      <c r="AF52" s="112">
        <f>'North America'!V52+Europe!V52+'Asia-Pacific'!V52+'Rest of world'!V52</f>
        <v>0</v>
      </c>
      <c r="AG52" s="26">
        <f>Europe!W52+'Asia-Pacific'!W52+'Rest of world'!W52+'North America'!W52+'Latin America'!W52</f>
        <v>0</v>
      </c>
      <c r="AH52" s="26">
        <f>Europe!X52+'Asia-Pacific'!X52+'Rest of world'!X52+'North America'!X52+'Latin America'!X52</f>
        <v>0</v>
      </c>
      <c r="AI52" s="23">
        <f t="shared" si="71"/>
        <v>0</v>
      </c>
      <c r="AJ52" s="112" t="e">
        <f>'North America'!Z52+Europe!Z52+'Asia-Pacific'!Z52+'Rest of world'!#REF!</f>
        <v>#REF!</v>
      </c>
      <c r="AK52" s="26">
        <f>Europe!AA52+'Asia-Pacific'!AA52+'Rest of world'!AA52+'North America'!AA52+'Latin America'!AA52</f>
        <v>0</v>
      </c>
      <c r="AL52" s="26">
        <f>Europe!AB52+'Asia-Pacific'!AB52+'Rest of world'!AB52+'North America'!AB52+'Latin America'!AB52</f>
        <v>0</v>
      </c>
      <c r="AM52" s="23">
        <f t="shared" si="72"/>
        <v>0</v>
      </c>
      <c r="AN52" s="112" t="e">
        <f>'North America'!#REF!+Europe!#REF!+'Asia-Pacific'!#REF!+'Rest of world'!#REF!</f>
        <v>#REF!</v>
      </c>
      <c r="AO52" s="26" t="e">
        <f>Europe!#REF!+'Asia-Pacific'!#REF!+'Rest of world'!#REF!+'North America'!#REF!+'Latin America'!#REF!</f>
        <v>#REF!</v>
      </c>
      <c r="AP52" s="26">
        <f>Europe!AF52+'Asia-Pacific'!AF52+'Rest of world'!AF52+'North America'!AF52+'Latin America'!AF52</f>
        <v>0</v>
      </c>
      <c r="AQ52" s="23">
        <f t="shared" si="73"/>
        <v>0</v>
      </c>
      <c r="AR52" s="112" t="e">
        <f>'North America'!#REF!+Europe!#REF!+'Asia-Pacific'!#REF!+'Rest of world'!#REF!</f>
        <v>#REF!</v>
      </c>
      <c r="AS52" s="26" t="e">
        <f>Europe!#REF!+'Asia-Pacific'!#REF!+'Rest of world'!#REF!+'North America'!#REF!+'Latin America'!#REF!</f>
        <v>#REF!</v>
      </c>
      <c r="AT52" s="26">
        <f>Europe!AJ52+'Asia-Pacific'!AJ52+'Rest of world'!AJ52+'North America'!AJ52+'Latin America'!AJ52</f>
        <v>0</v>
      </c>
      <c r="AU52" s="23">
        <f t="shared" si="74"/>
        <v>0</v>
      </c>
      <c r="AV52" s="112" t="e">
        <f>'North America'!#REF!+Europe!#REF!+'Asia-Pacific'!#REF!+'Rest of world'!#REF!</f>
        <v>#REF!</v>
      </c>
      <c r="AW52" s="26" t="e">
        <f>Europe!#REF!+'Asia-Pacific'!#REF!+'Rest of world'!#REF!+'North America'!#REF!+'Latin America'!#REF!</f>
        <v>#REF!</v>
      </c>
      <c r="AX52" s="26">
        <f>Europe!AN52+'Asia-Pacific'!AN52+'Rest of world'!AN52+'North America'!AN52+'Latin America'!AN52</f>
        <v>0</v>
      </c>
      <c r="AY52" s="23">
        <f t="shared" si="75"/>
        <v>0</v>
      </c>
      <c r="AZ52" s="112" t="e">
        <f>'North America'!#REF!+Europe!#REF!+'Asia-Pacific'!#REF!+'Rest of world'!#REF!</f>
        <v>#REF!</v>
      </c>
      <c r="BA52" s="26" t="e">
        <f>Europe!#REF!+'Asia-Pacific'!#REF!+'Rest of world'!#REF!+'North America'!#REF!+'Latin America'!#REF!</f>
        <v>#REF!</v>
      </c>
      <c r="BB52" s="26">
        <f>Europe!AR52+'Asia-Pacific'!AR52+'Rest of world'!AR52+'North America'!AR52+'Latin America'!AR52</f>
        <v>0</v>
      </c>
      <c r="BC52" s="23">
        <f t="shared" si="76"/>
        <v>0</v>
      </c>
      <c r="BD52" s="112" t="e">
        <f>'North America'!#REF!+Europe!#REF!+'Asia-Pacific'!#REF!+'Rest of world'!#REF!</f>
        <v>#REF!</v>
      </c>
      <c r="BE52" s="26" t="e">
        <f>Europe!#REF!+'Asia-Pacific'!#REF!+'Rest of world'!#REF!+'North America'!#REF!+'Latin America'!#REF!</f>
        <v>#REF!</v>
      </c>
      <c r="BF52" s="26">
        <f>Europe!AV52+'Asia-Pacific'!AV52+'Rest of world'!AV52+'North America'!AV52+'Latin America'!AV52</f>
        <v>0</v>
      </c>
      <c r="BG52" s="23">
        <f t="shared" si="77"/>
        <v>0</v>
      </c>
      <c r="BH52" s="112" t="e">
        <f>'North America'!#REF!+Europe!#REF!+'Asia-Pacific'!#REF!+'Rest of world'!#REF!</f>
        <v>#REF!</v>
      </c>
      <c r="BI52" s="26" t="e">
        <f>Europe!#REF!+'Asia-Pacific'!#REF!+'Rest of world'!#REF!+'North America'!#REF!+'Latin America'!#REF!</f>
        <v>#REF!</v>
      </c>
      <c r="BK52" s="240">
        <f t="shared" si="78"/>
        <v>0</v>
      </c>
      <c r="BL52" s="241" t="e">
        <f t="shared" si="79"/>
        <v>#REF!</v>
      </c>
      <c r="BM52" s="240">
        <f t="shared" si="80"/>
        <v>0</v>
      </c>
      <c r="BN52" s="241" t="e">
        <f t="shared" si="81"/>
        <v>#REF!</v>
      </c>
      <c r="BO52" s="240">
        <f t="shared" si="82"/>
        <v>0</v>
      </c>
      <c r="BP52" s="241" t="e">
        <f t="shared" si="83"/>
        <v>#REF!</v>
      </c>
      <c r="BQ52" s="201">
        <f t="shared" si="84"/>
        <v>0</v>
      </c>
      <c r="BR52" s="204" t="e">
        <f t="shared" si="85"/>
        <v>#REF!</v>
      </c>
      <c r="BS52" s="240">
        <f t="shared" si="37"/>
        <v>0</v>
      </c>
      <c r="BT52" s="253" t="e">
        <f t="shared" si="32"/>
        <v>#REF!</v>
      </c>
      <c r="BU52" s="246" t="e">
        <f t="shared" si="86"/>
        <v>#REF!</v>
      </c>
      <c r="BV52" s="201">
        <f t="shared" si="87"/>
        <v>0</v>
      </c>
      <c r="BW52" s="2"/>
      <c r="BX52" s="33">
        <f t="shared" si="33"/>
        <v>0</v>
      </c>
      <c r="BY52" s="113" t="e">
        <f t="shared" si="34"/>
        <v>#REF!</v>
      </c>
      <c r="CA52" s="27">
        <f>+Domestic!B52</f>
        <v>0</v>
      </c>
      <c r="CB52" s="113" t="e">
        <f>+Domestic!#REF!</f>
        <v>#REF!</v>
      </c>
      <c r="CD52" s="27">
        <f t="shared" si="35"/>
        <v>0</v>
      </c>
      <c r="CE52" s="113" t="e">
        <f t="shared" si="36"/>
        <v>#REF!</v>
      </c>
      <c r="DJ52" s="210">
        <v>0</v>
      </c>
      <c r="DK52" s="211">
        <v>0</v>
      </c>
      <c r="DL52" s="200">
        <v>0</v>
      </c>
      <c r="DM52" s="209">
        <v>0</v>
      </c>
      <c r="DN52" s="201">
        <f t="shared" si="88"/>
        <v>0</v>
      </c>
      <c r="DO52" s="201">
        <f t="shared" si="89"/>
        <v>0</v>
      </c>
      <c r="DP52" s="204" t="e">
        <f t="shared" si="90"/>
        <v>#REF!</v>
      </c>
    </row>
    <row r="53" spans="1:120" ht="12.6" customHeight="1" thickBot="1">
      <c r="A53" s="38" t="s">
        <v>119</v>
      </c>
      <c r="B53" s="264"/>
      <c r="C53" s="264"/>
      <c r="D53" s="148"/>
      <c r="E53" s="158"/>
      <c r="F53" s="148"/>
      <c r="G53" s="152"/>
      <c r="H53" s="135"/>
      <c r="I53" s="152">
        <f t="shared" si="18"/>
        <v>0</v>
      </c>
      <c r="J53" s="82">
        <f t="shared" si="65"/>
        <v>9536</v>
      </c>
      <c r="K53" s="39">
        <f t="shared" si="66"/>
        <v>0</v>
      </c>
      <c r="L53" s="112" t="e">
        <f t="shared" si="67"/>
        <v>#REF!</v>
      </c>
      <c r="M53" s="113" t="e">
        <f t="shared" si="67"/>
        <v>#REF!</v>
      </c>
      <c r="N53" s="26">
        <f>Europe!D53+'Asia-Pacific'!D53+'Rest of world'!D53+'North America'!D53+'Latin America'!D53</f>
        <v>600</v>
      </c>
      <c r="O53" s="39">
        <f t="shared" si="3"/>
        <v>0</v>
      </c>
      <c r="P53" s="112" t="e">
        <f>'North America'!#REF!+Europe!#REF!+'Asia-Pacific'!#REF!+'Rest of world'!#REF!</f>
        <v>#REF!</v>
      </c>
      <c r="Q53" s="26" t="e">
        <f>Europe!#REF!+'Asia-Pacific'!#REF!+'Rest of world'!#REF!+'North America'!#REF!+'Latin America'!#REF!</f>
        <v>#REF!</v>
      </c>
      <c r="R53" s="26">
        <f>Europe!H53+'Asia-Pacific'!H53+'Rest of world'!H53+'North America'!H53+'Latin America'!H53</f>
        <v>400</v>
      </c>
      <c r="S53" s="39">
        <f t="shared" si="4"/>
        <v>0</v>
      </c>
      <c r="T53" s="112" t="e">
        <f>'North America'!#REF!+Europe!#REF!+'Asia-Pacific'!#REF!+'Rest of world'!#REF!</f>
        <v>#REF!</v>
      </c>
      <c r="U53" s="26" t="e">
        <f>Europe!#REF!+'Asia-Pacific'!#REF!+'Rest of world'!#REF!+'North America'!#REF!+'Latin America'!#REF!</f>
        <v>#REF!</v>
      </c>
      <c r="V53" s="26">
        <f>Europe!L53+'Asia-Pacific'!L53+'Rest of world'!L53+'North America'!L53+'Latin America'!L53</f>
        <v>629</v>
      </c>
      <c r="W53" s="39">
        <f t="shared" si="68"/>
        <v>0</v>
      </c>
      <c r="X53" s="112" t="e">
        <f>'North America'!#REF!+Europe!#REF!+'Asia-Pacific'!#REF!+'Rest of world'!#REF!</f>
        <v>#REF!</v>
      </c>
      <c r="Y53" s="26" t="e">
        <f>Europe!#REF!+'Asia-Pacific'!#REF!+'Rest of world'!#REF!+'North America'!#REF!+'Latin America'!#REF!</f>
        <v>#REF!</v>
      </c>
      <c r="Z53" s="26">
        <f>Europe!P53+'Asia-Pacific'!P53+'Rest of world'!P53+'North America'!P53+'Latin America'!P53</f>
        <v>714</v>
      </c>
      <c r="AA53" s="39">
        <f t="shared" si="69"/>
        <v>0</v>
      </c>
      <c r="AB53" s="112" t="e">
        <f>'North America'!#REF!+Europe!#REF!+'Asia-Pacific'!#REF!+'Rest of world'!#REF!</f>
        <v>#REF!</v>
      </c>
      <c r="AC53" s="26" t="e">
        <f>Europe!#REF!+'Asia-Pacific'!#REF!+'Rest of world'!#REF!+'North America'!#REF!+'Latin America'!#REF!</f>
        <v>#REF!</v>
      </c>
      <c r="AD53" s="26">
        <f>Europe!T53+'Asia-Pacific'!T53+'Rest of world'!T53+'North America'!T53+'Latin America'!T53</f>
        <v>734</v>
      </c>
      <c r="AE53" s="39">
        <f t="shared" si="70"/>
        <v>2949591.2806539512</v>
      </c>
      <c r="AF53" s="112">
        <f>'North America'!V53+Europe!V53+'Asia-Pacific'!V53+'Rest of world'!V53</f>
        <v>2165</v>
      </c>
      <c r="AG53" s="26">
        <f>Europe!W53+'Asia-Pacific'!W53+'Rest of world'!W53+'North America'!W53+'Latin America'!W53</f>
        <v>1.8557507082000004</v>
      </c>
      <c r="AH53" s="26">
        <f>Europe!X53+'Asia-Pacific'!X53+'Rest of world'!X53+'North America'!X53+'Latin America'!X53</f>
        <v>864</v>
      </c>
      <c r="AI53" s="39">
        <f t="shared" si="71"/>
        <v>0</v>
      </c>
      <c r="AJ53" s="112" t="e">
        <f>'North America'!Z53+Europe!Z53+'Asia-Pacific'!Z53+'Rest of world'!#REF!</f>
        <v>#REF!</v>
      </c>
      <c r="AK53" s="26">
        <f>Europe!AA53+'Asia-Pacific'!AA53+'Rest of world'!AA53+'North America'!AA53+'Latin America'!AA53</f>
        <v>0.34569695159999997</v>
      </c>
      <c r="AL53" s="26">
        <f>Europe!AB53+'Asia-Pacific'!AB53+'Rest of world'!AB53+'North America'!AB53+'Latin America'!AB53</f>
        <v>744</v>
      </c>
      <c r="AM53" s="39">
        <f t="shared" si="72"/>
        <v>0</v>
      </c>
      <c r="AN53" s="112" t="e">
        <f>'North America'!#REF!+Europe!#REF!+'Asia-Pacific'!#REF!+'Rest of world'!#REF!</f>
        <v>#REF!</v>
      </c>
      <c r="AO53" s="26" t="e">
        <f>Europe!#REF!+'Asia-Pacific'!#REF!+'Rest of world'!#REF!+'North America'!#REF!+'Latin America'!#REF!</f>
        <v>#REF!</v>
      </c>
      <c r="AP53" s="26">
        <f>Europe!AF53+'Asia-Pacific'!AF53+'Rest of world'!AF53+'North America'!AF53+'Latin America'!AF53</f>
        <v>874</v>
      </c>
      <c r="AQ53" s="39">
        <f t="shared" si="73"/>
        <v>0</v>
      </c>
      <c r="AR53" s="112" t="e">
        <f>'North America'!#REF!+Europe!#REF!+'Asia-Pacific'!#REF!+'Rest of world'!#REF!</f>
        <v>#REF!</v>
      </c>
      <c r="AS53" s="26" t="e">
        <f>Europe!#REF!+'Asia-Pacific'!#REF!+'Rest of world'!#REF!+'North America'!#REF!+'Latin America'!#REF!</f>
        <v>#REF!</v>
      </c>
      <c r="AT53" s="26">
        <f>Europe!AJ53+'Asia-Pacific'!AJ53+'Rest of world'!AJ53+'North America'!AJ53+'Latin America'!AJ53</f>
        <v>1039</v>
      </c>
      <c r="AU53" s="39">
        <f t="shared" si="74"/>
        <v>0</v>
      </c>
      <c r="AV53" s="112" t="e">
        <f>'North America'!#REF!+Europe!#REF!+'Asia-Pacific'!#REF!+'Rest of world'!#REF!</f>
        <v>#REF!</v>
      </c>
      <c r="AW53" s="26" t="e">
        <f>Europe!#REF!+'Asia-Pacific'!#REF!+'Rest of world'!#REF!+'North America'!#REF!+'Latin America'!#REF!</f>
        <v>#REF!</v>
      </c>
      <c r="AX53" s="26">
        <f>Europe!AN53+'Asia-Pacific'!AN53+'Rest of world'!AN53+'North America'!AN53+'Latin America'!AN53</f>
        <v>989</v>
      </c>
      <c r="AY53" s="39">
        <f t="shared" si="75"/>
        <v>0</v>
      </c>
      <c r="AZ53" s="112" t="e">
        <f>'North America'!#REF!+Europe!#REF!+'Asia-Pacific'!#REF!+'Rest of world'!#REF!</f>
        <v>#REF!</v>
      </c>
      <c r="BA53" s="26" t="e">
        <f>Europe!#REF!+'Asia-Pacific'!#REF!+'Rest of world'!#REF!+'North America'!#REF!+'Latin America'!#REF!</f>
        <v>#REF!</v>
      </c>
      <c r="BB53" s="26">
        <f>Europe!AR53+'Asia-Pacific'!AR53+'Rest of world'!AR53+'North America'!AR53+'Latin America'!AR53</f>
        <v>1060</v>
      </c>
      <c r="BC53" s="39">
        <f t="shared" si="76"/>
        <v>0</v>
      </c>
      <c r="BD53" s="112" t="e">
        <f>'North America'!#REF!+Europe!#REF!+'Asia-Pacific'!#REF!+'Rest of world'!#REF!</f>
        <v>#REF!</v>
      </c>
      <c r="BE53" s="26" t="e">
        <f>Europe!#REF!+'Asia-Pacific'!#REF!+'Rest of world'!#REF!+'North America'!#REF!+'Latin America'!#REF!</f>
        <v>#REF!</v>
      </c>
      <c r="BF53" s="26">
        <f>Europe!AV53+'Asia-Pacific'!AV53+'Rest of world'!AV53+'North America'!AV53+'Latin America'!AV53</f>
        <v>889</v>
      </c>
      <c r="BG53" s="39">
        <f t="shared" si="77"/>
        <v>0</v>
      </c>
      <c r="BH53" s="112" t="e">
        <f>'North America'!#REF!+Europe!#REF!+'Asia-Pacific'!#REF!+'Rest of world'!#REF!</f>
        <v>#REF!</v>
      </c>
      <c r="BI53" s="26" t="e">
        <f>Europe!#REF!+'Asia-Pacific'!#REF!+'Rest of world'!#REF!+'North America'!#REF!+'Latin America'!#REF!</f>
        <v>#REF!</v>
      </c>
      <c r="BK53" s="240">
        <f t="shared" si="78"/>
        <v>1629</v>
      </c>
      <c r="BL53" s="241" t="e">
        <f t="shared" si="79"/>
        <v>#REF!</v>
      </c>
      <c r="BM53" s="240">
        <f t="shared" si="80"/>
        <v>2312</v>
      </c>
      <c r="BN53" s="241" t="e">
        <f t="shared" si="81"/>
        <v>#REF!</v>
      </c>
      <c r="BO53" s="240">
        <f t="shared" si="82"/>
        <v>2657</v>
      </c>
      <c r="BP53" s="241" t="e">
        <f t="shared" si="83"/>
        <v>#REF!</v>
      </c>
      <c r="BQ53" s="201">
        <f t="shared" si="84"/>
        <v>2938</v>
      </c>
      <c r="BR53" s="204" t="e">
        <f t="shared" si="85"/>
        <v>#REF!</v>
      </c>
      <c r="BS53" s="240">
        <f t="shared" si="37"/>
        <v>9536</v>
      </c>
      <c r="BT53" s="253" t="e">
        <f t="shared" si="32"/>
        <v>#REF!</v>
      </c>
      <c r="BU53" s="246" t="e">
        <f t="shared" si="86"/>
        <v>#REF!</v>
      </c>
      <c r="BV53" s="201">
        <f t="shared" si="87"/>
        <v>0</v>
      </c>
      <c r="BW53" s="2"/>
      <c r="BX53" s="46">
        <f t="shared" si="33"/>
        <v>9536</v>
      </c>
      <c r="BY53" s="113" t="e">
        <f t="shared" si="34"/>
        <v>#REF!</v>
      </c>
      <c r="CA53" s="82">
        <f>+Domestic!B53</f>
        <v>1148</v>
      </c>
      <c r="CB53" s="113" t="e">
        <f>+Domestic!#REF!</f>
        <v>#REF!</v>
      </c>
      <c r="CD53" s="82">
        <f t="shared" si="35"/>
        <v>10684</v>
      </c>
      <c r="CE53" s="113" t="e">
        <f t="shared" si="36"/>
        <v>#REF!</v>
      </c>
      <c r="DJ53" s="216">
        <v>0</v>
      </c>
      <c r="DK53" s="217">
        <v>0</v>
      </c>
      <c r="DL53" s="200">
        <v>0</v>
      </c>
      <c r="DM53" s="209">
        <v>0</v>
      </c>
      <c r="DN53" s="201">
        <f t="shared" si="88"/>
        <v>9536</v>
      </c>
      <c r="DO53" s="201">
        <f t="shared" si="89"/>
        <v>0</v>
      </c>
      <c r="DP53" s="204" t="e">
        <f t="shared" si="90"/>
        <v>#REF!</v>
      </c>
    </row>
    <row r="54" spans="1:120" ht="12.6" customHeight="1" thickBot="1">
      <c r="A54" s="87" t="s">
        <v>72</v>
      </c>
      <c r="B54" s="36">
        <f>SUM(B26:B53)</f>
        <v>0</v>
      </c>
      <c r="C54" s="36">
        <f>SUM(C26:C53)</f>
        <v>0</v>
      </c>
      <c r="D54" s="36">
        <f>SUM(D26:D53)</f>
        <v>0</v>
      </c>
      <c r="E54" s="36">
        <f>SUM(E26:E53)</f>
        <v>0</v>
      </c>
      <c r="F54" s="36">
        <f>SUM(F26:F53)</f>
        <v>0</v>
      </c>
      <c r="G54" s="153">
        <f t="shared" ref="G54" si="91">IF(ISERROR(F54/C54-1),0,(F54/C54-1))</f>
        <v>0</v>
      </c>
      <c r="H54" s="36">
        <f>SUM(H26:H53)</f>
        <v>0</v>
      </c>
      <c r="I54" s="155">
        <f t="shared" si="18"/>
        <v>0</v>
      </c>
      <c r="J54" s="36">
        <f>SUM(J26:J53)</f>
        <v>21286</v>
      </c>
      <c r="K54" s="37">
        <f t="shared" si="66"/>
        <v>0</v>
      </c>
      <c r="L54" s="41" t="e">
        <f>SUM(L26:L53)</f>
        <v>#REF!</v>
      </c>
      <c r="M54" s="42" t="e">
        <f>SUM(M26:M53)</f>
        <v>#REF!</v>
      </c>
      <c r="N54" s="36">
        <f>SUM(N26:N53)</f>
        <v>1203</v>
      </c>
      <c r="O54" s="37">
        <f t="shared" si="3"/>
        <v>0</v>
      </c>
      <c r="P54" s="41" t="e">
        <f>SUM(P26:P53)</f>
        <v>#REF!</v>
      </c>
      <c r="Q54" s="42" t="e">
        <f>SUM(Q26:Q53)</f>
        <v>#REF!</v>
      </c>
      <c r="R54" s="36">
        <f>SUM(R26:R53)</f>
        <v>1299</v>
      </c>
      <c r="S54" s="37">
        <f t="shared" si="4"/>
        <v>0</v>
      </c>
      <c r="T54" s="41" t="e">
        <f>SUM(T26:T53)</f>
        <v>#REF!</v>
      </c>
      <c r="U54" s="42" t="e">
        <f>SUM(U26:U53)</f>
        <v>#REF!</v>
      </c>
      <c r="V54" s="36">
        <f>SUM(V26:V53)</f>
        <v>1678</v>
      </c>
      <c r="W54" s="37">
        <f>IF(ISERROR(X54/V54*1000000),0,(X54/V54*1000000))</f>
        <v>0</v>
      </c>
      <c r="X54" s="41" t="e">
        <f>SUM(X26:X53)</f>
        <v>#REF!</v>
      </c>
      <c r="Y54" s="42" t="e">
        <f>SUM(Y26:Y53)</f>
        <v>#REF!</v>
      </c>
      <c r="Z54" s="36">
        <f>SUM(Z26:Z53)</f>
        <v>1728</v>
      </c>
      <c r="AA54" s="37">
        <f>IF(ISERROR(AB54/Z54*1000000),0,(AB54/Z54*1000000))</f>
        <v>0</v>
      </c>
      <c r="AB54" s="41" t="e">
        <f>SUM(AB26:AB53)</f>
        <v>#REF!</v>
      </c>
      <c r="AC54" s="42" t="e">
        <f>SUM(AC26:AC53)</f>
        <v>#REF!</v>
      </c>
      <c r="AD54" s="36">
        <f>SUM(AD26:AD53)</f>
        <v>1678</v>
      </c>
      <c r="AE54" s="37">
        <f>IF(ISERROR(AF54/AD54*1000000),0,(AF54/AD54*1000000))</f>
        <v>15387365.911799762</v>
      </c>
      <c r="AF54" s="41">
        <f>SUM(AF26:AF53)</f>
        <v>25820</v>
      </c>
      <c r="AG54" s="42">
        <f>SUM(AG26:AG53)</f>
        <v>6.9486770938714297</v>
      </c>
      <c r="AH54" s="36">
        <f>SUM(AH26:AH53)</f>
        <v>1896</v>
      </c>
      <c r="AI54" s="37">
        <f>IF(ISERROR(AJ54/AH54*1000000),0,(AJ54/AH54*1000000))</f>
        <v>0</v>
      </c>
      <c r="AJ54" s="41" t="e">
        <f>SUM(AJ26:AJ53)</f>
        <v>#REF!</v>
      </c>
      <c r="AK54" s="42">
        <f>SUM(AK26:AK53)</f>
        <v>16.558593747428574</v>
      </c>
      <c r="AL54" s="36">
        <f>SUM(AL26:AL53)</f>
        <v>1781</v>
      </c>
      <c r="AM54" s="37">
        <f>IF(ISERROR(AN54/AL54*1000000),0,(AN54/AL54*1000000))</f>
        <v>0</v>
      </c>
      <c r="AN54" s="41" t="e">
        <f>SUM(AN26:AN53)</f>
        <v>#REF!</v>
      </c>
      <c r="AO54" s="42" t="e">
        <f>SUM(AO26:AO53)</f>
        <v>#REF!</v>
      </c>
      <c r="AP54" s="36">
        <f>SUM(AP26:AP53)</f>
        <v>1907</v>
      </c>
      <c r="AQ54" s="37">
        <f>IF(ISERROR(AR54/AP54*1000000),0,(AR54/AP54*1000000))</f>
        <v>0</v>
      </c>
      <c r="AR54" s="41" t="e">
        <f>SUM(AR26:AR53)</f>
        <v>#REF!</v>
      </c>
      <c r="AS54" s="42" t="e">
        <f>SUM(AS26:AS53)</f>
        <v>#REF!</v>
      </c>
      <c r="AT54" s="36">
        <f>SUM(AT26:AT53)</f>
        <v>2094</v>
      </c>
      <c r="AU54" s="37">
        <f>IF(ISERROR(AV54/AT54*1000000),0,(AV54/AT54*1000000))</f>
        <v>0</v>
      </c>
      <c r="AV54" s="41" t="e">
        <f>SUM(AV26:AV53)</f>
        <v>#REF!</v>
      </c>
      <c r="AW54" s="42" t="e">
        <f>SUM(AW26:AW53)</f>
        <v>#REF!</v>
      </c>
      <c r="AX54" s="36">
        <f>SUM(AX26:AX53)</f>
        <v>2011</v>
      </c>
      <c r="AY54" s="37">
        <f>IF(ISERROR(AZ54/AX54*1000000),0,(AZ54/AX54*1000000))</f>
        <v>0</v>
      </c>
      <c r="AZ54" s="41" t="e">
        <f>SUM(AZ26:AZ53)</f>
        <v>#REF!</v>
      </c>
      <c r="BA54" s="42" t="e">
        <f>SUM(BA26:BA53)</f>
        <v>#REF!</v>
      </c>
      <c r="BB54" s="36">
        <f>SUM(BB26:BB53)</f>
        <v>2159</v>
      </c>
      <c r="BC54" s="37">
        <f>IF(ISERROR(BD54/BB54*1000000),0,(BD54/BB54*1000000))</f>
        <v>0</v>
      </c>
      <c r="BD54" s="41" t="e">
        <f>SUM(BD26:BD53)</f>
        <v>#REF!</v>
      </c>
      <c r="BE54" s="42" t="e">
        <f>SUM(BE26:BE53)</f>
        <v>#REF!</v>
      </c>
      <c r="BF54" s="36">
        <f>SUM(BF26:BF53)</f>
        <v>1852</v>
      </c>
      <c r="BG54" s="37">
        <f>IF(ISERROR(BH54/BF54*1000000),0,(BH54/BF54*1000000))</f>
        <v>0</v>
      </c>
      <c r="BH54" s="41" t="e">
        <f>SUM(BH26:BH53)</f>
        <v>#REF!</v>
      </c>
      <c r="BI54" s="42" t="e">
        <f>SUM(BI26:BI53)</f>
        <v>#REF!</v>
      </c>
      <c r="BK54" s="240">
        <f t="shared" si="78"/>
        <v>4180</v>
      </c>
      <c r="BL54" s="241" t="e">
        <f t="shared" si="79"/>
        <v>#REF!</v>
      </c>
      <c r="BM54" s="240">
        <f t="shared" si="80"/>
        <v>5302</v>
      </c>
      <c r="BN54" s="241" t="e">
        <f t="shared" si="81"/>
        <v>#REF!</v>
      </c>
      <c r="BO54" s="240">
        <f t="shared" si="82"/>
        <v>5782</v>
      </c>
      <c r="BP54" s="241" t="e">
        <f t="shared" si="83"/>
        <v>#REF!</v>
      </c>
      <c r="BQ54" s="201">
        <f t="shared" si="84"/>
        <v>6022</v>
      </c>
      <c r="BR54" s="204" t="e">
        <f t="shared" si="85"/>
        <v>#REF!</v>
      </c>
      <c r="BS54" s="240">
        <f t="shared" si="37"/>
        <v>21286</v>
      </c>
      <c r="BT54" s="253" t="e">
        <f t="shared" si="32"/>
        <v>#REF!</v>
      </c>
      <c r="BU54" s="246" t="e">
        <f t="shared" si="86"/>
        <v>#REF!</v>
      </c>
      <c r="BV54" s="201">
        <f t="shared" si="87"/>
        <v>0</v>
      </c>
      <c r="BW54" s="280"/>
      <c r="BX54" s="47">
        <f t="shared" si="33"/>
        <v>21286</v>
      </c>
      <c r="BY54" s="42" t="e">
        <f t="shared" si="34"/>
        <v>#REF!</v>
      </c>
      <c r="CA54" s="36">
        <f>+Domestic!B54</f>
        <v>34406</v>
      </c>
      <c r="CB54" s="42" t="e">
        <f>+Domestic!#REF!</f>
        <v>#REF!</v>
      </c>
      <c r="CD54" s="36">
        <f t="shared" si="35"/>
        <v>55692</v>
      </c>
      <c r="CE54" s="42" t="e">
        <f t="shared" si="36"/>
        <v>#REF!</v>
      </c>
      <c r="DJ54" s="36">
        <v>76431.333333333328</v>
      </c>
      <c r="DK54" s="37">
        <v>1424.1913933138244</v>
      </c>
      <c r="DL54" s="41">
        <v>108.85284711283335</v>
      </c>
      <c r="DM54" s="42">
        <v>524.35764500774997</v>
      </c>
      <c r="DN54" s="201">
        <f t="shared" si="88"/>
        <v>-55145.333333333328</v>
      </c>
      <c r="DO54" s="201">
        <f t="shared" si="89"/>
        <v>-1424.1913933138244</v>
      </c>
      <c r="DP54" s="204" t="e">
        <f t="shared" si="90"/>
        <v>#REF!</v>
      </c>
    </row>
    <row r="55" spans="1:120" ht="12.6" customHeight="1">
      <c r="A55" s="34"/>
      <c r="B55" s="134"/>
      <c r="C55" s="134"/>
      <c r="D55" s="146"/>
      <c r="E55" s="134"/>
      <c r="F55" s="134"/>
      <c r="G55" s="154"/>
      <c r="H55" s="134"/>
      <c r="I55" s="134"/>
      <c r="J55" s="206">
        <f>J54-J64</f>
        <v>21286</v>
      </c>
      <c r="K55" s="44"/>
      <c r="L55" s="116"/>
      <c r="M55" s="117"/>
      <c r="N55" s="43"/>
      <c r="O55" s="44"/>
      <c r="P55" s="116"/>
      <c r="Q55" s="117"/>
      <c r="R55" s="43"/>
      <c r="S55" s="44"/>
      <c r="T55" s="116"/>
      <c r="U55" s="117"/>
      <c r="V55" s="43"/>
      <c r="W55" s="44"/>
      <c r="X55" s="116"/>
      <c r="Y55" s="117"/>
      <c r="Z55" s="43"/>
      <c r="AA55" s="44"/>
      <c r="AB55" s="116"/>
      <c r="AC55" s="117"/>
      <c r="AD55" s="43"/>
      <c r="AE55" s="44"/>
      <c r="AF55" s="116"/>
      <c r="AG55" s="117"/>
      <c r="AH55" s="43"/>
      <c r="AI55" s="44"/>
      <c r="AJ55" s="116"/>
      <c r="AK55" s="117"/>
      <c r="AL55" s="43"/>
      <c r="AM55" s="44"/>
      <c r="AN55" s="116"/>
      <c r="AO55" s="117"/>
      <c r="AP55" s="43"/>
      <c r="AQ55" s="44"/>
      <c r="AR55" s="116"/>
      <c r="AS55" s="117"/>
      <c r="AT55" s="43"/>
      <c r="AU55" s="44"/>
      <c r="AV55" s="116"/>
      <c r="AW55" s="117"/>
      <c r="AX55" s="43"/>
      <c r="AY55" s="44"/>
      <c r="AZ55" s="116"/>
      <c r="BA55" s="117"/>
      <c r="BB55" s="43"/>
      <c r="BC55" s="44"/>
      <c r="BD55" s="116"/>
      <c r="BE55" s="117"/>
      <c r="BF55" s="43"/>
      <c r="BG55" s="44"/>
      <c r="BH55" s="116"/>
      <c r="BI55" s="117"/>
      <c r="BK55" s="240"/>
      <c r="BL55" s="241"/>
      <c r="BM55" s="240"/>
      <c r="BN55" s="241"/>
      <c r="BO55" s="240"/>
      <c r="BP55" s="241"/>
      <c r="BQ55" s="201"/>
      <c r="BR55" s="204"/>
      <c r="BS55" s="240">
        <f t="shared" si="37"/>
        <v>0</v>
      </c>
      <c r="BT55" s="253"/>
      <c r="BU55" s="246"/>
      <c r="BV55" s="201"/>
      <c r="BW55" s="2"/>
      <c r="BX55" s="49">
        <f t="shared" si="33"/>
        <v>0</v>
      </c>
      <c r="BY55" s="117">
        <f t="shared" si="34"/>
        <v>0</v>
      </c>
      <c r="CA55" s="43">
        <f>+Domestic!B55</f>
        <v>0</v>
      </c>
      <c r="CB55" s="117" t="e">
        <f>+Domestic!#REF!</f>
        <v>#REF!</v>
      </c>
      <c r="CD55" s="43">
        <f t="shared" si="35"/>
        <v>0</v>
      </c>
      <c r="CE55" s="117" t="e">
        <f t="shared" si="36"/>
        <v>#REF!</v>
      </c>
      <c r="DJ55" s="218">
        <v>70264.333333333328</v>
      </c>
      <c r="DK55" s="219"/>
      <c r="DL55" s="220"/>
      <c r="DM55" s="221"/>
      <c r="DN55" s="201">
        <f t="shared" si="88"/>
        <v>-48978.333333333328</v>
      </c>
      <c r="DO55" s="201">
        <f t="shared" si="89"/>
        <v>0</v>
      </c>
      <c r="DP55" s="204">
        <f t="shared" si="90"/>
        <v>0</v>
      </c>
    </row>
    <row r="56" spans="1:120" ht="12.6" customHeight="1">
      <c r="A56" s="35" t="s">
        <v>56</v>
      </c>
      <c r="B56" s="135"/>
      <c r="C56" s="135"/>
      <c r="D56" s="135"/>
      <c r="E56" s="157"/>
      <c r="F56" s="149"/>
      <c r="G56" s="151"/>
      <c r="H56" s="135"/>
      <c r="I56" s="151">
        <f t="shared" si="18"/>
        <v>0</v>
      </c>
      <c r="J56" s="27">
        <f t="shared" ref="J56:J61" si="92">N56+R56+V56+Z56+AD56+AH56+AL56+AP56+AT56+AX56+BB56+BF56</f>
        <v>0</v>
      </c>
      <c r="K56" s="23">
        <f t="shared" ref="K56:K61" si="93">IF(ISERROR(L56/J56*1000000),0,(L56/J56*1000000))</f>
        <v>0</v>
      </c>
      <c r="L56" s="112" t="e">
        <f>P56+T56+X56+AB56+AF56+AJ56+AN56+AR56+AV56+AZ56+BD56+BH56</f>
        <v>#REF!</v>
      </c>
      <c r="M56" s="113" t="e">
        <f>Q56+U56+Y56+AC56+AG56+AK56+AO56+AS56+AW56+BA56+BE56+BI56</f>
        <v>#REF!</v>
      </c>
      <c r="N56" s="26">
        <f>Europe!D56+'Asia-Pacific'!D56+'Rest of world'!D56+'North America'!D56+'Latin America'!D56</f>
        <v>0</v>
      </c>
      <c r="O56" s="23">
        <f t="shared" si="3"/>
        <v>0</v>
      </c>
      <c r="P56" s="112" t="e">
        <f>'North America'!#REF!+Europe!#REF!+'Asia-Pacific'!#REF!+'Rest of world'!#REF!</f>
        <v>#REF!</v>
      </c>
      <c r="Q56" s="112" t="e">
        <f>'North America'!#REF!+Europe!#REF!+'Asia-Pacific'!#REF!+'Rest of world'!#REF!</f>
        <v>#REF!</v>
      </c>
      <c r="R56" s="27">
        <f>'North America'!H56+Europe!H56+'Asia-Pacific'!H56+'Rest of world'!H56</f>
        <v>0</v>
      </c>
      <c r="S56" s="23">
        <f t="shared" si="4"/>
        <v>0</v>
      </c>
      <c r="T56" s="112" t="e">
        <f>'North America'!#REF!+Europe!#REF!+'Asia-Pacific'!#REF!+'Rest of world'!#REF!</f>
        <v>#REF!</v>
      </c>
      <c r="U56" s="113" t="e">
        <f>'North America'!#REF!+Europe!#REF!+'Asia-Pacific'!#REF!+'Rest of world'!#REF!</f>
        <v>#REF!</v>
      </c>
      <c r="V56" s="27">
        <f>'North America'!L56+Europe!L56+'Asia-Pacific'!L56+'Rest of world'!L56</f>
        <v>0</v>
      </c>
      <c r="W56" s="23">
        <f t="shared" ref="W56:W61" si="94">IF(ISERROR(X56/V56*1000000),0,(X56/V56*1000000))</f>
        <v>0</v>
      </c>
      <c r="X56" s="112" t="e">
        <f>'North America'!#REF!+Europe!#REF!+'Asia-Pacific'!#REF!+'Rest of world'!#REF!</f>
        <v>#REF!</v>
      </c>
      <c r="Y56" s="113" t="e">
        <f>'North America'!#REF!+Europe!#REF!+'Asia-Pacific'!#REF!+'Rest of world'!#REF!</f>
        <v>#REF!</v>
      </c>
      <c r="Z56" s="27">
        <f>'North America'!P56+Europe!P56+'Asia-Pacific'!P56+'Rest of world'!P56</f>
        <v>0</v>
      </c>
      <c r="AA56" s="23">
        <f t="shared" ref="AA56:AA61" si="95">IF(ISERROR(AB56/Z56*1000000),0,(AB56/Z56*1000000))</f>
        <v>0</v>
      </c>
      <c r="AB56" s="112" t="e">
        <f>'North America'!#REF!+Europe!#REF!+'Asia-Pacific'!#REF!+'Rest of world'!#REF!</f>
        <v>#REF!</v>
      </c>
      <c r="AC56" s="113" t="e">
        <f>'North America'!#REF!+Europe!#REF!+'Asia-Pacific'!#REF!+'Rest of world'!#REF!</f>
        <v>#REF!</v>
      </c>
      <c r="AD56" s="27">
        <f>'North America'!T56+Europe!T56+'Asia-Pacific'!T56+'Rest of world'!T56</f>
        <v>0</v>
      </c>
      <c r="AE56" s="23">
        <f t="shared" ref="AE56:AE61" si="96">IF(ISERROR(AF56/AD56*1000000),0,(AF56/AD56*1000000))</f>
        <v>0</v>
      </c>
      <c r="AF56" s="112">
        <f>'North America'!V56+Europe!V56+'Asia-Pacific'!V56+'Rest of world'!V56</f>
        <v>0</v>
      </c>
      <c r="AG56" s="113">
        <f>'North America'!W56+Europe!W56+'Asia-Pacific'!W56+'Rest of world'!W56</f>
        <v>0</v>
      </c>
      <c r="AH56" s="27">
        <f>'North America'!X56+Europe!X56+'Asia-Pacific'!X56+'Rest of world'!X56</f>
        <v>0</v>
      </c>
      <c r="AI56" s="23">
        <f t="shared" ref="AI56:AI61" si="97">IF(ISERROR(AJ56/AH56*1000000),0,(AJ56/AH56*1000000))</f>
        <v>0</v>
      </c>
      <c r="AJ56" s="112" t="e">
        <f>'North America'!Z56+Europe!Z56+'Asia-Pacific'!Z56+'Rest of world'!#REF!</f>
        <v>#REF!</v>
      </c>
      <c r="AK56" s="113">
        <f>'North America'!AA56+Europe!AA56+'Asia-Pacific'!AA56+'Rest of world'!AA56</f>
        <v>0</v>
      </c>
      <c r="AL56" s="27">
        <f>'North America'!AB56+Europe!AB56+'Asia-Pacific'!AB56+'Rest of world'!AB56</f>
        <v>0</v>
      </c>
      <c r="AM56" s="23">
        <f t="shared" ref="AM56:AM61" si="98">IF(ISERROR(AN56/AL56*1000000),0,(AN56/AL56*1000000))</f>
        <v>0</v>
      </c>
      <c r="AN56" s="112" t="e">
        <f>'North America'!#REF!+Europe!#REF!+'Asia-Pacific'!#REF!+'Rest of world'!#REF!</f>
        <v>#REF!</v>
      </c>
      <c r="AO56" s="113" t="e">
        <f>'North America'!#REF!+Europe!#REF!+'Asia-Pacific'!#REF!+'Rest of world'!#REF!</f>
        <v>#REF!</v>
      </c>
      <c r="AP56" s="27">
        <f>'North America'!AF56+Europe!AF56+'Asia-Pacific'!AF56+'Rest of world'!AF56</f>
        <v>0</v>
      </c>
      <c r="AQ56" s="23">
        <f t="shared" ref="AQ56:AQ61" si="99">IF(ISERROR(AR56/AP56*1000000),0,(AR56/AP56*1000000))</f>
        <v>0</v>
      </c>
      <c r="AR56" s="112" t="e">
        <f>'North America'!#REF!+Europe!#REF!+'Asia-Pacific'!#REF!+'Rest of world'!#REF!</f>
        <v>#REF!</v>
      </c>
      <c r="AS56" s="113" t="e">
        <f>'North America'!#REF!+Europe!#REF!+'Asia-Pacific'!#REF!+'Rest of world'!#REF!</f>
        <v>#REF!</v>
      </c>
      <c r="AT56" s="27">
        <f>'North America'!AJ56+Europe!AJ56+'Asia-Pacific'!AJ56+'Rest of world'!AJ56</f>
        <v>0</v>
      </c>
      <c r="AU56" s="23">
        <f t="shared" ref="AU56:AU61" si="100">IF(ISERROR(AV56/AT56*1000000),0,(AV56/AT56*1000000))</f>
        <v>0</v>
      </c>
      <c r="AV56" s="112" t="e">
        <f>'North America'!#REF!+Europe!#REF!+'Asia-Pacific'!#REF!+'Rest of world'!#REF!</f>
        <v>#REF!</v>
      </c>
      <c r="AW56" s="113" t="e">
        <f>'North America'!#REF!+Europe!#REF!+'Asia-Pacific'!#REF!+'Rest of world'!#REF!</f>
        <v>#REF!</v>
      </c>
      <c r="AX56" s="27">
        <f>'North America'!AN56+Europe!AN56+'Asia-Pacific'!AN56+'Rest of world'!AN56</f>
        <v>0</v>
      </c>
      <c r="AY56" s="23">
        <f t="shared" ref="AY56:AY61" si="101">IF(ISERROR(AZ56/AX56*1000000),0,(AZ56/AX56*1000000))</f>
        <v>0</v>
      </c>
      <c r="AZ56" s="112" t="e">
        <f>'North America'!#REF!+Europe!#REF!+'Asia-Pacific'!#REF!+'Rest of world'!#REF!</f>
        <v>#REF!</v>
      </c>
      <c r="BA56" s="113" t="e">
        <f>'North America'!#REF!+Europe!#REF!+'Asia-Pacific'!#REF!+'Rest of world'!#REF!</f>
        <v>#REF!</v>
      </c>
      <c r="BB56" s="27">
        <f>'North America'!AR56+Europe!AR56+'Asia-Pacific'!AR56+'Rest of world'!AR56</f>
        <v>0</v>
      </c>
      <c r="BC56" s="23">
        <f t="shared" ref="BC56:BC61" si="102">IF(ISERROR(BD56/BB56*1000000),0,(BD56/BB56*1000000))</f>
        <v>0</v>
      </c>
      <c r="BD56" s="112" t="e">
        <f>'North America'!#REF!+Europe!#REF!+'Asia-Pacific'!#REF!+'Rest of world'!#REF!</f>
        <v>#REF!</v>
      </c>
      <c r="BE56" s="113" t="e">
        <f>'North America'!#REF!+Europe!#REF!+'Asia-Pacific'!#REF!+'Rest of world'!#REF!</f>
        <v>#REF!</v>
      </c>
      <c r="BF56" s="27">
        <f>'North America'!AV56+Europe!AV56+'Asia-Pacific'!AV56+'Rest of world'!AV56</f>
        <v>0</v>
      </c>
      <c r="BG56" s="23">
        <f t="shared" ref="BG56:BG61" si="103">IF(ISERROR(BH56/BF56*1000000),0,(BH56/BF56*1000000))</f>
        <v>0</v>
      </c>
      <c r="BH56" s="112" t="e">
        <f>'North America'!#REF!+Europe!#REF!+'Asia-Pacific'!#REF!+'Rest of world'!#REF!</f>
        <v>#REF!</v>
      </c>
      <c r="BI56" s="113" t="e">
        <f>'North America'!#REF!+Europe!#REF!+'Asia-Pacific'!#REF!+'Rest of world'!#REF!</f>
        <v>#REF!</v>
      </c>
      <c r="BK56" s="240">
        <f t="shared" ref="BK56:BK70" si="104">N56+R56+V56</f>
        <v>0</v>
      </c>
      <c r="BL56" s="241" t="e">
        <f t="shared" ref="BL56:BL69" si="105">Q56+U56+Y56</f>
        <v>#REF!</v>
      </c>
      <c r="BM56" s="240">
        <f t="shared" ref="BM56:BM70" si="106">Z56+AD56+AH56</f>
        <v>0</v>
      </c>
      <c r="BN56" s="241" t="e">
        <f t="shared" ref="BN56:BN69" si="107">AC56+AG56+AK56</f>
        <v>#REF!</v>
      </c>
      <c r="BO56" s="240">
        <f t="shared" ref="BO56:BO70" si="108">AL56+AP56+AT56</f>
        <v>0</v>
      </c>
      <c r="BP56" s="241" t="e">
        <f t="shared" ref="BP56:BP69" si="109">AO56+AS56+AW56</f>
        <v>#REF!</v>
      </c>
      <c r="BQ56" s="201">
        <f t="shared" ref="BQ56:BQ70" si="110">BF56+BB56+AX56</f>
        <v>0</v>
      </c>
      <c r="BR56" s="204" t="e">
        <f t="shared" ref="BR56:BR69" si="111">BA56+BE56+BI56</f>
        <v>#REF!</v>
      </c>
      <c r="BS56" s="240">
        <f t="shared" si="37"/>
        <v>0</v>
      </c>
      <c r="BT56" s="253" t="e">
        <f t="shared" si="32"/>
        <v>#REF!</v>
      </c>
      <c r="BU56" s="246" t="e">
        <f t="shared" ref="BU56:BU69" si="112">BT56-M56</f>
        <v>#REF!</v>
      </c>
      <c r="BV56" s="201">
        <f t="shared" ref="BV56:BV70" si="113">BS56-J56</f>
        <v>0</v>
      </c>
      <c r="BW56" s="2"/>
      <c r="BX56" s="33">
        <f t="shared" si="33"/>
        <v>0</v>
      </c>
      <c r="BY56" s="113" t="e">
        <f t="shared" si="34"/>
        <v>#REF!</v>
      </c>
      <c r="CA56" s="27">
        <f>+Domestic!B56</f>
        <v>11000</v>
      </c>
      <c r="CB56" s="113" t="e">
        <f>+Domestic!#REF!</f>
        <v>#REF!</v>
      </c>
      <c r="CD56" s="27">
        <f t="shared" si="35"/>
        <v>11000</v>
      </c>
      <c r="CE56" s="113" t="e">
        <f t="shared" si="36"/>
        <v>#REF!</v>
      </c>
      <c r="DJ56" s="210">
        <v>2800</v>
      </c>
      <c r="DK56" s="211">
        <v>763.99499999999989</v>
      </c>
      <c r="DL56" s="200">
        <v>2.1391859999999996</v>
      </c>
      <c r="DM56" s="209">
        <v>9.6263369999999977</v>
      </c>
      <c r="DN56" s="201">
        <f t="shared" si="88"/>
        <v>-2800</v>
      </c>
      <c r="DO56" s="201">
        <f t="shared" si="89"/>
        <v>-763.99499999999989</v>
      </c>
      <c r="DP56" s="204" t="e">
        <f t="shared" si="90"/>
        <v>#REF!</v>
      </c>
    </row>
    <row r="57" spans="1:120" ht="12.6" customHeight="1">
      <c r="A57" s="35" t="s">
        <v>57</v>
      </c>
      <c r="B57" s="135"/>
      <c r="C57" s="135"/>
      <c r="D57" s="135"/>
      <c r="E57" s="157"/>
      <c r="F57" s="149"/>
      <c r="G57" s="151"/>
      <c r="H57" s="135"/>
      <c r="I57" s="151">
        <f t="shared" si="18"/>
        <v>0</v>
      </c>
      <c r="J57" s="27">
        <f t="shared" si="92"/>
        <v>0</v>
      </c>
      <c r="K57" s="23">
        <f t="shared" si="93"/>
        <v>0</v>
      </c>
      <c r="L57" s="112" t="e">
        <f t="shared" ref="L57:M60" si="114">P57+T57+X57+AB57+AF57+AJ57+AN57+AR57+AV57+AZ57+BD57+BH57</f>
        <v>#REF!</v>
      </c>
      <c r="M57" s="113" t="e">
        <f t="shared" si="114"/>
        <v>#REF!</v>
      </c>
      <c r="N57" s="26">
        <f>Europe!D57+'Asia-Pacific'!D57+'Rest of world'!D57+'North America'!D57+'Latin America'!D57</f>
        <v>0</v>
      </c>
      <c r="O57" s="23">
        <f t="shared" si="3"/>
        <v>0</v>
      </c>
      <c r="P57" s="112" t="e">
        <f>'North America'!#REF!+Europe!#REF!+'Asia-Pacific'!#REF!+'Rest of world'!#REF!</f>
        <v>#REF!</v>
      </c>
      <c r="Q57" s="113" t="e">
        <f>'North America'!#REF!+Europe!#REF!+'Asia-Pacific'!#REF!+'Rest of world'!#REF!</f>
        <v>#REF!</v>
      </c>
      <c r="R57" s="27">
        <f>'North America'!H57+Europe!H57+'Asia-Pacific'!H57+'Rest of world'!H57</f>
        <v>0</v>
      </c>
      <c r="S57" s="23">
        <f t="shared" si="4"/>
        <v>0</v>
      </c>
      <c r="T57" s="112" t="e">
        <f>'North America'!#REF!+Europe!#REF!+'Asia-Pacific'!#REF!+'Rest of world'!#REF!</f>
        <v>#REF!</v>
      </c>
      <c r="U57" s="113" t="e">
        <f>'North America'!#REF!+Europe!#REF!+'Asia-Pacific'!#REF!+'Rest of world'!#REF!</f>
        <v>#REF!</v>
      </c>
      <c r="V57" s="27">
        <f>'North America'!L57+Europe!L57+'Asia-Pacific'!L57+'Rest of world'!L57</f>
        <v>0</v>
      </c>
      <c r="W57" s="23">
        <f t="shared" si="94"/>
        <v>0</v>
      </c>
      <c r="X57" s="112" t="e">
        <f>'North America'!#REF!+Europe!#REF!+'Asia-Pacific'!#REF!+'Rest of world'!#REF!</f>
        <v>#REF!</v>
      </c>
      <c r="Y57" s="113" t="e">
        <f>'North America'!#REF!+Europe!#REF!+'Asia-Pacific'!#REF!+'Rest of world'!#REF!</f>
        <v>#REF!</v>
      </c>
      <c r="Z57" s="27">
        <f>'North America'!P57+Europe!P57+'Asia-Pacific'!P57+'Rest of world'!P57</f>
        <v>0</v>
      </c>
      <c r="AA57" s="23">
        <f t="shared" si="95"/>
        <v>0</v>
      </c>
      <c r="AB57" s="112" t="e">
        <f>'North America'!#REF!+Europe!#REF!+'Asia-Pacific'!#REF!+'Rest of world'!#REF!</f>
        <v>#REF!</v>
      </c>
      <c r="AC57" s="113" t="e">
        <f>'North America'!#REF!+Europe!#REF!+'Asia-Pacific'!#REF!+'Rest of world'!#REF!</f>
        <v>#REF!</v>
      </c>
      <c r="AD57" s="27">
        <f>'North America'!T57+Europe!T57+'Asia-Pacific'!T57+'Rest of world'!T57</f>
        <v>0</v>
      </c>
      <c r="AE57" s="23">
        <f t="shared" si="96"/>
        <v>0</v>
      </c>
      <c r="AF57" s="112">
        <f>'North America'!V57+Europe!V57+'Asia-Pacific'!V57+'Rest of world'!V57</f>
        <v>0</v>
      </c>
      <c r="AG57" s="113">
        <f>'North America'!W57+Europe!W57+'Asia-Pacific'!W57+'Rest of world'!W57</f>
        <v>0</v>
      </c>
      <c r="AH57" s="27">
        <f>'North America'!X57+Europe!X57+'Asia-Pacific'!X57+'Rest of world'!X57</f>
        <v>0</v>
      </c>
      <c r="AI57" s="23">
        <f t="shared" si="97"/>
        <v>0</v>
      </c>
      <c r="AJ57" s="112" t="e">
        <f>'North America'!Z57+Europe!Z57+'Asia-Pacific'!Z57+'Rest of world'!#REF!</f>
        <v>#REF!</v>
      </c>
      <c r="AK57" s="113">
        <f>'North America'!AA57+Europe!AA57+'Asia-Pacific'!AA57+'Rest of world'!AA57</f>
        <v>0</v>
      </c>
      <c r="AL57" s="27">
        <f>'North America'!AB57+Europe!AB57+'Asia-Pacific'!AB57+'Rest of world'!AB57</f>
        <v>0</v>
      </c>
      <c r="AM57" s="23">
        <f t="shared" si="98"/>
        <v>0</v>
      </c>
      <c r="AN57" s="112" t="e">
        <f>'North America'!#REF!+Europe!#REF!+'Asia-Pacific'!#REF!+'Rest of world'!#REF!</f>
        <v>#REF!</v>
      </c>
      <c r="AO57" s="113" t="e">
        <f>'North America'!#REF!+Europe!#REF!+'Asia-Pacific'!#REF!+'Rest of world'!#REF!</f>
        <v>#REF!</v>
      </c>
      <c r="AP57" s="27">
        <f>'North America'!AF57+Europe!AF57+'Asia-Pacific'!AF57+'Rest of world'!AF57</f>
        <v>0</v>
      </c>
      <c r="AQ57" s="23">
        <f t="shared" si="99"/>
        <v>0</v>
      </c>
      <c r="AR57" s="112" t="e">
        <f>'North America'!#REF!+Europe!#REF!+'Asia-Pacific'!#REF!+'Rest of world'!#REF!</f>
        <v>#REF!</v>
      </c>
      <c r="AS57" s="113" t="e">
        <f>'North America'!#REF!+Europe!#REF!+'Asia-Pacific'!#REF!+'Rest of world'!#REF!</f>
        <v>#REF!</v>
      </c>
      <c r="AT57" s="27">
        <f>'North America'!AJ57+Europe!AJ57+'Asia-Pacific'!AJ57+'Rest of world'!AJ57</f>
        <v>0</v>
      </c>
      <c r="AU57" s="23">
        <f t="shared" si="100"/>
        <v>0</v>
      </c>
      <c r="AV57" s="112" t="e">
        <f>'North America'!#REF!+Europe!#REF!+'Asia-Pacific'!#REF!+'Rest of world'!#REF!</f>
        <v>#REF!</v>
      </c>
      <c r="AW57" s="113" t="e">
        <f>'North America'!#REF!+Europe!#REF!+'Asia-Pacific'!#REF!+'Rest of world'!#REF!</f>
        <v>#REF!</v>
      </c>
      <c r="AX57" s="27">
        <f>'North America'!AN57+Europe!AN57+'Asia-Pacific'!AN57+'Rest of world'!AN57</f>
        <v>0</v>
      </c>
      <c r="AY57" s="23">
        <f t="shared" si="101"/>
        <v>0</v>
      </c>
      <c r="AZ57" s="112" t="e">
        <f>'North America'!#REF!+Europe!#REF!+'Asia-Pacific'!#REF!+'Rest of world'!#REF!</f>
        <v>#REF!</v>
      </c>
      <c r="BA57" s="113" t="e">
        <f>'North America'!#REF!+Europe!#REF!+'Asia-Pacific'!#REF!+'Rest of world'!#REF!</f>
        <v>#REF!</v>
      </c>
      <c r="BB57" s="27">
        <f>'North America'!AR57+Europe!AR57+'Asia-Pacific'!AR57+'Rest of world'!AR57</f>
        <v>0</v>
      </c>
      <c r="BC57" s="23">
        <f t="shared" si="102"/>
        <v>0</v>
      </c>
      <c r="BD57" s="112" t="e">
        <f>'North America'!#REF!+Europe!#REF!+'Asia-Pacific'!#REF!+'Rest of world'!#REF!</f>
        <v>#REF!</v>
      </c>
      <c r="BE57" s="113" t="e">
        <f>'North America'!#REF!+Europe!#REF!+'Asia-Pacific'!#REF!+'Rest of world'!#REF!</f>
        <v>#REF!</v>
      </c>
      <c r="BF57" s="27">
        <f>'North America'!AV57+Europe!AV57+'Asia-Pacific'!AV57+'Rest of world'!AV57</f>
        <v>0</v>
      </c>
      <c r="BG57" s="23">
        <f t="shared" si="103"/>
        <v>0</v>
      </c>
      <c r="BH57" s="112" t="e">
        <f>'North America'!#REF!+Europe!#REF!+'Asia-Pacific'!#REF!+'Rest of world'!#REF!</f>
        <v>#REF!</v>
      </c>
      <c r="BI57" s="113" t="e">
        <f>'North America'!#REF!+Europe!#REF!+'Asia-Pacific'!#REF!+'Rest of world'!#REF!</f>
        <v>#REF!</v>
      </c>
      <c r="BK57" s="240">
        <f t="shared" si="104"/>
        <v>0</v>
      </c>
      <c r="BL57" s="241" t="e">
        <f t="shared" si="105"/>
        <v>#REF!</v>
      </c>
      <c r="BM57" s="240">
        <f t="shared" si="106"/>
        <v>0</v>
      </c>
      <c r="BN57" s="241" t="e">
        <f t="shared" si="107"/>
        <v>#REF!</v>
      </c>
      <c r="BO57" s="240">
        <f t="shared" si="108"/>
        <v>0</v>
      </c>
      <c r="BP57" s="241" t="e">
        <f t="shared" si="109"/>
        <v>#REF!</v>
      </c>
      <c r="BQ57" s="201">
        <f t="shared" si="110"/>
        <v>0</v>
      </c>
      <c r="BR57" s="204" t="e">
        <f t="shared" si="111"/>
        <v>#REF!</v>
      </c>
      <c r="BS57" s="240">
        <f t="shared" si="37"/>
        <v>0</v>
      </c>
      <c r="BT57" s="253" t="e">
        <f t="shared" si="32"/>
        <v>#REF!</v>
      </c>
      <c r="BU57" s="246" t="e">
        <f t="shared" si="112"/>
        <v>#REF!</v>
      </c>
      <c r="BV57" s="201">
        <f t="shared" si="113"/>
        <v>0</v>
      </c>
      <c r="BW57" s="2"/>
      <c r="BX57" s="33">
        <f t="shared" si="33"/>
        <v>0</v>
      </c>
      <c r="BY57" s="113" t="e">
        <f t="shared" si="34"/>
        <v>#REF!</v>
      </c>
      <c r="CA57" s="27">
        <f>+Domestic!B57</f>
        <v>4000</v>
      </c>
      <c r="CB57" s="113" t="e">
        <f>+Domestic!#REF!</f>
        <v>#REF!</v>
      </c>
      <c r="CD57" s="27">
        <f t="shared" si="35"/>
        <v>4000</v>
      </c>
      <c r="CE57" s="113" t="e">
        <f t="shared" si="36"/>
        <v>#REF!</v>
      </c>
      <c r="DJ57" s="210">
        <v>11499</v>
      </c>
      <c r="DK57" s="211">
        <v>784.98627706757111</v>
      </c>
      <c r="DL57" s="200">
        <v>9.0265572000000009</v>
      </c>
      <c r="DM57" s="209">
        <v>40.61950740000001</v>
      </c>
      <c r="DN57" s="201">
        <f t="shared" si="88"/>
        <v>-11499</v>
      </c>
      <c r="DO57" s="201">
        <f t="shared" si="89"/>
        <v>-784.98627706757111</v>
      </c>
      <c r="DP57" s="204" t="e">
        <f t="shared" si="90"/>
        <v>#REF!</v>
      </c>
    </row>
    <row r="58" spans="1:120" ht="12.6" customHeight="1">
      <c r="A58" s="35" t="s">
        <v>58</v>
      </c>
      <c r="B58" s="135"/>
      <c r="C58" s="135"/>
      <c r="D58" s="135"/>
      <c r="E58" s="157"/>
      <c r="F58" s="149"/>
      <c r="G58" s="151"/>
      <c r="H58" s="135"/>
      <c r="I58" s="151">
        <f t="shared" si="18"/>
        <v>0</v>
      </c>
      <c r="J58" s="27">
        <f t="shared" si="92"/>
        <v>0</v>
      </c>
      <c r="K58" s="23">
        <f t="shared" si="93"/>
        <v>0</v>
      </c>
      <c r="L58" s="112" t="e">
        <f t="shared" si="114"/>
        <v>#REF!</v>
      </c>
      <c r="M58" s="113" t="e">
        <f t="shared" si="114"/>
        <v>#REF!</v>
      </c>
      <c r="N58" s="26">
        <f>Europe!D58+'Asia-Pacific'!D58+'Rest of world'!D58+'North America'!D58+'Latin America'!D58</f>
        <v>0</v>
      </c>
      <c r="O58" s="23">
        <f t="shared" si="3"/>
        <v>0</v>
      </c>
      <c r="P58" s="112" t="e">
        <f>'North America'!#REF!+Europe!#REF!+'Asia-Pacific'!#REF!+'Rest of world'!#REF!</f>
        <v>#REF!</v>
      </c>
      <c r="Q58" s="113" t="e">
        <f>'North America'!#REF!+Europe!#REF!+'Asia-Pacific'!#REF!+'Rest of world'!#REF!</f>
        <v>#REF!</v>
      </c>
      <c r="R58" s="27">
        <f>'North America'!H58+Europe!H58+'Asia-Pacific'!H58+'Rest of world'!H58</f>
        <v>0</v>
      </c>
      <c r="S58" s="23">
        <f t="shared" si="4"/>
        <v>0</v>
      </c>
      <c r="T58" s="112" t="e">
        <f>'North America'!#REF!+Europe!#REF!+'Asia-Pacific'!#REF!+'Rest of world'!#REF!</f>
        <v>#REF!</v>
      </c>
      <c r="U58" s="113" t="e">
        <f>'North America'!#REF!+Europe!#REF!+'Asia-Pacific'!#REF!+'Rest of world'!#REF!</f>
        <v>#REF!</v>
      </c>
      <c r="V58" s="27">
        <f>'North America'!L58+Europe!L58+'Asia-Pacific'!L58+'Rest of world'!L58</f>
        <v>0</v>
      </c>
      <c r="W58" s="23">
        <f t="shared" si="94"/>
        <v>0</v>
      </c>
      <c r="X58" s="112" t="e">
        <f>'North America'!#REF!+Europe!#REF!+'Asia-Pacific'!#REF!+'Rest of world'!#REF!</f>
        <v>#REF!</v>
      </c>
      <c r="Y58" s="113" t="e">
        <f>'North America'!#REF!+Europe!#REF!+'Asia-Pacific'!#REF!+'Rest of world'!#REF!</f>
        <v>#REF!</v>
      </c>
      <c r="Z58" s="27">
        <f>'North America'!P58+Europe!P58+'Asia-Pacific'!P58+'Rest of world'!P58</f>
        <v>0</v>
      </c>
      <c r="AA58" s="23">
        <f t="shared" si="95"/>
        <v>0</v>
      </c>
      <c r="AB58" s="112" t="e">
        <f>'North America'!#REF!+Europe!#REF!+'Asia-Pacific'!#REF!+'Rest of world'!#REF!</f>
        <v>#REF!</v>
      </c>
      <c r="AC58" s="113" t="e">
        <f>'North America'!#REF!+Europe!#REF!+'Asia-Pacific'!#REF!+'Rest of world'!#REF!</f>
        <v>#REF!</v>
      </c>
      <c r="AD58" s="27">
        <f>'North America'!T58+Europe!T58+'Asia-Pacific'!T58+'Rest of world'!T58</f>
        <v>0</v>
      </c>
      <c r="AE58" s="23">
        <f t="shared" si="96"/>
        <v>0</v>
      </c>
      <c r="AF58" s="112">
        <f>'North America'!V58+Europe!V58+'Asia-Pacific'!V58+'Rest of world'!V58</f>
        <v>902</v>
      </c>
      <c r="AG58" s="113">
        <f>'North America'!W58+Europe!W58+'Asia-Pacific'!W58+'Rest of world'!W58</f>
        <v>1.8111258000000002E-2</v>
      </c>
      <c r="AH58" s="27">
        <f>'North America'!X58+Europe!X58+'Asia-Pacific'!X58+'Rest of world'!X58</f>
        <v>0</v>
      </c>
      <c r="AI58" s="23">
        <f t="shared" si="97"/>
        <v>0</v>
      </c>
      <c r="AJ58" s="112" t="e">
        <f>'North America'!Z58+Europe!Z58+'Asia-Pacific'!Z58+'Rest of world'!#REF!</f>
        <v>#REF!</v>
      </c>
      <c r="AK58" s="113">
        <f>'North America'!AA58+Europe!AA58+'Asia-Pacific'!AA58+'Rest of world'!AA58</f>
        <v>0</v>
      </c>
      <c r="AL58" s="27">
        <f>'North America'!AB58+Europe!AB58+'Asia-Pacific'!AB58+'Rest of world'!AB58</f>
        <v>0</v>
      </c>
      <c r="AM58" s="23">
        <f t="shared" si="98"/>
        <v>0</v>
      </c>
      <c r="AN58" s="112" t="e">
        <f>'North America'!#REF!+Europe!#REF!+'Asia-Pacific'!#REF!+'Rest of world'!#REF!</f>
        <v>#REF!</v>
      </c>
      <c r="AO58" s="113" t="e">
        <f>'North America'!#REF!+Europe!#REF!+'Asia-Pacific'!#REF!+'Rest of world'!#REF!</f>
        <v>#REF!</v>
      </c>
      <c r="AP58" s="27">
        <f>'North America'!AF58+Europe!AF58+'Asia-Pacific'!AF58+'Rest of world'!AF58</f>
        <v>0</v>
      </c>
      <c r="AQ58" s="23">
        <f t="shared" si="99"/>
        <v>0</v>
      </c>
      <c r="AR58" s="112" t="e">
        <f>'North America'!#REF!+Europe!#REF!+'Asia-Pacific'!#REF!+'Rest of world'!#REF!</f>
        <v>#REF!</v>
      </c>
      <c r="AS58" s="113" t="e">
        <f>'North America'!#REF!+Europe!#REF!+'Asia-Pacific'!#REF!+'Rest of world'!#REF!</f>
        <v>#REF!</v>
      </c>
      <c r="AT58" s="27">
        <f>'North America'!AJ58+Europe!AJ58+'Asia-Pacific'!AJ58+'Rest of world'!AJ58</f>
        <v>0</v>
      </c>
      <c r="AU58" s="23">
        <f t="shared" si="100"/>
        <v>0</v>
      </c>
      <c r="AV58" s="112" t="e">
        <f>'North America'!#REF!+Europe!#REF!+'Asia-Pacific'!#REF!+'Rest of world'!#REF!</f>
        <v>#REF!</v>
      </c>
      <c r="AW58" s="113" t="e">
        <f>'North America'!#REF!+Europe!#REF!+'Asia-Pacific'!#REF!+'Rest of world'!#REF!</f>
        <v>#REF!</v>
      </c>
      <c r="AX58" s="27">
        <f>'North America'!AN58+Europe!AN58+'Asia-Pacific'!AN58+'Rest of world'!AN58</f>
        <v>0</v>
      </c>
      <c r="AY58" s="23">
        <f t="shared" si="101"/>
        <v>0</v>
      </c>
      <c r="AZ58" s="112" t="e">
        <f>'North America'!#REF!+Europe!#REF!+'Asia-Pacific'!#REF!+'Rest of world'!#REF!</f>
        <v>#REF!</v>
      </c>
      <c r="BA58" s="113" t="e">
        <f>'North America'!#REF!+Europe!#REF!+'Asia-Pacific'!#REF!+'Rest of world'!#REF!</f>
        <v>#REF!</v>
      </c>
      <c r="BB58" s="27">
        <f>'North America'!AR58+Europe!AR58+'Asia-Pacific'!AR58+'Rest of world'!AR58</f>
        <v>0</v>
      </c>
      <c r="BC58" s="23">
        <f t="shared" si="102"/>
        <v>0</v>
      </c>
      <c r="BD58" s="112" t="e">
        <f>'North America'!#REF!+Europe!#REF!+'Asia-Pacific'!#REF!+'Rest of world'!#REF!</f>
        <v>#REF!</v>
      </c>
      <c r="BE58" s="113" t="e">
        <f>'North America'!#REF!+Europe!#REF!+'Asia-Pacific'!#REF!+'Rest of world'!#REF!</f>
        <v>#REF!</v>
      </c>
      <c r="BF58" s="27">
        <f>'North America'!AV58+Europe!AV58+'Asia-Pacific'!AV58+'Rest of world'!AV58</f>
        <v>0</v>
      </c>
      <c r="BG58" s="23">
        <f t="shared" si="103"/>
        <v>0</v>
      </c>
      <c r="BH58" s="112" t="e">
        <f>'North America'!#REF!+Europe!#REF!+'Asia-Pacific'!#REF!+'Rest of world'!#REF!</f>
        <v>#REF!</v>
      </c>
      <c r="BI58" s="113" t="e">
        <f>'North America'!#REF!+Europe!#REF!+'Asia-Pacific'!#REF!+'Rest of world'!#REF!</f>
        <v>#REF!</v>
      </c>
      <c r="BK58" s="240">
        <f t="shared" si="104"/>
        <v>0</v>
      </c>
      <c r="BL58" s="241" t="e">
        <f t="shared" si="105"/>
        <v>#REF!</v>
      </c>
      <c r="BM58" s="240">
        <f t="shared" si="106"/>
        <v>0</v>
      </c>
      <c r="BN58" s="241" t="e">
        <f t="shared" si="107"/>
        <v>#REF!</v>
      </c>
      <c r="BO58" s="240">
        <f t="shared" si="108"/>
        <v>0</v>
      </c>
      <c r="BP58" s="241" t="e">
        <f t="shared" si="109"/>
        <v>#REF!</v>
      </c>
      <c r="BQ58" s="201">
        <f t="shared" si="110"/>
        <v>0</v>
      </c>
      <c r="BR58" s="204" t="e">
        <f t="shared" si="111"/>
        <v>#REF!</v>
      </c>
      <c r="BS58" s="240">
        <f t="shared" si="37"/>
        <v>0</v>
      </c>
      <c r="BT58" s="253" t="e">
        <f t="shared" si="32"/>
        <v>#REF!</v>
      </c>
      <c r="BU58" s="246" t="e">
        <f t="shared" si="112"/>
        <v>#REF!</v>
      </c>
      <c r="BV58" s="201">
        <f t="shared" si="113"/>
        <v>0</v>
      </c>
      <c r="BW58" s="2"/>
      <c r="BX58" s="33">
        <f t="shared" si="33"/>
        <v>0</v>
      </c>
      <c r="BY58" s="113" t="e">
        <f t="shared" si="34"/>
        <v>#REF!</v>
      </c>
      <c r="CA58" s="27">
        <f>+Domestic!B58</f>
        <v>0</v>
      </c>
      <c r="CB58" s="113" t="e">
        <f>+Domestic!#REF!</f>
        <v>#REF!</v>
      </c>
      <c r="CD58" s="27">
        <f t="shared" si="35"/>
        <v>0</v>
      </c>
      <c r="CE58" s="113" t="e">
        <f t="shared" si="36"/>
        <v>#REF!</v>
      </c>
      <c r="DJ58" s="210">
        <v>2000</v>
      </c>
      <c r="DK58" s="211">
        <v>751.77999999999986</v>
      </c>
      <c r="DL58" s="200">
        <v>1.5035599999999998</v>
      </c>
      <c r="DM58" s="209">
        <v>6.7660199999999993</v>
      </c>
      <c r="DN58" s="201">
        <f t="shared" si="88"/>
        <v>-2000</v>
      </c>
      <c r="DO58" s="201">
        <f t="shared" si="89"/>
        <v>-751.77999999999986</v>
      </c>
      <c r="DP58" s="204" t="e">
        <f t="shared" si="90"/>
        <v>#REF!</v>
      </c>
    </row>
    <row r="59" spans="1:120" ht="12.6" customHeight="1">
      <c r="A59" s="38" t="s">
        <v>103</v>
      </c>
      <c r="B59" s="148"/>
      <c r="C59" s="148"/>
      <c r="D59" s="148"/>
      <c r="E59" s="158"/>
      <c r="F59" s="149"/>
      <c r="G59" s="151"/>
      <c r="H59" s="135"/>
      <c r="I59" s="151">
        <f t="shared" si="18"/>
        <v>0</v>
      </c>
      <c r="J59" s="27">
        <f t="shared" si="92"/>
        <v>0</v>
      </c>
      <c r="K59" s="23">
        <f t="shared" si="93"/>
        <v>0</v>
      </c>
      <c r="L59" s="112" t="e">
        <f>P59+T59+X59+AB59+AF59+AJ59+AN59+AR59+AV59+AZ59+BD59+BH59</f>
        <v>#REF!</v>
      </c>
      <c r="M59" s="113" t="e">
        <f>Q59+U59+Y59+AC59+AG59+AK59+AO59+AS59+AW59+BA59+BE59+BI59</f>
        <v>#REF!</v>
      </c>
      <c r="N59" s="26">
        <f>Europe!D59+'Asia-Pacific'!D59+'Rest of world'!D59+'North America'!D59+'Latin America'!D59</f>
        <v>0</v>
      </c>
      <c r="O59" s="23">
        <f>IF(ISERROR(P59/N59*1000000),0,(P59/N59*1000000))</f>
        <v>0</v>
      </c>
      <c r="P59" s="112" t="e">
        <f>'North America'!#REF!+Europe!#REF!+'Asia-Pacific'!#REF!+'Rest of world'!#REF!</f>
        <v>#REF!</v>
      </c>
      <c r="Q59" s="113" t="e">
        <f>'North America'!#REF!+Europe!#REF!+'Asia-Pacific'!#REF!+'Rest of world'!#REF!</f>
        <v>#REF!</v>
      </c>
      <c r="R59" s="27">
        <f>'North America'!H59+Europe!H59+'Asia-Pacific'!H59+'Rest of world'!H59</f>
        <v>0</v>
      </c>
      <c r="S59" s="23">
        <f>IF(ISERROR(T59/R59*1000000),0,(T59/R59*1000000))</f>
        <v>0</v>
      </c>
      <c r="T59" s="112" t="e">
        <f>'North America'!#REF!+Europe!#REF!+'Asia-Pacific'!#REF!+'Rest of world'!#REF!</f>
        <v>#REF!</v>
      </c>
      <c r="U59" s="113" t="e">
        <f>'North America'!#REF!+Europe!#REF!+'Asia-Pacific'!#REF!+'Rest of world'!#REF!</f>
        <v>#REF!</v>
      </c>
      <c r="V59" s="27">
        <f>'North America'!L59+Europe!L59+'Asia-Pacific'!L59+'Rest of world'!L59</f>
        <v>0</v>
      </c>
      <c r="W59" s="23">
        <f t="shared" si="94"/>
        <v>0</v>
      </c>
      <c r="X59" s="112" t="e">
        <f>'North America'!#REF!+Europe!#REF!+'Asia-Pacific'!#REF!+'Rest of world'!#REF!</f>
        <v>#REF!</v>
      </c>
      <c r="Y59" s="113" t="e">
        <f>'North America'!#REF!+Europe!#REF!+'Asia-Pacific'!#REF!+'Rest of world'!#REF!</f>
        <v>#REF!</v>
      </c>
      <c r="Z59" s="27">
        <f>'North America'!P59+Europe!P59+'Asia-Pacific'!P59+'Rest of world'!P59</f>
        <v>0</v>
      </c>
      <c r="AA59" s="23">
        <f t="shared" si="95"/>
        <v>0</v>
      </c>
      <c r="AB59" s="112" t="e">
        <f>'North America'!#REF!+Europe!#REF!+'Asia-Pacific'!#REF!+'Rest of world'!#REF!</f>
        <v>#REF!</v>
      </c>
      <c r="AC59" s="113" t="e">
        <f>'North America'!#REF!+Europe!#REF!+'Asia-Pacific'!#REF!+'Rest of world'!#REF!</f>
        <v>#REF!</v>
      </c>
      <c r="AD59" s="27">
        <f>'North America'!T59+Europe!T59+'Asia-Pacific'!T59+'Rest of world'!T59</f>
        <v>0</v>
      </c>
      <c r="AE59" s="23">
        <f t="shared" si="96"/>
        <v>0</v>
      </c>
      <c r="AF59" s="112">
        <f>'North America'!V59+Europe!V59+'Asia-Pacific'!V59+'Rest of world'!V59</f>
        <v>0</v>
      </c>
      <c r="AG59" s="113">
        <f>'North America'!W59+Europe!W59+'Asia-Pacific'!W59+'Rest of world'!W59</f>
        <v>0</v>
      </c>
      <c r="AH59" s="27">
        <f>'North America'!X59+Europe!X59+'Asia-Pacific'!X59+'Rest of world'!X59</f>
        <v>0</v>
      </c>
      <c r="AI59" s="23">
        <f t="shared" si="97"/>
        <v>0</v>
      </c>
      <c r="AJ59" s="112" t="e">
        <f>'North America'!Z59+Europe!Z59+'Asia-Pacific'!Z59+'Rest of world'!#REF!</f>
        <v>#REF!</v>
      </c>
      <c r="AK59" s="113">
        <f>'North America'!AA59+Europe!AA59+'Asia-Pacific'!AA59+'Rest of world'!AA59</f>
        <v>0</v>
      </c>
      <c r="AL59" s="27">
        <f>'North America'!AB59+Europe!AB59+'Asia-Pacific'!AB59+'Rest of world'!AB59</f>
        <v>0</v>
      </c>
      <c r="AM59" s="23">
        <f t="shared" si="98"/>
        <v>0</v>
      </c>
      <c r="AN59" s="112" t="e">
        <f>'North America'!#REF!+Europe!#REF!+'Asia-Pacific'!#REF!+'Rest of world'!#REF!</f>
        <v>#REF!</v>
      </c>
      <c r="AO59" s="113" t="e">
        <f>'North America'!#REF!+Europe!#REF!+'Asia-Pacific'!#REF!+'Rest of world'!#REF!</f>
        <v>#REF!</v>
      </c>
      <c r="AP59" s="27">
        <f>'North America'!AF59+Europe!AF59+'Asia-Pacific'!AF59+'Rest of world'!AF59</f>
        <v>0</v>
      </c>
      <c r="AQ59" s="23">
        <f t="shared" si="99"/>
        <v>0</v>
      </c>
      <c r="AR59" s="112" t="e">
        <f>'North America'!#REF!+Europe!#REF!+'Asia-Pacific'!#REF!+'Rest of world'!#REF!</f>
        <v>#REF!</v>
      </c>
      <c r="AS59" s="113" t="e">
        <f>'North America'!#REF!+Europe!#REF!+'Asia-Pacific'!#REF!+'Rest of world'!#REF!</f>
        <v>#REF!</v>
      </c>
      <c r="AT59" s="27">
        <f>'North America'!AJ59+Europe!AJ59+'Asia-Pacific'!AJ59+'Rest of world'!AJ59</f>
        <v>0</v>
      </c>
      <c r="AU59" s="23">
        <f t="shared" si="100"/>
        <v>0</v>
      </c>
      <c r="AV59" s="112" t="e">
        <f>'North America'!#REF!+Europe!#REF!+'Asia-Pacific'!#REF!+'Rest of world'!#REF!</f>
        <v>#REF!</v>
      </c>
      <c r="AW59" s="113" t="e">
        <f>'North America'!#REF!+Europe!#REF!+'Asia-Pacific'!#REF!+'Rest of world'!#REF!</f>
        <v>#REF!</v>
      </c>
      <c r="AX59" s="27">
        <f>'North America'!AN59+Europe!AN59+'Asia-Pacific'!AN59+'Rest of world'!AN59</f>
        <v>0</v>
      </c>
      <c r="AY59" s="23">
        <f t="shared" si="101"/>
        <v>0</v>
      </c>
      <c r="AZ59" s="112" t="e">
        <f>'North America'!#REF!+Europe!#REF!+'Asia-Pacific'!#REF!+'Rest of world'!#REF!</f>
        <v>#REF!</v>
      </c>
      <c r="BA59" s="113" t="e">
        <f>'North America'!#REF!+Europe!#REF!+'Asia-Pacific'!#REF!+'Rest of world'!#REF!</f>
        <v>#REF!</v>
      </c>
      <c r="BB59" s="27">
        <f>'North America'!AR59+Europe!AR59+'Asia-Pacific'!AR59+'Rest of world'!AR59</f>
        <v>0</v>
      </c>
      <c r="BC59" s="23">
        <f t="shared" si="102"/>
        <v>0</v>
      </c>
      <c r="BD59" s="112" t="e">
        <f>'North America'!#REF!+Europe!#REF!+'Asia-Pacific'!#REF!+'Rest of world'!#REF!</f>
        <v>#REF!</v>
      </c>
      <c r="BE59" s="113" t="e">
        <f>'North America'!#REF!+Europe!#REF!+'Asia-Pacific'!#REF!+'Rest of world'!#REF!</f>
        <v>#REF!</v>
      </c>
      <c r="BF59" s="27">
        <f>'North America'!AV59+Europe!AV59+'Asia-Pacific'!AV59+'Rest of world'!AV59</f>
        <v>0</v>
      </c>
      <c r="BG59" s="23">
        <f t="shared" si="103"/>
        <v>0</v>
      </c>
      <c r="BH59" s="112" t="e">
        <f>'North America'!#REF!+Europe!#REF!+'Asia-Pacific'!#REF!+'Rest of world'!#REF!</f>
        <v>#REF!</v>
      </c>
      <c r="BI59" s="113" t="e">
        <f>'North America'!#REF!+Europe!#REF!+'Asia-Pacific'!#REF!+'Rest of world'!#REF!</f>
        <v>#REF!</v>
      </c>
      <c r="BK59" s="240"/>
      <c r="BL59" s="241"/>
      <c r="BM59" s="240"/>
      <c r="BN59" s="241"/>
      <c r="BO59" s="240"/>
      <c r="BP59" s="241"/>
      <c r="BQ59" s="201"/>
      <c r="BR59" s="204"/>
      <c r="BS59" s="240"/>
      <c r="BT59" s="253"/>
      <c r="BU59" s="246"/>
      <c r="BV59" s="201"/>
      <c r="BW59" s="2"/>
      <c r="BX59" s="46"/>
      <c r="BY59" s="113"/>
      <c r="CA59" s="82"/>
      <c r="CB59" s="113"/>
      <c r="CD59" s="82"/>
      <c r="CE59" s="113"/>
      <c r="DJ59" s="216"/>
      <c r="DK59" s="217"/>
      <c r="DL59" s="200"/>
      <c r="DM59" s="209"/>
      <c r="DN59" s="201"/>
      <c r="DO59" s="201"/>
      <c r="DP59" s="204"/>
    </row>
    <row r="60" spans="1:120" ht="12.6" customHeight="1" thickBot="1">
      <c r="A60" s="38" t="s">
        <v>59</v>
      </c>
      <c r="B60" s="148"/>
      <c r="C60" s="148"/>
      <c r="D60" s="148"/>
      <c r="E60" s="158"/>
      <c r="F60" s="149"/>
      <c r="G60" s="152"/>
      <c r="H60" s="135"/>
      <c r="I60" s="151">
        <f t="shared" si="18"/>
        <v>0</v>
      </c>
      <c r="J60" s="82">
        <f t="shared" si="92"/>
        <v>0</v>
      </c>
      <c r="K60" s="39">
        <f t="shared" si="93"/>
        <v>0</v>
      </c>
      <c r="L60" s="112" t="e">
        <f t="shared" si="114"/>
        <v>#REF!</v>
      </c>
      <c r="M60" s="113" t="e">
        <f t="shared" si="114"/>
        <v>#REF!</v>
      </c>
      <c r="N60" s="26">
        <f>Europe!D60+'Asia-Pacific'!D60+'Rest of world'!D60+'North America'!D60+'Latin America'!D60</f>
        <v>0</v>
      </c>
      <c r="O60" s="39">
        <f t="shared" si="3"/>
        <v>0</v>
      </c>
      <c r="P60" s="112" t="e">
        <f>'North America'!#REF!+Europe!#REF!+'Asia-Pacific'!#REF!+'Rest of world'!#REF!</f>
        <v>#REF!</v>
      </c>
      <c r="Q60" s="113" t="e">
        <f>'North America'!#REF!+Europe!#REF!+'Asia-Pacific'!#REF!+'Rest of world'!#REF!</f>
        <v>#REF!</v>
      </c>
      <c r="R60" s="82">
        <f>'North America'!H60+Europe!H60+'Asia-Pacific'!H60+'Rest of world'!H60</f>
        <v>0</v>
      </c>
      <c r="S60" s="39">
        <f t="shared" si="4"/>
        <v>0</v>
      </c>
      <c r="T60" s="112" t="e">
        <f>'North America'!#REF!+Europe!#REF!+'Asia-Pacific'!#REF!+'Rest of world'!#REF!</f>
        <v>#REF!</v>
      </c>
      <c r="U60" s="113" t="e">
        <f>'North America'!#REF!+Europe!#REF!+'Asia-Pacific'!#REF!+'Rest of world'!#REF!</f>
        <v>#REF!</v>
      </c>
      <c r="V60" s="82">
        <f>'North America'!L60+Europe!L60+'Asia-Pacific'!L60+'Rest of world'!L60</f>
        <v>0</v>
      </c>
      <c r="W60" s="39">
        <f t="shared" si="94"/>
        <v>0</v>
      </c>
      <c r="X60" s="112" t="e">
        <f>'North America'!#REF!+Europe!#REF!+'Asia-Pacific'!#REF!+'Rest of world'!#REF!</f>
        <v>#REF!</v>
      </c>
      <c r="Y60" s="113" t="e">
        <f>'North America'!#REF!+Europe!#REF!+'Asia-Pacific'!#REF!+'Rest of world'!#REF!</f>
        <v>#REF!</v>
      </c>
      <c r="Z60" s="82">
        <f>'North America'!P60+Europe!P60+'Asia-Pacific'!P60+'Rest of world'!P60</f>
        <v>0</v>
      </c>
      <c r="AA60" s="39">
        <f t="shared" si="95"/>
        <v>0</v>
      </c>
      <c r="AB60" s="112" t="e">
        <f>'North America'!#REF!+Europe!#REF!+'Asia-Pacific'!#REF!+'Rest of world'!#REF!</f>
        <v>#REF!</v>
      </c>
      <c r="AC60" s="113" t="e">
        <f>'North America'!#REF!+Europe!#REF!+'Asia-Pacific'!#REF!+'Rest of world'!#REF!</f>
        <v>#REF!</v>
      </c>
      <c r="AD60" s="82">
        <f>'North America'!T60+Europe!T60+'Asia-Pacific'!T60+'Rest of world'!T60</f>
        <v>0</v>
      </c>
      <c r="AE60" s="39">
        <f t="shared" si="96"/>
        <v>0</v>
      </c>
      <c r="AF60" s="112">
        <f>'North America'!V60+Europe!V60+'Asia-Pacific'!V60+'Rest of world'!V60</f>
        <v>0</v>
      </c>
      <c r="AG60" s="113">
        <f>'North America'!W60+Europe!W60+'Asia-Pacific'!W60+'Rest of world'!W60</f>
        <v>0</v>
      </c>
      <c r="AH60" s="82">
        <f>'North America'!X60+Europe!X60+'Asia-Pacific'!X60+'Rest of world'!X60</f>
        <v>0</v>
      </c>
      <c r="AI60" s="39">
        <f t="shared" si="97"/>
        <v>0</v>
      </c>
      <c r="AJ60" s="112" t="e">
        <f>'North America'!Z60+Europe!Z60+'Asia-Pacific'!Z60+'Rest of world'!#REF!</f>
        <v>#REF!</v>
      </c>
      <c r="AK60" s="113">
        <f>'North America'!AA60+Europe!AA60+'Asia-Pacific'!AA60+'Rest of world'!AA60</f>
        <v>0</v>
      </c>
      <c r="AL60" s="82">
        <f>'North America'!AB60+Europe!AB60+'Asia-Pacific'!AB60+'Rest of world'!AB60</f>
        <v>0</v>
      </c>
      <c r="AM60" s="39">
        <f t="shared" si="98"/>
        <v>0</v>
      </c>
      <c r="AN60" s="112" t="e">
        <f>'North America'!#REF!+Europe!#REF!+'Asia-Pacific'!#REF!+'Rest of world'!#REF!</f>
        <v>#REF!</v>
      </c>
      <c r="AO60" s="113" t="e">
        <f>'North America'!#REF!+Europe!#REF!+'Asia-Pacific'!#REF!+'Rest of world'!#REF!</f>
        <v>#REF!</v>
      </c>
      <c r="AP60" s="82">
        <f>'North America'!AF60+Europe!AF60+'Asia-Pacific'!AF60+'Rest of world'!AF60</f>
        <v>0</v>
      </c>
      <c r="AQ60" s="39">
        <f t="shared" si="99"/>
        <v>0</v>
      </c>
      <c r="AR60" s="112" t="e">
        <f>'North America'!#REF!+Europe!#REF!+'Asia-Pacific'!#REF!+'Rest of world'!#REF!</f>
        <v>#REF!</v>
      </c>
      <c r="AS60" s="113" t="e">
        <f>'North America'!#REF!+Europe!#REF!+'Asia-Pacific'!#REF!+'Rest of world'!#REF!</f>
        <v>#REF!</v>
      </c>
      <c r="AT60" s="82">
        <f>'North America'!AJ60+Europe!AJ60+'Asia-Pacific'!AJ60+'Rest of world'!AJ60</f>
        <v>0</v>
      </c>
      <c r="AU60" s="39">
        <f t="shared" si="100"/>
        <v>0</v>
      </c>
      <c r="AV60" s="112" t="e">
        <f>'North America'!#REF!+Europe!#REF!+'Asia-Pacific'!#REF!+'Rest of world'!#REF!</f>
        <v>#REF!</v>
      </c>
      <c r="AW60" s="113" t="e">
        <f>'North America'!#REF!+Europe!#REF!+'Asia-Pacific'!#REF!+'Rest of world'!#REF!</f>
        <v>#REF!</v>
      </c>
      <c r="AX60" s="82">
        <f>'North America'!AN60+Europe!AN60+'Asia-Pacific'!AN60+'Rest of world'!AN60</f>
        <v>0</v>
      </c>
      <c r="AY60" s="39">
        <f t="shared" si="101"/>
        <v>0</v>
      </c>
      <c r="AZ60" s="112" t="e">
        <f>'North America'!#REF!+Europe!#REF!+'Asia-Pacific'!#REF!+'Rest of world'!#REF!</f>
        <v>#REF!</v>
      </c>
      <c r="BA60" s="113" t="e">
        <f>'North America'!#REF!+Europe!#REF!+'Asia-Pacific'!#REF!+'Rest of world'!#REF!</f>
        <v>#REF!</v>
      </c>
      <c r="BB60" s="82">
        <f>'North America'!AR60+Europe!AR60+'Asia-Pacific'!AR60+'Rest of world'!AR60</f>
        <v>0</v>
      </c>
      <c r="BC60" s="39">
        <f t="shared" si="102"/>
        <v>0</v>
      </c>
      <c r="BD60" s="112" t="e">
        <f>'North America'!#REF!+Europe!#REF!+'Asia-Pacific'!#REF!+'Rest of world'!#REF!</f>
        <v>#REF!</v>
      </c>
      <c r="BE60" s="113" t="e">
        <f>'North America'!#REF!+Europe!#REF!+'Asia-Pacific'!#REF!+'Rest of world'!#REF!</f>
        <v>#REF!</v>
      </c>
      <c r="BF60" s="82">
        <f>'North America'!AV60+Europe!AV60+'Asia-Pacific'!AV60+'Rest of world'!AV60</f>
        <v>0</v>
      </c>
      <c r="BG60" s="39">
        <f t="shared" si="103"/>
        <v>0</v>
      </c>
      <c r="BH60" s="112" t="e">
        <f>'North America'!#REF!+Europe!#REF!+'Asia-Pacific'!#REF!+'Rest of world'!#REF!</f>
        <v>#REF!</v>
      </c>
      <c r="BI60" s="113" t="e">
        <f>'North America'!#REF!+Europe!#REF!+'Asia-Pacific'!#REF!+'Rest of world'!#REF!</f>
        <v>#REF!</v>
      </c>
      <c r="BK60" s="240">
        <f t="shared" si="104"/>
        <v>0</v>
      </c>
      <c r="BL60" s="241" t="e">
        <f t="shared" si="105"/>
        <v>#REF!</v>
      </c>
      <c r="BM60" s="240">
        <f t="shared" si="106"/>
        <v>0</v>
      </c>
      <c r="BN60" s="241" t="e">
        <f t="shared" si="107"/>
        <v>#REF!</v>
      </c>
      <c r="BO60" s="240">
        <f t="shared" si="108"/>
        <v>0</v>
      </c>
      <c r="BP60" s="241" t="e">
        <f t="shared" si="109"/>
        <v>#REF!</v>
      </c>
      <c r="BQ60" s="201">
        <f t="shared" si="110"/>
        <v>0</v>
      </c>
      <c r="BR60" s="204" t="e">
        <f t="shared" si="111"/>
        <v>#REF!</v>
      </c>
      <c r="BS60" s="240">
        <f t="shared" si="37"/>
        <v>0</v>
      </c>
      <c r="BT60" s="253" t="e">
        <f t="shared" si="32"/>
        <v>#REF!</v>
      </c>
      <c r="BU60" s="246" t="e">
        <f t="shared" si="112"/>
        <v>#REF!</v>
      </c>
      <c r="BV60" s="201">
        <f t="shared" si="113"/>
        <v>0</v>
      </c>
      <c r="BW60" s="2"/>
      <c r="BX60" s="46">
        <f t="shared" si="33"/>
        <v>0</v>
      </c>
      <c r="BY60" s="113" t="e">
        <f t="shared" si="34"/>
        <v>#REF!</v>
      </c>
      <c r="CA60" s="82">
        <f>+Domestic!B60</f>
        <v>0</v>
      </c>
      <c r="CB60" s="113" t="e">
        <f>+Domestic!#REF!</f>
        <v>#REF!</v>
      </c>
      <c r="CD60" s="82">
        <f t="shared" si="35"/>
        <v>0</v>
      </c>
      <c r="CE60" s="113" t="e">
        <f t="shared" si="36"/>
        <v>#REF!</v>
      </c>
      <c r="DJ60" s="216">
        <v>700</v>
      </c>
      <c r="DK60" s="217">
        <v>830.82857142857131</v>
      </c>
      <c r="DL60" s="200">
        <v>0.58157999999999987</v>
      </c>
      <c r="DM60" s="209">
        <v>2.6171100000000003</v>
      </c>
      <c r="DN60" s="201">
        <f t="shared" si="88"/>
        <v>-700</v>
      </c>
      <c r="DO60" s="201">
        <f t="shared" si="89"/>
        <v>-830.82857142857131</v>
      </c>
      <c r="DP60" s="204" t="e">
        <f t="shared" si="90"/>
        <v>#REF!</v>
      </c>
    </row>
    <row r="61" spans="1:120" ht="12.6" customHeight="1" thickBot="1">
      <c r="A61" s="87" t="s">
        <v>0</v>
      </c>
      <c r="B61" s="36">
        <f>SUM(B56:B60)</f>
        <v>0</v>
      </c>
      <c r="C61" s="36">
        <f>SUM(C56:C60)</f>
        <v>0</v>
      </c>
      <c r="D61" s="36">
        <f>SUM(D56:D60)</f>
        <v>0</v>
      </c>
      <c r="E61" s="36">
        <f>SUM(E56:E60)</f>
        <v>0</v>
      </c>
      <c r="F61" s="36">
        <f>SUM(F56:F60)</f>
        <v>0</v>
      </c>
      <c r="G61" s="153">
        <f t="shared" ref="G61" si="115">IF(ISERROR(F61/C61-1),0,(F61/C61-1))</f>
        <v>0</v>
      </c>
      <c r="H61" s="36">
        <f>SUM(H56:H60)</f>
        <v>0</v>
      </c>
      <c r="I61" s="155">
        <f>IF(ISERROR(H61/F61-1),0,(H61/F61-1))</f>
        <v>0</v>
      </c>
      <c r="J61" s="36">
        <f t="shared" si="92"/>
        <v>0</v>
      </c>
      <c r="K61" s="37">
        <f t="shared" si="93"/>
        <v>0</v>
      </c>
      <c r="L61" s="41" t="e">
        <f>SUM(L56:L60)</f>
        <v>#REF!</v>
      </c>
      <c r="M61" s="42" t="e">
        <f>SUM(M56:M60)</f>
        <v>#REF!</v>
      </c>
      <c r="N61" s="36">
        <f>SUM(N56:N60)</f>
        <v>0</v>
      </c>
      <c r="O61" s="37">
        <f t="shared" si="3"/>
        <v>0</v>
      </c>
      <c r="P61" s="41" t="e">
        <f>SUM(P56:P60)</f>
        <v>#REF!</v>
      </c>
      <c r="Q61" s="42" t="e">
        <f>SUM(Q56:Q60)</f>
        <v>#REF!</v>
      </c>
      <c r="R61" s="36">
        <f>SUM(R56:R60)</f>
        <v>0</v>
      </c>
      <c r="S61" s="37">
        <f t="shared" si="4"/>
        <v>0</v>
      </c>
      <c r="T61" s="41" t="e">
        <f>SUM(T56:T60)</f>
        <v>#REF!</v>
      </c>
      <c r="U61" s="42" t="e">
        <f>SUM(U56:U60)</f>
        <v>#REF!</v>
      </c>
      <c r="V61" s="36">
        <f>SUM(V56:V60)</f>
        <v>0</v>
      </c>
      <c r="W61" s="37">
        <f t="shared" si="94"/>
        <v>0</v>
      </c>
      <c r="X61" s="41" t="e">
        <f>SUM(X56:X60)</f>
        <v>#REF!</v>
      </c>
      <c r="Y61" s="42" t="e">
        <f>SUM(Y56:Y60)</f>
        <v>#REF!</v>
      </c>
      <c r="Z61" s="36">
        <f>SUM(Z56:Z60)</f>
        <v>0</v>
      </c>
      <c r="AA61" s="37">
        <f t="shared" si="95"/>
        <v>0</v>
      </c>
      <c r="AB61" s="41" t="e">
        <f>SUM(AB56:AB60)</f>
        <v>#REF!</v>
      </c>
      <c r="AC61" s="42" t="e">
        <f>SUM(AC56:AC60)</f>
        <v>#REF!</v>
      </c>
      <c r="AD61" s="36">
        <f>SUM(AD56:AD60)</f>
        <v>0</v>
      </c>
      <c r="AE61" s="37">
        <f t="shared" si="96"/>
        <v>0</v>
      </c>
      <c r="AF61" s="41">
        <f>SUM(AF56:AF60)</f>
        <v>902</v>
      </c>
      <c r="AG61" s="42">
        <f>SUM(AG56:AG60)</f>
        <v>1.8111258000000002E-2</v>
      </c>
      <c r="AH61" s="36">
        <f>SUM(AH56:AH60)</f>
        <v>0</v>
      </c>
      <c r="AI61" s="37">
        <f t="shared" si="97"/>
        <v>0</v>
      </c>
      <c r="AJ61" s="41" t="e">
        <f>SUM(AJ56:AJ60)</f>
        <v>#REF!</v>
      </c>
      <c r="AK61" s="42">
        <f>SUM(AK56:AK60)</f>
        <v>0</v>
      </c>
      <c r="AL61" s="36">
        <f>SUM(AL56:AL60)</f>
        <v>0</v>
      </c>
      <c r="AM61" s="37">
        <f t="shared" si="98"/>
        <v>0</v>
      </c>
      <c r="AN61" s="41" t="e">
        <f>SUM(AN56:AN60)</f>
        <v>#REF!</v>
      </c>
      <c r="AO61" s="42" t="e">
        <f>SUM(AO56:AO60)</f>
        <v>#REF!</v>
      </c>
      <c r="AP61" s="36">
        <f>SUM(AP56:AP60)</f>
        <v>0</v>
      </c>
      <c r="AQ61" s="37">
        <f t="shared" si="99"/>
        <v>0</v>
      </c>
      <c r="AR61" s="41" t="e">
        <f>SUM(AR56:AR60)</f>
        <v>#REF!</v>
      </c>
      <c r="AS61" s="42" t="e">
        <f>SUM(AS56:AS60)</f>
        <v>#REF!</v>
      </c>
      <c r="AT61" s="36">
        <f>SUM(AT56:AT60)</f>
        <v>0</v>
      </c>
      <c r="AU61" s="37">
        <f t="shared" si="100"/>
        <v>0</v>
      </c>
      <c r="AV61" s="41" t="e">
        <f>SUM(AV56:AV60)</f>
        <v>#REF!</v>
      </c>
      <c r="AW61" s="42" t="e">
        <f>SUM(AW56:AW60)</f>
        <v>#REF!</v>
      </c>
      <c r="AX61" s="36">
        <f>SUM(AX56:AX60)</f>
        <v>0</v>
      </c>
      <c r="AY61" s="37">
        <f t="shared" si="101"/>
        <v>0</v>
      </c>
      <c r="AZ61" s="41" t="e">
        <f>SUM(AZ56:AZ60)</f>
        <v>#REF!</v>
      </c>
      <c r="BA61" s="42" t="e">
        <f>SUM(BA56:BA60)</f>
        <v>#REF!</v>
      </c>
      <c r="BB61" s="36">
        <f>SUM(BB56:BB60)</f>
        <v>0</v>
      </c>
      <c r="BC61" s="37">
        <f t="shared" si="102"/>
        <v>0</v>
      </c>
      <c r="BD61" s="41" t="e">
        <f>SUM(BD56:BD60)</f>
        <v>#REF!</v>
      </c>
      <c r="BE61" s="42" t="e">
        <f>SUM(BE56:BE60)</f>
        <v>#REF!</v>
      </c>
      <c r="BF61" s="36">
        <f>SUM(BF56:BF60)</f>
        <v>0</v>
      </c>
      <c r="BG61" s="37">
        <f t="shared" si="103"/>
        <v>0</v>
      </c>
      <c r="BH61" s="41" t="e">
        <f>SUM(BH56:BH60)</f>
        <v>#REF!</v>
      </c>
      <c r="BI61" s="42" t="e">
        <f>SUM(BI56:BI60)</f>
        <v>#REF!</v>
      </c>
      <c r="BK61" s="240">
        <f t="shared" si="104"/>
        <v>0</v>
      </c>
      <c r="BL61" s="241" t="e">
        <f t="shared" si="105"/>
        <v>#REF!</v>
      </c>
      <c r="BM61" s="240">
        <f t="shared" si="106"/>
        <v>0</v>
      </c>
      <c r="BN61" s="241" t="e">
        <f t="shared" si="107"/>
        <v>#REF!</v>
      </c>
      <c r="BO61" s="240">
        <f t="shared" si="108"/>
        <v>0</v>
      </c>
      <c r="BP61" s="241" t="e">
        <f t="shared" si="109"/>
        <v>#REF!</v>
      </c>
      <c r="BQ61" s="201">
        <f t="shared" si="110"/>
        <v>0</v>
      </c>
      <c r="BR61" s="204" t="e">
        <f t="shared" si="111"/>
        <v>#REF!</v>
      </c>
      <c r="BS61" s="240">
        <f t="shared" si="37"/>
        <v>0</v>
      </c>
      <c r="BT61" s="253" t="e">
        <f t="shared" si="32"/>
        <v>#REF!</v>
      </c>
      <c r="BU61" s="246" t="e">
        <f t="shared" si="112"/>
        <v>#REF!</v>
      </c>
      <c r="BV61" s="201">
        <f t="shared" si="113"/>
        <v>0</v>
      </c>
      <c r="BW61" s="2"/>
      <c r="BX61" s="47">
        <f t="shared" si="33"/>
        <v>0</v>
      </c>
      <c r="BY61" s="42" t="e">
        <f t="shared" si="34"/>
        <v>#REF!</v>
      </c>
      <c r="CA61" s="36">
        <f>+Domestic!B61</f>
        <v>15000</v>
      </c>
      <c r="CB61" s="42" t="e">
        <f>+Domestic!#REF!</f>
        <v>#REF!</v>
      </c>
      <c r="CD61" s="36">
        <f t="shared" si="35"/>
        <v>15000</v>
      </c>
      <c r="CE61" s="42" t="e">
        <f t="shared" si="36"/>
        <v>#REF!</v>
      </c>
      <c r="DJ61" s="36">
        <v>16999</v>
      </c>
      <c r="DK61" s="37">
        <v>779.50957115124436</v>
      </c>
      <c r="DL61" s="41">
        <v>13.250883200000002</v>
      </c>
      <c r="DM61" s="42">
        <v>59.628974400000004</v>
      </c>
      <c r="DN61" s="201">
        <f t="shared" si="88"/>
        <v>-16999</v>
      </c>
      <c r="DO61" s="201">
        <f t="shared" si="89"/>
        <v>-779.50957115124436</v>
      </c>
      <c r="DP61" s="204" t="e">
        <f t="shared" si="90"/>
        <v>#REF!</v>
      </c>
    </row>
    <row r="62" spans="1:120" ht="12.6" customHeight="1">
      <c r="A62" s="51"/>
      <c r="B62" s="132"/>
      <c r="C62" s="132"/>
      <c r="D62" s="132"/>
      <c r="E62" s="132"/>
      <c r="F62" s="132"/>
      <c r="G62" s="150"/>
      <c r="H62" s="132"/>
      <c r="I62" s="132"/>
      <c r="J62" s="59"/>
      <c r="K62" s="25"/>
      <c r="L62" s="118"/>
      <c r="M62" s="119"/>
      <c r="N62" s="59"/>
      <c r="O62" s="25"/>
      <c r="P62" s="118"/>
      <c r="Q62" s="119"/>
      <c r="R62" s="59"/>
      <c r="S62" s="25"/>
      <c r="T62" s="118"/>
      <c r="U62" s="119"/>
      <c r="V62" s="59"/>
      <c r="W62" s="25"/>
      <c r="X62" s="118"/>
      <c r="Y62" s="119"/>
      <c r="Z62" s="59"/>
      <c r="AA62" s="25"/>
      <c r="AB62" s="118"/>
      <c r="AC62" s="119"/>
      <c r="AD62" s="59"/>
      <c r="AE62" s="25"/>
      <c r="AF62" s="118"/>
      <c r="AG62" s="119"/>
      <c r="AH62" s="59"/>
      <c r="AI62" s="25"/>
      <c r="AJ62" s="118"/>
      <c r="AK62" s="119"/>
      <c r="AL62" s="59"/>
      <c r="AM62" s="25"/>
      <c r="AN62" s="118"/>
      <c r="AO62" s="119"/>
      <c r="AP62" s="59"/>
      <c r="AQ62" s="25"/>
      <c r="AR62" s="118"/>
      <c r="AS62" s="119"/>
      <c r="AT62" s="59"/>
      <c r="AU62" s="25"/>
      <c r="AV62" s="118"/>
      <c r="AW62" s="119"/>
      <c r="AX62" s="59"/>
      <c r="AY62" s="25"/>
      <c r="AZ62" s="118"/>
      <c r="BA62" s="119"/>
      <c r="BB62" s="59"/>
      <c r="BC62" s="25"/>
      <c r="BD62" s="118"/>
      <c r="BE62" s="119"/>
      <c r="BF62" s="59"/>
      <c r="BG62" s="25"/>
      <c r="BH62" s="118"/>
      <c r="BI62" s="119"/>
      <c r="BK62" s="240">
        <f t="shared" si="104"/>
        <v>0</v>
      </c>
      <c r="BL62" s="241">
        <f t="shared" si="105"/>
        <v>0</v>
      </c>
      <c r="BM62" s="240">
        <f t="shared" si="106"/>
        <v>0</v>
      </c>
      <c r="BN62" s="241">
        <f t="shared" si="107"/>
        <v>0</v>
      </c>
      <c r="BO62" s="240">
        <f t="shared" si="108"/>
        <v>0</v>
      </c>
      <c r="BP62" s="241">
        <f t="shared" si="109"/>
        <v>0</v>
      </c>
      <c r="BQ62" s="201">
        <f t="shared" si="110"/>
        <v>0</v>
      </c>
      <c r="BR62" s="204">
        <f t="shared" si="111"/>
        <v>0</v>
      </c>
      <c r="BS62" s="240">
        <f t="shared" si="37"/>
        <v>0</v>
      </c>
      <c r="BT62" s="253">
        <f t="shared" si="32"/>
        <v>0</v>
      </c>
      <c r="BU62" s="246">
        <f t="shared" si="112"/>
        <v>0</v>
      </c>
      <c r="BV62" s="201">
        <f t="shared" si="113"/>
        <v>0</v>
      </c>
      <c r="BW62" s="2"/>
      <c r="BX62" s="277">
        <f t="shared" si="33"/>
        <v>0</v>
      </c>
      <c r="BY62" s="119">
        <f t="shared" si="34"/>
        <v>0</v>
      </c>
      <c r="CA62" s="59">
        <f>+Domestic!B62</f>
        <v>0</v>
      </c>
      <c r="CB62" s="119" t="e">
        <f>+Domestic!#REF!</f>
        <v>#REF!</v>
      </c>
      <c r="CD62" s="59">
        <f t="shared" si="35"/>
        <v>0</v>
      </c>
      <c r="CE62" s="119" t="e">
        <f t="shared" si="36"/>
        <v>#REF!</v>
      </c>
      <c r="DJ62" s="222"/>
      <c r="DK62" s="223"/>
      <c r="DL62" s="224"/>
      <c r="DM62" s="225"/>
      <c r="DN62" s="201">
        <f t="shared" si="88"/>
        <v>0</v>
      </c>
      <c r="DO62" s="201">
        <f t="shared" si="89"/>
        <v>0</v>
      </c>
      <c r="DP62" s="204">
        <f t="shared" si="90"/>
        <v>0</v>
      </c>
    </row>
    <row r="63" spans="1:120" ht="12.6" customHeight="1">
      <c r="A63" s="35" t="s">
        <v>60</v>
      </c>
      <c r="B63" s="135"/>
      <c r="C63" s="135"/>
      <c r="D63" s="135"/>
      <c r="E63" s="157"/>
      <c r="F63" s="149"/>
      <c r="G63" s="151"/>
      <c r="H63" s="135"/>
      <c r="I63" s="150">
        <f>IF(ISERROR(H63/F63-1),0,(H63/F63-1))</f>
        <v>0</v>
      </c>
      <c r="J63" s="27">
        <f>N63+R63+V63+Z63+AD63+AH63+AL63+AP63+AT63+AX63+BB63+BF63</f>
        <v>0</v>
      </c>
      <c r="K63" s="23">
        <f>IF(ISERROR(L63/J63*1000000),0,(L63/J63*1000000))</f>
        <v>0</v>
      </c>
      <c r="L63" s="112" t="e">
        <f>P63+T63+X63+AB63+AF63+AJ63+AN63+AR63+AV63+AZ63+BD63+BH63</f>
        <v>#REF!</v>
      </c>
      <c r="M63" s="113" t="e">
        <f>Q63+U63+Y63+AC63+AG63+AK63+AO63+AS63+AW63+BA63+BE63+BI63</f>
        <v>#REF!</v>
      </c>
      <c r="N63" s="26">
        <f>Europe!D63+'Asia-Pacific'!D63+'Rest of world'!D63+'North America'!D63+'Latin America'!D63</f>
        <v>0</v>
      </c>
      <c r="O63" s="23">
        <f>IF(ISERROR(P63/N63*1000000),0,(P63/N63*1000000))</f>
        <v>0</v>
      </c>
      <c r="P63" s="112" t="e">
        <f>'North America'!#REF!+Europe!#REF!+'Asia-Pacific'!#REF!+'Rest of world'!#REF!</f>
        <v>#REF!</v>
      </c>
      <c r="Q63" s="113" t="e">
        <f>'North America'!#REF!+Europe!#REF!+'Asia-Pacific'!#REF!+'Rest of world'!#REF!</f>
        <v>#REF!</v>
      </c>
      <c r="R63" s="27">
        <f>'North America'!H63+Europe!H63+'Asia-Pacific'!H63+'Rest of world'!H63</f>
        <v>0</v>
      </c>
      <c r="S63" s="23">
        <f>IF(ISERROR(T63/R63*1000000),0,(T63/R63*1000000))</f>
        <v>0</v>
      </c>
      <c r="T63" s="112" t="e">
        <f>'North America'!#REF!+Europe!#REF!+'Asia-Pacific'!#REF!+'Rest of world'!#REF!</f>
        <v>#REF!</v>
      </c>
      <c r="U63" s="113" t="e">
        <f>'North America'!#REF!+Europe!#REF!+'Asia-Pacific'!#REF!+'Rest of world'!#REF!</f>
        <v>#REF!</v>
      </c>
      <c r="V63" s="27">
        <f>'North America'!L63+Europe!L63+'Asia-Pacific'!L63+'Rest of world'!L63</f>
        <v>0</v>
      </c>
      <c r="W63" s="23">
        <f>IF(ISERROR(X63/V63*1000000),0,(X63/V63*1000000))</f>
        <v>0</v>
      </c>
      <c r="X63" s="112" t="e">
        <f>'North America'!#REF!+Europe!#REF!+'Asia-Pacific'!#REF!+'Rest of world'!#REF!</f>
        <v>#REF!</v>
      </c>
      <c r="Y63" s="113" t="e">
        <f>'North America'!#REF!+Europe!#REF!+'Asia-Pacific'!#REF!+'Rest of world'!#REF!</f>
        <v>#REF!</v>
      </c>
      <c r="Z63" s="27">
        <f>'North America'!P63+Europe!P63+'Asia-Pacific'!P63+'Rest of world'!P63</f>
        <v>0</v>
      </c>
      <c r="AA63" s="23">
        <f>IF(ISERROR(AB63/Z63*1000000),0,(AB63/Z63*1000000))</f>
        <v>0</v>
      </c>
      <c r="AB63" s="112" t="e">
        <f>'North America'!#REF!+Europe!#REF!+'Asia-Pacific'!#REF!+'Rest of world'!#REF!</f>
        <v>#REF!</v>
      </c>
      <c r="AC63" s="113" t="e">
        <f>'North America'!#REF!+Europe!#REF!+'Asia-Pacific'!#REF!+'Rest of world'!#REF!</f>
        <v>#REF!</v>
      </c>
      <c r="AD63" s="27">
        <f>'North America'!T63+Europe!T63+'Asia-Pacific'!T63+'Rest of world'!T63</f>
        <v>0</v>
      </c>
      <c r="AE63" s="23">
        <f>IF(ISERROR(AF63/AD63*1000000),0,(AF63/AD63*1000000))</f>
        <v>0</v>
      </c>
      <c r="AF63" s="112">
        <f>'North America'!V63+Europe!V63+'Asia-Pacific'!V63+'Rest of world'!V63</f>
        <v>0</v>
      </c>
      <c r="AG63" s="113">
        <f>'North America'!W63+Europe!W63+'Asia-Pacific'!W63+'Rest of world'!W63</f>
        <v>0</v>
      </c>
      <c r="AH63" s="27">
        <f>'North America'!X63+Europe!X63+'Asia-Pacific'!X63+'Rest of world'!X63</f>
        <v>0</v>
      </c>
      <c r="AI63" s="23">
        <f>IF(ISERROR(AJ63/AH63*1000000),0,(AJ63/AH63*1000000))</f>
        <v>0</v>
      </c>
      <c r="AJ63" s="112" t="e">
        <f>'North America'!Z63+Europe!Z63+'Asia-Pacific'!Z63+'Rest of world'!#REF!</f>
        <v>#REF!</v>
      </c>
      <c r="AK63" s="113">
        <f>'North America'!AA63+Europe!AA63+'Asia-Pacific'!AA63+'Rest of world'!AA63</f>
        <v>0</v>
      </c>
      <c r="AL63" s="27">
        <f>'North America'!AB63+Europe!AB63+'Asia-Pacific'!AB63+'Rest of world'!AB63</f>
        <v>0</v>
      </c>
      <c r="AM63" s="23">
        <f>IF(ISERROR(AN63/AL63*1000000),0,(AN63/AL63*1000000))</f>
        <v>0</v>
      </c>
      <c r="AN63" s="112" t="e">
        <f>'North America'!#REF!+Europe!#REF!+'Asia-Pacific'!#REF!+'Rest of world'!#REF!</f>
        <v>#REF!</v>
      </c>
      <c r="AO63" s="113" t="e">
        <f>'North America'!#REF!+Europe!#REF!+'Asia-Pacific'!#REF!+'Rest of world'!#REF!</f>
        <v>#REF!</v>
      </c>
      <c r="AP63" s="27">
        <f>'North America'!AF63+Europe!AF63+'Asia-Pacific'!AF63+'Rest of world'!AF63</f>
        <v>0</v>
      </c>
      <c r="AQ63" s="23">
        <f>IF(ISERROR(AR63/AP63*1000000),0,(AR63/AP63*1000000))</f>
        <v>0</v>
      </c>
      <c r="AR63" s="112" t="e">
        <f>'North America'!#REF!+Europe!#REF!+'Asia-Pacific'!#REF!+'Rest of world'!#REF!</f>
        <v>#REF!</v>
      </c>
      <c r="AS63" s="113" t="e">
        <f>'North America'!#REF!+Europe!#REF!+'Asia-Pacific'!#REF!+'Rest of world'!#REF!</f>
        <v>#REF!</v>
      </c>
      <c r="AT63" s="27">
        <f>'North America'!AJ63+Europe!AJ63+'Asia-Pacific'!AJ63+'Rest of world'!AJ63</f>
        <v>0</v>
      </c>
      <c r="AU63" s="23">
        <f>IF(ISERROR(AV63/AT63*1000000),0,(AV63/AT63*1000000))</f>
        <v>0</v>
      </c>
      <c r="AV63" s="112" t="e">
        <f>'North America'!#REF!+Europe!#REF!+'Asia-Pacific'!#REF!+'Rest of world'!#REF!</f>
        <v>#REF!</v>
      </c>
      <c r="AW63" s="113" t="e">
        <f>'North America'!#REF!+Europe!#REF!+'Asia-Pacific'!#REF!+'Rest of world'!#REF!</f>
        <v>#REF!</v>
      </c>
      <c r="AX63" s="27">
        <f>'North America'!AN63+Europe!AN63+'Asia-Pacific'!AN63+'Rest of world'!AN63</f>
        <v>0</v>
      </c>
      <c r="AY63" s="23">
        <f>IF(ISERROR(AZ63/AX63*1000000),0,(AZ63/AX63*1000000))</f>
        <v>0</v>
      </c>
      <c r="AZ63" s="112" t="e">
        <f>'North America'!#REF!+Europe!#REF!+'Asia-Pacific'!#REF!+'Rest of world'!#REF!</f>
        <v>#REF!</v>
      </c>
      <c r="BA63" s="113" t="e">
        <f>'North America'!#REF!+Europe!#REF!+'Asia-Pacific'!#REF!+'Rest of world'!#REF!</f>
        <v>#REF!</v>
      </c>
      <c r="BB63" s="27">
        <f>'North America'!AR63+Europe!AR63+'Asia-Pacific'!AR63+'Rest of world'!AR63</f>
        <v>0</v>
      </c>
      <c r="BC63" s="23">
        <f>IF(ISERROR(BD63/BB63*1000000),0,(BD63/BB63*1000000))</f>
        <v>0</v>
      </c>
      <c r="BD63" s="112" t="e">
        <f>'North America'!#REF!+Europe!#REF!+'Asia-Pacific'!#REF!+'Rest of world'!#REF!</f>
        <v>#REF!</v>
      </c>
      <c r="BE63" s="113" t="e">
        <f>'North America'!#REF!+Europe!#REF!+'Asia-Pacific'!#REF!+'Rest of world'!#REF!</f>
        <v>#REF!</v>
      </c>
      <c r="BF63" s="27">
        <f>'North America'!AV63+Europe!AV63+'Asia-Pacific'!AV63+'Rest of world'!AV63</f>
        <v>0</v>
      </c>
      <c r="BG63" s="23">
        <f>IF(ISERROR(BH63/BF63*1000000),0,(BH63/BF63*1000000))</f>
        <v>0</v>
      </c>
      <c r="BH63" s="112" t="e">
        <f>'North America'!#REF!+Europe!#REF!+'Asia-Pacific'!#REF!+'Rest of world'!#REF!</f>
        <v>#REF!</v>
      </c>
      <c r="BI63" s="113" t="e">
        <f>'North America'!#REF!+Europe!#REF!+'Asia-Pacific'!#REF!+'Rest of world'!#REF!</f>
        <v>#REF!</v>
      </c>
      <c r="BK63" s="240">
        <f>N63+R63+V63</f>
        <v>0</v>
      </c>
      <c r="BL63" s="241" t="e">
        <f>Q63+U63+Y63</f>
        <v>#REF!</v>
      </c>
      <c r="BM63" s="240">
        <f>Z63+AD63+AH63</f>
        <v>0</v>
      </c>
      <c r="BN63" s="241" t="e">
        <f>AC63+AG63+AK63</f>
        <v>#REF!</v>
      </c>
      <c r="BO63" s="240">
        <f>AL63+AP63+AT63</f>
        <v>0</v>
      </c>
      <c r="BP63" s="241" t="e">
        <f>AO63+AS63+AW63</f>
        <v>#REF!</v>
      </c>
      <c r="BQ63" s="201">
        <f>BF63+BB63+AX63</f>
        <v>0</v>
      </c>
      <c r="BR63" s="204" t="e">
        <f>BA63+BE63+BI63</f>
        <v>#REF!</v>
      </c>
      <c r="BS63" s="240">
        <f t="shared" ref="BS63:BT66" si="116">BK63+BM63+BO63+BQ63</f>
        <v>0</v>
      </c>
      <c r="BT63" s="253" t="e">
        <f t="shared" si="116"/>
        <v>#REF!</v>
      </c>
      <c r="BU63" s="246" t="e">
        <f>BT63-M63</f>
        <v>#REF!</v>
      </c>
      <c r="BV63" s="201">
        <f>BS63-J63</f>
        <v>0</v>
      </c>
      <c r="BW63" s="2"/>
      <c r="BX63" s="33">
        <f>+N63+R63+V63+Z63+AD63+AH63+AL63+AP63+AT63+AX63+BB63+BF63</f>
        <v>0</v>
      </c>
      <c r="BY63" s="113" t="e">
        <f>+Q63+U63+Y63+AC63+AG63+AK63+AO63+AS63+AW63+BA63+BE63+BI63</f>
        <v>#REF!</v>
      </c>
      <c r="CA63" s="27">
        <f>+Domestic!B63</f>
        <v>1862</v>
      </c>
      <c r="CB63" s="113" t="e">
        <f>+Domestic!#REF!</f>
        <v>#REF!</v>
      </c>
      <c r="CD63" s="27">
        <f>+BX63+CA63</f>
        <v>1862</v>
      </c>
      <c r="CE63" s="113" t="e">
        <f>+BY63+CB63</f>
        <v>#REF!</v>
      </c>
      <c r="DJ63" s="210">
        <v>1197.0000000000002</v>
      </c>
      <c r="DK63" s="211">
        <v>249.99999999999989</v>
      </c>
      <c r="DL63" s="200">
        <v>0.29924999999999996</v>
      </c>
      <c r="DM63" s="209">
        <v>1.3466249999999997</v>
      </c>
      <c r="DN63" s="201">
        <f>J63-DJ63</f>
        <v>-1197.0000000000002</v>
      </c>
      <c r="DO63" s="201">
        <f>K63-DK63</f>
        <v>-249.99999999999989</v>
      </c>
      <c r="DP63" s="204" t="e">
        <f>M63-DM63</f>
        <v>#REF!</v>
      </c>
    </row>
    <row r="64" spans="1:120" ht="12.6" customHeight="1" thickBot="1">
      <c r="A64" s="35" t="s">
        <v>61</v>
      </c>
      <c r="B64" s="264"/>
      <c r="C64" s="264"/>
      <c r="D64" s="135"/>
      <c r="E64" s="157"/>
      <c r="F64" s="149"/>
      <c r="G64" s="151"/>
      <c r="H64" s="135"/>
      <c r="I64" s="151">
        <f>IF(ISERROR(H64/F64-1),0,(H64/F64-1))</f>
        <v>0</v>
      </c>
      <c r="J64" s="27">
        <f>N64+R64+V64+Z64+AD64+AH64+AL64+AP64+AT64+AX64+BB64+BF64</f>
        <v>0</v>
      </c>
      <c r="K64" s="23">
        <f>IF(ISERROR(L64/J64*1000000),0,(L64/J64*1000000))</f>
        <v>0</v>
      </c>
      <c r="L64" s="112" t="e">
        <f>P64+T64+X64+AB64+AF64+AJ64+AN64+AR64+AV64+AZ64+BD64+BH64</f>
        <v>#REF!</v>
      </c>
      <c r="M64" s="113" t="e">
        <f>Q64+U64+Y64+AC64+AG64+AK64+AO64+AS64+AW64+BA64+BE64+BI64</f>
        <v>#REF!</v>
      </c>
      <c r="N64" s="26">
        <f>Europe!D64+'Asia-Pacific'!D64+'Rest of world'!D64+'North America'!D64+'Latin America'!D64</f>
        <v>0</v>
      </c>
      <c r="O64" s="23">
        <f>IF(ISERROR(P64/N64*1000000),0,(P64/N64*1000000))</f>
        <v>0</v>
      </c>
      <c r="P64" s="112" t="e">
        <f>'North America'!#REF!+Europe!#REF!+'Asia-Pacific'!#REF!+'Rest of world'!#REF!</f>
        <v>#REF!</v>
      </c>
      <c r="Q64" s="113" t="e">
        <f>'North America'!#REF!+Europe!#REF!+'Asia-Pacific'!#REF!+'Rest of world'!#REF!</f>
        <v>#REF!</v>
      </c>
      <c r="R64" s="27">
        <f>'North America'!H64+Europe!H64+'Asia-Pacific'!H64+'Rest of world'!H64</f>
        <v>0</v>
      </c>
      <c r="S64" s="23">
        <f>IF(ISERROR(T64/R64*1000000),0,(T64/R64*1000000))</f>
        <v>0</v>
      </c>
      <c r="T64" s="112" t="e">
        <f>'North America'!#REF!+Europe!#REF!+'Asia-Pacific'!#REF!+'Rest of world'!#REF!</f>
        <v>#REF!</v>
      </c>
      <c r="U64" s="113" t="e">
        <f>'North America'!#REF!+Europe!#REF!+'Asia-Pacific'!#REF!+'Rest of world'!#REF!</f>
        <v>#REF!</v>
      </c>
      <c r="V64" s="27">
        <f>'North America'!L64+Europe!L64+'Asia-Pacific'!L64+'Rest of world'!L64</f>
        <v>0</v>
      </c>
      <c r="W64" s="23">
        <f>IF(ISERROR(X64/V64*1000000),0,(X64/V64*1000000))</f>
        <v>0</v>
      </c>
      <c r="X64" s="112" t="e">
        <f>'North America'!#REF!+Europe!#REF!+'Asia-Pacific'!#REF!+'Rest of world'!#REF!</f>
        <v>#REF!</v>
      </c>
      <c r="Y64" s="113" t="e">
        <f>'North America'!#REF!+Europe!#REF!+'Asia-Pacific'!#REF!+'Rest of world'!#REF!</f>
        <v>#REF!</v>
      </c>
      <c r="Z64" s="27">
        <f>'North America'!P64+Europe!P64+'Asia-Pacific'!P64+'Rest of world'!P64</f>
        <v>0</v>
      </c>
      <c r="AA64" s="23">
        <f>IF(ISERROR(AB64/Z64*1000000),0,(AB64/Z64*1000000))</f>
        <v>0</v>
      </c>
      <c r="AB64" s="112" t="e">
        <f>'North America'!#REF!+Europe!#REF!+'Asia-Pacific'!#REF!+'Rest of world'!#REF!</f>
        <v>#REF!</v>
      </c>
      <c r="AC64" s="113" t="e">
        <f>'North America'!#REF!+Europe!#REF!+'Asia-Pacific'!#REF!+'Rest of world'!#REF!</f>
        <v>#REF!</v>
      </c>
      <c r="AD64" s="27">
        <f>'North America'!T64+Europe!T64+'Asia-Pacific'!T64+'Rest of world'!T64</f>
        <v>0</v>
      </c>
      <c r="AE64" s="23">
        <f>IF(ISERROR(AF64/AD64*1000000),0,(AF64/AD64*1000000))</f>
        <v>0</v>
      </c>
      <c r="AF64" s="112">
        <f>'North America'!V64+Europe!V64+'Asia-Pacific'!V64+'Rest of world'!V64</f>
        <v>0</v>
      </c>
      <c r="AG64" s="113">
        <f>'North America'!W64+Europe!W64+'Asia-Pacific'!W64+'Rest of world'!W64</f>
        <v>0</v>
      </c>
      <c r="AH64" s="27">
        <f>'North America'!X64+Europe!X64+'Asia-Pacific'!X64+'Rest of world'!X64</f>
        <v>0</v>
      </c>
      <c r="AI64" s="23">
        <f>IF(ISERROR(AJ64/AH64*1000000),0,(AJ64/AH64*1000000))</f>
        <v>0</v>
      </c>
      <c r="AJ64" s="112" t="e">
        <f>'North America'!Z64+Europe!Z64+'Asia-Pacific'!Z64+'Rest of world'!#REF!</f>
        <v>#REF!</v>
      </c>
      <c r="AK64" s="113">
        <f>'North America'!AA64+Europe!AA64+'Asia-Pacific'!AA64+'Rest of world'!AA64</f>
        <v>0</v>
      </c>
      <c r="AL64" s="27">
        <f>'North America'!AB64+Europe!AB64+'Asia-Pacific'!AB64+'Rest of world'!AB64</f>
        <v>0</v>
      </c>
      <c r="AM64" s="23">
        <f>IF(ISERROR(AN64/AL64*1000000),0,(AN64/AL64*1000000))</f>
        <v>0</v>
      </c>
      <c r="AN64" s="112" t="e">
        <f>'North America'!#REF!+Europe!#REF!+'Asia-Pacific'!#REF!+'Rest of world'!#REF!</f>
        <v>#REF!</v>
      </c>
      <c r="AO64" s="113" t="e">
        <f>'North America'!#REF!+Europe!#REF!+'Asia-Pacific'!#REF!+'Rest of world'!#REF!</f>
        <v>#REF!</v>
      </c>
      <c r="AP64" s="27">
        <f>'North America'!AF64+Europe!AF64+'Asia-Pacific'!AF64+'Rest of world'!AF64</f>
        <v>0</v>
      </c>
      <c r="AQ64" s="23">
        <f>IF(ISERROR(AR64/AP64*1000000),0,(AR64/AP64*1000000))</f>
        <v>0</v>
      </c>
      <c r="AR64" s="112" t="e">
        <f>'North America'!#REF!+Europe!#REF!+'Asia-Pacific'!#REF!+'Rest of world'!#REF!</f>
        <v>#REF!</v>
      </c>
      <c r="AS64" s="113" t="e">
        <f>'North America'!#REF!+Europe!#REF!+'Asia-Pacific'!#REF!+'Rest of world'!#REF!</f>
        <v>#REF!</v>
      </c>
      <c r="AT64" s="27">
        <f>'North America'!AJ64+Europe!AJ64+'Asia-Pacific'!AJ64+'Rest of world'!AJ64</f>
        <v>0</v>
      </c>
      <c r="AU64" s="23">
        <f>IF(ISERROR(AV64/AT64*1000000),0,(AV64/AT64*1000000))</f>
        <v>0</v>
      </c>
      <c r="AV64" s="112" t="e">
        <f>'North America'!#REF!+Europe!#REF!+'Asia-Pacific'!#REF!+'Rest of world'!#REF!</f>
        <v>#REF!</v>
      </c>
      <c r="AW64" s="113" t="e">
        <f>'North America'!#REF!+Europe!#REF!+'Asia-Pacific'!#REF!+'Rest of world'!#REF!</f>
        <v>#REF!</v>
      </c>
      <c r="AX64" s="27">
        <f>'North America'!AN64+Europe!AN64+'Asia-Pacific'!AN64+'Rest of world'!AN64</f>
        <v>0</v>
      </c>
      <c r="AY64" s="23">
        <f>IF(ISERROR(AZ64/AX64*1000000),0,(AZ64/AX64*1000000))</f>
        <v>0</v>
      </c>
      <c r="AZ64" s="112" t="e">
        <f>'North America'!#REF!+Europe!#REF!+'Asia-Pacific'!#REF!+'Rest of world'!#REF!</f>
        <v>#REF!</v>
      </c>
      <c r="BA64" s="113" t="e">
        <f>'North America'!#REF!+Europe!#REF!+'Asia-Pacific'!#REF!+'Rest of world'!#REF!</f>
        <v>#REF!</v>
      </c>
      <c r="BB64" s="27">
        <f>'North America'!AR64+Europe!AR64+'Asia-Pacific'!AR64+'Rest of world'!AR64</f>
        <v>0</v>
      </c>
      <c r="BC64" s="23">
        <f>IF(ISERROR(BD64/BB64*1000000),0,(BD64/BB64*1000000))</f>
        <v>0</v>
      </c>
      <c r="BD64" s="112" t="e">
        <f>'North America'!#REF!+Europe!#REF!+'Asia-Pacific'!#REF!+'Rest of world'!#REF!</f>
        <v>#REF!</v>
      </c>
      <c r="BE64" s="113" t="e">
        <f>'North America'!#REF!+Europe!#REF!+'Asia-Pacific'!#REF!+'Rest of world'!#REF!</f>
        <v>#REF!</v>
      </c>
      <c r="BF64" s="27">
        <f>'North America'!AV64+Europe!AV64+'Asia-Pacific'!AV64+'Rest of world'!AV64</f>
        <v>0</v>
      </c>
      <c r="BG64" s="23">
        <f>IF(ISERROR(BH64/BF64*1000000),0,(BH64/BF64*1000000))</f>
        <v>0</v>
      </c>
      <c r="BH64" s="112" t="e">
        <f>'North America'!#REF!+Europe!#REF!+'Asia-Pacific'!#REF!+'Rest of world'!#REF!</f>
        <v>#REF!</v>
      </c>
      <c r="BI64" s="113" t="e">
        <f>'North America'!#REF!+Europe!#REF!+'Asia-Pacific'!#REF!+'Rest of world'!#REF!</f>
        <v>#REF!</v>
      </c>
      <c r="BK64" s="240">
        <f>N64+R64+V64</f>
        <v>0</v>
      </c>
      <c r="BL64" s="241" t="e">
        <f>Q64+U64+Y64</f>
        <v>#REF!</v>
      </c>
      <c r="BM64" s="240">
        <f>Z64+AD64+AH64</f>
        <v>0</v>
      </c>
      <c r="BN64" s="241" t="e">
        <f>AC64+AG64+AK64</f>
        <v>#REF!</v>
      </c>
      <c r="BO64" s="240">
        <f>AL64+AP64+AT64</f>
        <v>0</v>
      </c>
      <c r="BP64" s="241" t="e">
        <f>AO64+AS64+AW64</f>
        <v>#REF!</v>
      </c>
      <c r="BQ64" s="201">
        <f>BF64+BB64+AX64</f>
        <v>0</v>
      </c>
      <c r="BR64" s="204" t="e">
        <f>BA64+BE64+BI64</f>
        <v>#REF!</v>
      </c>
      <c r="BS64" s="240">
        <f t="shared" si="116"/>
        <v>0</v>
      </c>
      <c r="BT64" s="253" t="e">
        <f t="shared" si="116"/>
        <v>#REF!</v>
      </c>
      <c r="BU64" s="246" t="e">
        <f>BT64-M64</f>
        <v>#REF!</v>
      </c>
      <c r="BV64" s="201">
        <f>BS64-J64</f>
        <v>0</v>
      </c>
      <c r="BW64" s="2"/>
      <c r="BX64" s="33">
        <f>+N64+R64+V64+Z64+AD64+AH64+AL64+AP64+AT64+AX64+BB64+BF64</f>
        <v>0</v>
      </c>
      <c r="BY64" s="113" t="e">
        <f>+Q64+U64+Y64+AC64+AG64+AK64+AO64+AS64+AW64+BA64+BE64+BI64</f>
        <v>#REF!</v>
      </c>
      <c r="BZ64" s="201"/>
      <c r="CA64" s="27">
        <f>+Domestic!B64</f>
        <v>5266</v>
      </c>
      <c r="CB64" s="113" t="e">
        <f>+Domestic!#REF!</f>
        <v>#REF!</v>
      </c>
      <c r="CD64" s="27">
        <f>+BX64+CA64</f>
        <v>5266</v>
      </c>
      <c r="CE64" s="113" t="e">
        <f>+BY64+CB64</f>
        <v>#REF!</v>
      </c>
      <c r="DJ64" s="210">
        <v>6167.0000000000009</v>
      </c>
      <c r="DK64" s="211">
        <v>249.99999999999994</v>
      </c>
      <c r="DL64" s="200">
        <v>1.54175</v>
      </c>
      <c r="DM64" s="209">
        <v>6.9378749999999991</v>
      </c>
      <c r="DN64" s="201">
        <f>J64-DJ64</f>
        <v>-6167.0000000000009</v>
      </c>
      <c r="DO64" s="201">
        <f>K64-DK64</f>
        <v>-249.99999999999994</v>
      </c>
      <c r="DP64" s="204" t="e">
        <f>M64-DM64</f>
        <v>#REF!</v>
      </c>
    </row>
    <row r="65" spans="1:120" ht="12.6" customHeight="1" thickBot="1">
      <c r="A65" s="87" t="s">
        <v>104</v>
      </c>
      <c r="B65" s="36">
        <f>SUM(B63:B64)</f>
        <v>0</v>
      </c>
      <c r="C65" s="36">
        <f>SUM(C63:C64)</f>
        <v>0</v>
      </c>
      <c r="D65" s="36">
        <f>SUM(D63:D64)</f>
        <v>0</v>
      </c>
      <c r="E65" s="36">
        <f>SUM(E63:E64)</f>
        <v>0</v>
      </c>
      <c r="F65" s="36">
        <f>SUM(F63:F64)</f>
        <v>0</v>
      </c>
      <c r="G65" s="153">
        <f>IF(ISERROR(F65/C65-1),0,(F65/C65-1))</f>
        <v>0</v>
      </c>
      <c r="H65" s="36">
        <f>SUM(H63:H64)</f>
        <v>0</v>
      </c>
      <c r="I65" s="155">
        <f>IF(ISERROR(H65/F65-1),0,(H65/F65-1))</f>
        <v>0</v>
      </c>
      <c r="J65" s="36">
        <f>N65+R65+V65+Z65+AD65+AH65+AL65+AP65+AT65+AX65+BB65+BF65</f>
        <v>0</v>
      </c>
      <c r="K65" s="37">
        <f>IF(ISERROR(L65/J65*1000000),0,(L65/J65*1000000))</f>
        <v>0</v>
      </c>
      <c r="L65" s="41" t="e">
        <f>SUM(L60:L64)</f>
        <v>#REF!</v>
      </c>
      <c r="M65" s="42" t="e">
        <f>SUM(M60:M64)</f>
        <v>#REF!</v>
      </c>
      <c r="N65" s="36">
        <f>SUM(N63:N64)</f>
        <v>0</v>
      </c>
      <c r="O65" s="37">
        <f>IF(ISERROR(P65/N65*1000000),0,(P65/N65*1000000))</f>
        <v>0</v>
      </c>
      <c r="P65" s="41" t="e">
        <f>SUM(P63:P64)</f>
        <v>#REF!</v>
      </c>
      <c r="Q65" s="42" t="e">
        <f>SUM(Q63:Q64)</f>
        <v>#REF!</v>
      </c>
      <c r="R65" s="36">
        <f>SUM(R63:R64)</f>
        <v>0</v>
      </c>
      <c r="S65" s="37">
        <f>IF(ISERROR(T65/R65*1000000),0,(T65/R65*1000000))</f>
        <v>0</v>
      </c>
      <c r="T65" s="41" t="e">
        <f>SUM(T63:T64)</f>
        <v>#REF!</v>
      </c>
      <c r="U65" s="42" t="e">
        <f>SUM(U63:U64)</f>
        <v>#REF!</v>
      </c>
      <c r="V65" s="36">
        <f>SUM(V63:V64)</f>
        <v>0</v>
      </c>
      <c r="W65" s="37">
        <f>IF(ISERROR(X65/V65*1000000),0,(X65/V65*1000000))</f>
        <v>0</v>
      </c>
      <c r="X65" s="41" t="e">
        <f>SUM(X63:X64)</f>
        <v>#REF!</v>
      </c>
      <c r="Y65" s="42" t="e">
        <f>SUM(Y63:Y64)</f>
        <v>#REF!</v>
      </c>
      <c r="Z65" s="36">
        <f>SUM(Z63:Z64)</f>
        <v>0</v>
      </c>
      <c r="AA65" s="37">
        <f>IF(ISERROR(AB65/Z65*1000000),0,(AB65/Z65*1000000))</f>
        <v>0</v>
      </c>
      <c r="AB65" s="41" t="e">
        <f>SUM(AB63:AB64)</f>
        <v>#REF!</v>
      </c>
      <c r="AC65" s="42" t="e">
        <f>SUM(AC63:AC64)</f>
        <v>#REF!</v>
      </c>
      <c r="AD65" s="36">
        <f>SUM(AD63:AD64)</f>
        <v>0</v>
      </c>
      <c r="AE65" s="37">
        <f>IF(ISERROR(AF65/AD65*1000000),0,(AF65/AD65*1000000))</f>
        <v>0</v>
      </c>
      <c r="AF65" s="41">
        <f>SUM(AF63:AF64)</f>
        <v>0</v>
      </c>
      <c r="AG65" s="42">
        <f>SUM(AG63:AG64)</f>
        <v>0</v>
      </c>
      <c r="AH65" s="36">
        <f>SUM(AH63:AH64)</f>
        <v>0</v>
      </c>
      <c r="AI65" s="37">
        <f>IF(ISERROR(AJ65/AH65*1000000),0,(AJ65/AH65*1000000))</f>
        <v>0</v>
      </c>
      <c r="AJ65" s="41" t="e">
        <f>SUM(AJ63:AJ64)</f>
        <v>#REF!</v>
      </c>
      <c r="AK65" s="42">
        <f>SUM(AK63:AK64)</f>
        <v>0</v>
      </c>
      <c r="AL65" s="36">
        <f>SUM(AL63:AL64)</f>
        <v>0</v>
      </c>
      <c r="AM65" s="37">
        <f>IF(ISERROR(AN65/AL65*1000000),0,(AN65/AL65*1000000))</f>
        <v>0</v>
      </c>
      <c r="AN65" s="41" t="e">
        <f>SUM(AN63:AN64)</f>
        <v>#REF!</v>
      </c>
      <c r="AO65" s="42" t="e">
        <f>SUM(AO63:AO64)</f>
        <v>#REF!</v>
      </c>
      <c r="AP65" s="36">
        <f>SUM(AP63:AP64)</f>
        <v>0</v>
      </c>
      <c r="AQ65" s="37">
        <f>IF(ISERROR(AR65/AP65*1000000),0,(AR65/AP65*1000000))</f>
        <v>0</v>
      </c>
      <c r="AR65" s="41" t="e">
        <f>SUM(AR63:AR64)</f>
        <v>#REF!</v>
      </c>
      <c r="AS65" s="42" t="e">
        <f>SUM(AS63:AS64)</f>
        <v>#REF!</v>
      </c>
      <c r="AT65" s="36">
        <f>SUM(AT63:AT64)</f>
        <v>0</v>
      </c>
      <c r="AU65" s="37">
        <f>IF(ISERROR(AV65/AT65*1000000),0,(AV65/AT65*1000000))</f>
        <v>0</v>
      </c>
      <c r="AV65" s="41" t="e">
        <f>SUM(AV63:AV64)</f>
        <v>#REF!</v>
      </c>
      <c r="AW65" s="42" t="e">
        <f>SUM(AW63:AW64)</f>
        <v>#REF!</v>
      </c>
      <c r="AX65" s="36">
        <f>SUM(AX63:AX64)</f>
        <v>0</v>
      </c>
      <c r="AY65" s="37">
        <f>IF(ISERROR(AZ65/AX65*1000000),0,(AZ65/AX65*1000000))</f>
        <v>0</v>
      </c>
      <c r="AZ65" s="41" t="e">
        <f>SUM(AZ63:AZ64)</f>
        <v>#REF!</v>
      </c>
      <c r="BA65" s="42" t="e">
        <f>SUM(BA63:BA64)</f>
        <v>#REF!</v>
      </c>
      <c r="BB65" s="36">
        <f>SUM(BB63:BB64)</f>
        <v>0</v>
      </c>
      <c r="BC65" s="37">
        <f>IF(ISERROR(BD65/BB65*1000000),0,(BD65/BB65*1000000))</f>
        <v>0</v>
      </c>
      <c r="BD65" s="41" t="e">
        <f>SUM(BD63:BD64)</f>
        <v>#REF!</v>
      </c>
      <c r="BE65" s="42" t="e">
        <f>SUM(BE63:BE64)</f>
        <v>#REF!</v>
      </c>
      <c r="BF65" s="36">
        <f>SUM(BF63:BF64)</f>
        <v>0</v>
      </c>
      <c r="BG65" s="37">
        <f>IF(ISERROR(BH65/BF65*1000000),0,(BH65/BF65*1000000))</f>
        <v>0</v>
      </c>
      <c r="BH65" s="41" t="e">
        <f>SUM(BH63:BH64)</f>
        <v>#REF!</v>
      </c>
      <c r="BI65" s="42" t="e">
        <f>SUM(BI63:BI64)</f>
        <v>#REF!</v>
      </c>
      <c r="BK65" s="240">
        <f>N65+R65+V65</f>
        <v>0</v>
      </c>
      <c r="BL65" s="241" t="e">
        <f>Q65+U65+Y65</f>
        <v>#REF!</v>
      </c>
      <c r="BM65" s="240">
        <f>Z65+AD65+AH65</f>
        <v>0</v>
      </c>
      <c r="BN65" s="241" t="e">
        <f>AC65+AG65+AK65</f>
        <v>#REF!</v>
      </c>
      <c r="BO65" s="240">
        <f>AL65+AP65+AT65</f>
        <v>0</v>
      </c>
      <c r="BP65" s="241" t="e">
        <f>AO65+AS65+AW65</f>
        <v>#REF!</v>
      </c>
      <c r="BQ65" s="201">
        <f>BF65+BB65+AX65</f>
        <v>0</v>
      </c>
      <c r="BR65" s="204" t="e">
        <f>BA65+BE65+BI65</f>
        <v>#REF!</v>
      </c>
      <c r="BS65" s="240">
        <f t="shared" si="116"/>
        <v>0</v>
      </c>
      <c r="BT65" s="253" t="e">
        <f t="shared" si="116"/>
        <v>#REF!</v>
      </c>
      <c r="BU65" s="246" t="e">
        <f>BT65-M65</f>
        <v>#REF!</v>
      </c>
      <c r="BV65" s="201">
        <f>BS65-J65</f>
        <v>0</v>
      </c>
      <c r="BW65" s="2"/>
      <c r="BX65" s="284">
        <f>+N65+R65+V65+Z65+AD65+AH65+AL65+AP65+AT65+AX65+BB65+BF65</f>
        <v>0</v>
      </c>
      <c r="BY65" s="284" t="e">
        <f>+Q65+U65+Y65+AC65+AG65+AK65+AO65+AS65+AW65+BA65+BE65+BI65</f>
        <v>#REF!</v>
      </c>
      <c r="BZ65" s="120"/>
      <c r="CA65" s="284">
        <f>+Domestic!B65</f>
        <v>7128</v>
      </c>
      <c r="CB65" s="284" t="e">
        <f>+Domestic!#REF!</f>
        <v>#REF!</v>
      </c>
      <c r="CD65" s="60"/>
      <c r="CE65" s="122"/>
      <c r="DJ65" s="226"/>
      <c r="DK65" s="227"/>
      <c r="DL65" s="228"/>
      <c r="DM65" s="229"/>
      <c r="DN65" s="201"/>
      <c r="DO65" s="201"/>
      <c r="DP65" s="204"/>
    </row>
    <row r="66" spans="1:120" ht="12.6" customHeight="1" thickBot="1">
      <c r="A66" s="34"/>
      <c r="B66" s="134"/>
      <c r="C66" s="134"/>
      <c r="D66" s="134"/>
      <c r="E66" s="134"/>
      <c r="F66" s="134"/>
      <c r="G66" s="154"/>
      <c r="H66" s="134"/>
      <c r="I66" s="134"/>
      <c r="J66" s="60"/>
      <c r="K66" s="45"/>
      <c r="L66" s="121"/>
      <c r="M66" s="122"/>
      <c r="N66" s="60"/>
      <c r="O66" s="45"/>
      <c r="P66" s="121"/>
      <c r="Q66" s="122"/>
      <c r="R66" s="60"/>
      <c r="S66" s="45"/>
      <c r="T66" s="121"/>
      <c r="U66" s="122"/>
      <c r="V66" s="60"/>
      <c r="W66" s="45"/>
      <c r="X66" s="121"/>
      <c r="Y66" s="122"/>
      <c r="Z66" s="60"/>
      <c r="AA66" s="45"/>
      <c r="AB66" s="121"/>
      <c r="AC66" s="122"/>
      <c r="AD66" s="60"/>
      <c r="AE66" s="45"/>
      <c r="AF66" s="121"/>
      <c r="AG66" s="122"/>
      <c r="AH66" s="60"/>
      <c r="AI66" s="45"/>
      <c r="AJ66" s="121"/>
      <c r="AK66" s="122"/>
      <c r="AL66" s="60"/>
      <c r="AM66" s="45"/>
      <c r="AN66" s="121"/>
      <c r="AO66" s="122"/>
      <c r="AP66" s="60"/>
      <c r="AQ66" s="45"/>
      <c r="AR66" s="121"/>
      <c r="AS66" s="122"/>
      <c r="AT66" s="60"/>
      <c r="AU66" s="45"/>
      <c r="AV66" s="121"/>
      <c r="AW66" s="122"/>
      <c r="AX66" s="60"/>
      <c r="AY66" s="45"/>
      <c r="AZ66" s="121"/>
      <c r="BA66" s="122"/>
      <c r="BB66" s="60"/>
      <c r="BC66" s="45"/>
      <c r="BD66" s="121"/>
      <c r="BE66" s="122"/>
      <c r="BF66" s="60"/>
      <c r="BG66" s="45"/>
      <c r="BH66" s="121"/>
      <c r="BI66" s="122"/>
      <c r="BK66" s="240">
        <f>N66+R66+V66</f>
        <v>0</v>
      </c>
      <c r="BL66" s="241">
        <f>Q66+U66+Y66</f>
        <v>0</v>
      </c>
      <c r="BM66" s="240">
        <f>Z66+AD66+AH66</f>
        <v>0</v>
      </c>
      <c r="BN66" s="241">
        <f>AC66+AG66+AK66</f>
        <v>0</v>
      </c>
      <c r="BO66" s="240">
        <f>AL66+AP66+AT66</f>
        <v>0</v>
      </c>
      <c r="BP66" s="241">
        <f>AO66+AS66+AW66</f>
        <v>0</v>
      </c>
      <c r="BQ66" s="201">
        <f>BF66+BB66+AX66</f>
        <v>0</v>
      </c>
      <c r="BR66" s="204">
        <f>BA66+BE66+BI66</f>
        <v>0</v>
      </c>
      <c r="BS66" s="240">
        <f t="shared" si="116"/>
        <v>0</v>
      </c>
      <c r="BT66" s="253">
        <f t="shared" si="116"/>
        <v>0</v>
      </c>
      <c r="BU66" s="246">
        <f>BT66-M66</f>
        <v>0</v>
      </c>
      <c r="BV66" s="201">
        <f>BS66-J66</f>
        <v>0</v>
      </c>
      <c r="BW66" s="2"/>
      <c r="BX66" s="278"/>
      <c r="BY66" s="122"/>
      <c r="CA66" s="60"/>
      <c r="CB66" s="122"/>
      <c r="CD66" s="60"/>
      <c r="CE66" s="122"/>
      <c r="DJ66" s="226"/>
      <c r="DK66" s="227"/>
      <c r="DL66" s="228"/>
      <c r="DM66" s="229"/>
      <c r="DN66" s="201"/>
      <c r="DO66" s="201"/>
      <c r="DP66" s="204"/>
    </row>
    <row r="67" spans="1:120" ht="12.6" customHeight="1" thickBot="1">
      <c r="A67" s="87" t="s">
        <v>82</v>
      </c>
      <c r="B67" s="36">
        <f>B24+B54+B61+B65</f>
        <v>0</v>
      </c>
      <c r="C67" s="36">
        <f>C24+C54+C61+C65</f>
        <v>0</v>
      </c>
      <c r="D67" s="36">
        <f>D24+D54+D61+D65</f>
        <v>0</v>
      </c>
      <c r="E67" s="36">
        <f>E24+E54+E61+E65</f>
        <v>0</v>
      </c>
      <c r="F67" s="36">
        <f>F24+F54+F61+F65</f>
        <v>0</v>
      </c>
      <c r="G67" s="153">
        <f>IF(ISERROR(F67/C67-1),0,(F67/C67-1))</f>
        <v>0</v>
      </c>
      <c r="H67" s="36">
        <f>H24+H54+H61+H65</f>
        <v>0</v>
      </c>
      <c r="I67" s="155">
        <f>IF(ISERROR(H67/F67-1),0,(H67/F67-1))</f>
        <v>0</v>
      </c>
      <c r="J67" s="36">
        <f>J24+J54+J61</f>
        <v>65032</v>
      </c>
      <c r="K67" s="37">
        <f>IF(ISERROR(L67/J67*1000000),0,(L67/J67*1000000))</f>
        <v>0</v>
      </c>
      <c r="L67" s="41" t="e">
        <f>L24+L54+L61</f>
        <v>#REF!</v>
      </c>
      <c r="M67" s="42" t="e">
        <f>M24+M54+M61</f>
        <v>#REF!</v>
      </c>
      <c r="N67" s="36">
        <f>N24+N54+N61+N65</f>
        <v>2793</v>
      </c>
      <c r="O67" s="37">
        <f>IF(ISERROR(P67/N67*1000000),0,(P67/N67*1000000))</f>
        <v>0</v>
      </c>
      <c r="P67" s="41" t="e">
        <f>P24+P54+P61+P65</f>
        <v>#REF!</v>
      </c>
      <c r="Q67" s="42" t="e">
        <f>Q24+Q54+Q61+Q65</f>
        <v>#REF!</v>
      </c>
      <c r="R67" s="36">
        <f>R24+R54+R61+R65</f>
        <v>4632</v>
      </c>
      <c r="S67" s="37">
        <f>IF(ISERROR(T67/R67*1000000),0,(T67/R67*1000000))</f>
        <v>0</v>
      </c>
      <c r="T67" s="41" t="e">
        <f>T24+T54+T61+T65</f>
        <v>#REF!</v>
      </c>
      <c r="U67" s="42" t="e">
        <f>U24+U54+U61+U65</f>
        <v>#REF!</v>
      </c>
      <c r="V67" s="36">
        <f>V24+V54+V61+V65</f>
        <v>4651</v>
      </c>
      <c r="W67" s="37">
        <f>IF(ISERROR(X67/V67*1000000),0,(X67/V67*1000000))</f>
        <v>0</v>
      </c>
      <c r="X67" s="41" t="e">
        <f>X24+X54+X61+X65</f>
        <v>#REF!</v>
      </c>
      <c r="Y67" s="42" t="e">
        <f>Y24+Y54+Y61+Y65</f>
        <v>#REF!</v>
      </c>
      <c r="Z67" s="36">
        <f>Z24+Z54+Z61+Z65</f>
        <v>6230</v>
      </c>
      <c r="AA67" s="37">
        <f>IF(ISERROR(AB67/Z67*1000000),0,(AB67/Z67*1000000))</f>
        <v>0</v>
      </c>
      <c r="AB67" s="41" t="e">
        <f>AB24+AB54+AB61+AB65</f>
        <v>#REF!</v>
      </c>
      <c r="AC67" s="42" t="e">
        <f>AC24+AC54+AC61+AC65</f>
        <v>#REF!</v>
      </c>
      <c r="AD67" s="36">
        <f>AD24+AD54+AD61+AD65</f>
        <v>5137</v>
      </c>
      <c r="AE67" s="37">
        <f>IF(ISERROR(AF67/AD67*1000000),0,(AF67/AD67*1000000))</f>
        <v>12692427.486860035</v>
      </c>
      <c r="AF67" s="41">
        <f>AF24+AF54+AF61+AF65</f>
        <v>65201</v>
      </c>
      <c r="AG67" s="42">
        <f>AG24+AG54+AG61+AG65</f>
        <v>19.929799452771434</v>
      </c>
      <c r="AH67" s="36">
        <f>AH24+AH54+AH61+AH65</f>
        <v>6670</v>
      </c>
      <c r="AI67" s="37">
        <f>IF(ISERROR(AJ67/AH67*1000000),0,(AJ67/AH67*1000000))</f>
        <v>0</v>
      </c>
      <c r="AJ67" s="41" t="e">
        <f>AJ24+AJ54+AJ61+AJ65</f>
        <v>#REF!</v>
      </c>
      <c r="AK67" s="42">
        <f ca="1">AK24+AK54+AK61+AK65</f>
        <v>28.128181251628575</v>
      </c>
      <c r="AL67" s="36">
        <f>AL24+AL54+AL61+AL65</f>
        <v>5468</v>
      </c>
      <c r="AM67" s="37">
        <f>IF(ISERROR(AN67/AL67*1000000),0,(AN67/AL67*1000000))</f>
        <v>0</v>
      </c>
      <c r="AN67" s="41" t="e">
        <f>AN24+AN54+AN61+AN65</f>
        <v>#REF!</v>
      </c>
      <c r="AO67" s="42" t="e">
        <f>AO24+AO54+AO61+AO65</f>
        <v>#REF!</v>
      </c>
      <c r="AP67" s="36">
        <f>AP24+AP54+AP61+AP65</f>
        <v>6458</v>
      </c>
      <c r="AQ67" s="37">
        <f>IF(ISERROR(AR67/AP67*1000000),0,(AR67/AP67*1000000))</f>
        <v>0</v>
      </c>
      <c r="AR67" s="41" t="e">
        <f>AR24+AR54+AR61+AR65</f>
        <v>#REF!</v>
      </c>
      <c r="AS67" s="42" t="e">
        <f>AS24+AS54+AS61+AS65</f>
        <v>#REF!</v>
      </c>
      <c r="AT67" s="36">
        <f>AT24+AT54+AT61+AT65</f>
        <v>5889</v>
      </c>
      <c r="AU67" s="37">
        <f>IF(ISERROR(AV67/AT67*1000000),0,(AV67/AT67*1000000))</f>
        <v>0</v>
      </c>
      <c r="AV67" s="41" t="e">
        <f>AV24+AV54+AV61+AV65</f>
        <v>#REF!</v>
      </c>
      <c r="AW67" s="42" t="e">
        <f>AW24+AW54+AW61+AW65</f>
        <v>#REF!</v>
      </c>
      <c r="AX67" s="36">
        <f>AX24+AX54+AX61+AX65</f>
        <v>5601</v>
      </c>
      <c r="AY67" s="37">
        <f>IF(ISERROR(AZ67/AX67*1000000),0,(AZ67/AX67*1000000))</f>
        <v>0</v>
      </c>
      <c r="AZ67" s="41" t="e">
        <f>AZ24+AZ54+AZ61+AZ65</f>
        <v>#REF!</v>
      </c>
      <c r="BA67" s="42" t="e">
        <f>BA24+BA54+BA61+BA65</f>
        <v>#REF!</v>
      </c>
      <c r="BB67" s="36">
        <f>BB24+BB54+BB61+BB65</f>
        <v>6784</v>
      </c>
      <c r="BC67" s="37">
        <f>IF(ISERROR(BD67/BB67*1000000),0,(BD67/BB67*1000000))</f>
        <v>0</v>
      </c>
      <c r="BD67" s="41" t="e">
        <f>BD24+BD54+BD61+BD65</f>
        <v>#REF!</v>
      </c>
      <c r="BE67" s="42" t="e">
        <f>BE24+BE54+BE61+BE65</f>
        <v>#REF!</v>
      </c>
      <c r="BF67" s="36">
        <f>BF24+BF54+BF61+BF65</f>
        <v>4719</v>
      </c>
      <c r="BG67" s="37">
        <f>IF(ISERROR(BH67/BF67*1000000),0,(BH67/BF67*1000000))</f>
        <v>0</v>
      </c>
      <c r="BH67" s="41" t="e">
        <f>BH24+BH54+BH61+BH65</f>
        <v>#REF!</v>
      </c>
      <c r="BI67" s="42" t="e">
        <f>BI24+BI54+BI61+BI65</f>
        <v>#REF!</v>
      </c>
      <c r="BK67" s="240">
        <f t="shared" si="104"/>
        <v>12076</v>
      </c>
      <c r="BL67" s="241" t="e">
        <f t="shared" si="105"/>
        <v>#REF!</v>
      </c>
      <c r="BM67" s="240">
        <f t="shared" si="106"/>
        <v>18037</v>
      </c>
      <c r="BN67" s="241" t="e">
        <f t="shared" ca="1" si="107"/>
        <v>#REF!</v>
      </c>
      <c r="BO67" s="240">
        <f t="shared" si="108"/>
        <v>17815</v>
      </c>
      <c r="BP67" s="241" t="e">
        <f t="shared" si="109"/>
        <v>#REF!</v>
      </c>
      <c r="BQ67" s="201">
        <f t="shared" si="110"/>
        <v>17104</v>
      </c>
      <c r="BR67" s="204" t="e">
        <f t="shared" si="111"/>
        <v>#REF!</v>
      </c>
      <c r="BS67" s="240">
        <f t="shared" si="37"/>
        <v>65032</v>
      </c>
      <c r="BT67" s="253" t="e">
        <f t="shared" ca="1" si="32"/>
        <v>#REF!</v>
      </c>
      <c r="BU67" s="246" t="e">
        <f t="shared" ca="1" si="112"/>
        <v>#REF!</v>
      </c>
      <c r="BV67" s="201">
        <f t="shared" si="113"/>
        <v>0</v>
      </c>
      <c r="BW67" s="2"/>
      <c r="BX67" s="47">
        <f>+N67+R67+V67+Z67+AD67+AH67+AL67+AP67+AT67+AX67+BB67+BF67</f>
        <v>65032</v>
      </c>
      <c r="BY67" s="42" t="e">
        <f t="shared" ca="1" si="34"/>
        <v>#REF!</v>
      </c>
      <c r="CA67" s="36">
        <f>+Domestic!B67</f>
        <v>101592</v>
      </c>
      <c r="CB67" s="42" t="e">
        <f>+Domestic!#REF!</f>
        <v>#REF!</v>
      </c>
      <c r="CD67" s="36">
        <f t="shared" si="35"/>
        <v>166624</v>
      </c>
      <c r="CE67" s="42" t="e">
        <f t="shared" ca="1" si="36"/>
        <v>#REF!</v>
      </c>
      <c r="DJ67" s="36">
        <v>192096.3</v>
      </c>
      <c r="DK67" s="37">
        <v>1742.6290246758181</v>
      </c>
      <c r="DL67" s="41">
        <v>334.75258791283335</v>
      </c>
      <c r="DM67" s="42">
        <v>1550.09747860775</v>
      </c>
      <c r="DN67" s="201">
        <f t="shared" si="88"/>
        <v>-127064.29999999999</v>
      </c>
      <c r="DO67" s="201">
        <f t="shared" si="89"/>
        <v>-1742.6290246758181</v>
      </c>
      <c r="DP67" s="204" t="e">
        <f t="shared" si="90"/>
        <v>#REF!</v>
      </c>
    </row>
    <row r="68" spans="1:120" ht="12.6" customHeight="1" thickBot="1">
      <c r="A68" s="180"/>
      <c r="B68" s="134"/>
      <c r="C68" s="134"/>
      <c r="D68" s="134"/>
      <c r="E68" s="134"/>
      <c r="F68" s="134"/>
      <c r="G68" s="154"/>
      <c r="H68" s="60"/>
      <c r="I68" s="134"/>
      <c r="J68" s="60"/>
      <c r="K68" s="45"/>
      <c r="L68" s="121"/>
      <c r="M68" s="122"/>
      <c r="N68" s="60"/>
      <c r="O68" s="45"/>
      <c r="P68" s="121"/>
      <c r="Q68" s="122"/>
      <c r="R68" s="60"/>
      <c r="S68" s="45"/>
      <c r="T68" s="121"/>
      <c r="U68" s="122"/>
      <c r="V68" s="60"/>
      <c r="W68" s="45"/>
      <c r="X68" s="121"/>
      <c r="Y68" s="122"/>
      <c r="Z68" s="60"/>
      <c r="AA68" s="45"/>
      <c r="AB68" s="121"/>
      <c r="AC68" s="122"/>
      <c r="AD68" s="60"/>
      <c r="AE68" s="45"/>
      <c r="AF68" s="121"/>
      <c r="AG68" s="122"/>
      <c r="AH68" s="60"/>
      <c r="AI68" s="45"/>
      <c r="AJ68" s="121"/>
      <c r="AK68" s="122"/>
      <c r="AL68" s="60"/>
      <c r="AM68" s="45"/>
      <c r="AN68" s="121"/>
      <c r="AO68" s="122"/>
      <c r="AP68" s="60"/>
      <c r="AQ68" s="45"/>
      <c r="AR68" s="121"/>
      <c r="AS68" s="122"/>
      <c r="AT68" s="60"/>
      <c r="AU68" s="45"/>
      <c r="AV68" s="121"/>
      <c r="AW68" s="122"/>
      <c r="AX68" s="60"/>
      <c r="AY68" s="45"/>
      <c r="AZ68" s="121"/>
      <c r="BA68" s="122"/>
      <c r="BB68" s="60"/>
      <c r="BC68" s="45"/>
      <c r="BD68" s="121"/>
      <c r="BE68" s="122"/>
      <c r="BF68" s="60"/>
      <c r="BG68" s="45"/>
      <c r="BH68" s="121"/>
      <c r="BI68" s="122"/>
      <c r="BK68" s="240">
        <f t="shared" si="104"/>
        <v>0</v>
      </c>
      <c r="BL68" s="241">
        <f t="shared" si="105"/>
        <v>0</v>
      </c>
      <c r="BM68" s="240">
        <f t="shared" si="106"/>
        <v>0</v>
      </c>
      <c r="BN68" s="241">
        <f t="shared" si="107"/>
        <v>0</v>
      </c>
      <c r="BO68" s="240">
        <f t="shared" si="108"/>
        <v>0</v>
      </c>
      <c r="BP68" s="241">
        <f t="shared" si="109"/>
        <v>0</v>
      </c>
      <c r="BQ68" s="201">
        <f t="shared" si="110"/>
        <v>0</v>
      </c>
      <c r="BR68" s="204">
        <f t="shared" si="111"/>
        <v>0</v>
      </c>
      <c r="BS68" s="240">
        <f t="shared" si="37"/>
        <v>0</v>
      </c>
      <c r="BT68" s="253">
        <f t="shared" si="32"/>
        <v>0</v>
      </c>
      <c r="BU68" s="246">
        <f t="shared" si="112"/>
        <v>0</v>
      </c>
      <c r="BV68" s="201">
        <f t="shared" si="113"/>
        <v>0</v>
      </c>
      <c r="BW68" s="2"/>
      <c r="BX68" s="278">
        <f t="shared" si="33"/>
        <v>0</v>
      </c>
      <c r="BY68" s="122">
        <f t="shared" si="34"/>
        <v>0</v>
      </c>
      <c r="CA68" s="60">
        <f>+Domestic!B68</f>
        <v>0</v>
      </c>
      <c r="CB68" s="122" t="e">
        <f>+Domestic!#REF!</f>
        <v>#REF!</v>
      </c>
      <c r="CD68" s="60">
        <f t="shared" si="35"/>
        <v>0</v>
      </c>
      <c r="CE68" s="122" t="e">
        <f t="shared" si="36"/>
        <v>#REF!</v>
      </c>
      <c r="DJ68" s="226"/>
      <c r="DK68" s="227"/>
      <c r="DL68" s="228"/>
      <c r="DM68" s="229"/>
      <c r="DN68" s="201">
        <f t="shared" si="88"/>
        <v>0</v>
      </c>
      <c r="DO68" s="201">
        <f t="shared" si="89"/>
        <v>0</v>
      </c>
      <c r="DP68" s="204">
        <f t="shared" si="90"/>
        <v>0</v>
      </c>
    </row>
    <row r="69" spans="1:120" ht="12.6" customHeight="1" thickBot="1">
      <c r="A69" s="87" t="s">
        <v>81</v>
      </c>
      <c r="B69" s="147"/>
      <c r="C69" s="147"/>
      <c r="D69" s="147"/>
      <c r="E69" s="159"/>
      <c r="F69" s="147">
        <f>D69+E69</f>
        <v>0</v>
      </c>
      <c r="G69" s="153">
        <f>IF(ISERROR(F69/C69-1),0,(F69/C69-1))</f>
        <v>0</v>
      </c>
      <c r="H69" s="147">
        <f>J69</f>
        <v>0</v>
      </c>
      <c r="I69" s="155">
        <f>IF(ISERROR(H69/F69-1),0,(H69/F69-1))</f>
        <v>0</v>
      </c>
      <c r="J69" s="36">
        <f>N69+R69+V69+Z69+AD69+AH69+AL69+AP69+AT69+AX69+BB69+BF69</f>
        <v>0</v>
      </c>
      <c r="K69" s="37">
        <f>IF(ISERROR(L69/J69*1000000),0,(L69/J69*1000000))</f>
        <v>0</v>
      </c>
      <c r="L69" s="41" t="e">
        <f>P69+T69+X69+AB69+AF69+AJ69+AN69+AR69+AV69+AZ69+BD69+BH69</f>
        <v>#REF!</v>
      </c>
      <c r="M69" s="42" t="e">
        <f>Q69+U69+Y69+AC69+AG69+AK69+AO69+AS69+AW69+BA69+BE69+BI69</f>
        <v>#REF!</v>
      </c>
      <c r="N69" s="36">
        <f>'North America'!D69+Europe!D69+'Asia-Pacific'!D69+'Rest of world'!D69</f>
        <v>0</v>
      </c>
      <c r="O69" s="37">
        <f>IF(ISERROR(P69/N69*1000000),0,(P69/N69*1000000))</f>
        <v>0</v>
      </c>
      <c r="P69" s="41" t="e">
        <f>'North America'!#REF!+Europe!#REF!+'Asia-Pacific'!#REF!+'Rest of world'!#REF!</f>
        <v>#REF!</v>
      </c>
      <c r="Q69" s="42" t="e">
        <f>'North America'!#REF!+Europe!#REF!+'Asia-Pacific'!#REF!+'Rest of world'!#REF!</f>
        <v>#REF!</v>
      </c>
      <c r="R69" s="36">
        <f>'North America'!H69+Europe!H69+'Asia-Pacific'!H69+'Rest of world'!H69</f>
        <v>0</v>
      </c>
      <c r="S69" s="37">
        <f>IF(ISERROR(T69/R69*1000000),0,(T69/R69*1000000))</f>
        <v>0</v>
      </c>
      <c r="T69" s="41" t="e">
        <f>'North America'!#REF!+Europe!#REF!+'Asia-Pacific'!#REF!+'Rest of world'!#REF!</f>
        <v>#REF!</v>
      </c>
      <c r="U69" s="42" t="e">
        <f>'North America'!#REF!+Europe!#REF!+'Asia-Pacific'!#REF!+'Rest of world'!#REF!</f>
        <v>#REF!</v>
      </c>
      <c r="V69" s="36">
        <f>'North America'!L69+Europe!L69+'Asia-Pacific'!L69+'Rest of world'!L69</f>
        <v>0</v>
      </c>
      <c r="W69" s="37">
        <f>IF(ISERROR(X69/V69*1000000),0,(X69/V69*1000000))</f>
        <v>0</v>
      </c>
      <c r="X69" s="41" t="e">
        <f>'North America'!#REF!+Europe!#REF!+'Asia-Pacific'!#REF!+'Rest of world'!#REF!</f>
        <v>#REF!</v>
      </c>
      <c r="Y69" s="42" t="e">
        <f>'North America'!#REF!+Europe!#REF!+'Asia-Pacific'!#REF!+'Rest of world'!#REF!</f>
        <v>#REF!</v>
      </c>
      <c r="Z69" s="36">
        <f>'North America'!P69+Europe!P69+'Asia-Pacific'!P69+'Rest of world'!P69</f>
        <v>0</v>
      </c>
      <c r="AA69" s="37">
        <f>IF(ISERROR(AB69/Z69*1000000),0,(AB69/Z69*1000000))</f>
        <v>0</v>
      </c>
      <c r="AB69" s="41" t="e">
        <f>'North America'!#REF!+Europe!#REF!+'Asia-Pacific'!#REF!+'Rest of world'!#REF!</f>
        <v>#REF!</v>
      </c>
      <c r="AC69" s="42" t="e">
        <f>'North America'!#REF!+Europe!#REF!+'Asia-Pacific'!#REF!+'Rest of world'!#REF!</f>
        <v>#REF!</v>
      </c>
      <c r="AD69" s="36">
        <f>'North America'!T69+Europe!T69+'Asia-Pacific'!T69+'Rest of world'!T69</f>
        <v>0</v>
      </c>
      <c r="AE69" s="37">
        <f>IF(ISERROR(AF69/AD69*1000000),0,(AF69/AD69*1000000))</f>
        <v>0</v>
      </c>
      <c r="AF69" s="41">
        <f>'North America'!V69+Europe!V69+'Asia-Pacific'!V69+'Rest of world'!V69</f>
        <v>0</v>
      </c>
      <c r="AG69" s="42">
        <f>'North America'!W69+Europe!W69+'Asia-Pacific'!W69+'Rest of world'!W69</f>
        <v>0</v>
      </c>
      <c r="AH69" s="36">
        <f>'North America'!X69+Europe!X69+'Asia-Pacific'!X69+'Rest of world'!X69</f>
        <v>0</v>
      </c>
      <c r="AI69" s="37">
        <f>IF(ISERROR(AJ69/AH69*1000000),0,(AJ69/AH69*1000000))</f>
        <v>0</v>
      </c>
      <c r="AJ69" s="41" t="e">
        <f>'North America'!Z69+Europe!Z69+'Asia-Pacific'!Z69+'Rest of world'!#REF!</f>
        <v>#REF!</v>
      </c>
      <c r="AK69" s="42">
        <f>'North America'!AA69+Europe!AA69+'Asia-Pacific'!AA69+'Rest of world'!AA69</f>
        <v>0</v>
      </c>
      <c r="AL69" s="36">
        <f>'North America'!AB69+Europe!AB69+'Asia-Pacific'!AB69+'Rest of world'!AB69</f>
        <v>0</v>
      </c>
      <c r="AM69" s="37">
        <f>IF(ISERROR(AN69/AL69*1000000),0,(AN69/AL69*1000000))</f>
        <v>0</v>
      </c>
      <c r="AN69" s="41" t="e">
        <f>'North America'!#REF!+Europe!#REF!+'Asia-Pacific'!#REF!+'Rest of world'!#REF!</f>
        <v>#REF!</v>
      </c>
      <c r="AO69" s="42" t="e">
        <f>'North America'!#REF!+Europe!#REF!+'Asia-Pacific'!#REF!+'Rest of world'!#REF!</f>
        <v>#REF!</v>
      </c>
      <c r="AP69" s="36">
        <f>'North America'!AF69+Europe!AF69+'Asia-Pacific'!AF69+'Rest of world'!AF69</f>
        <v>0</v>
      </c>
      <c r="AQ69" s="37">
        <f>IF(ISERROR(AR69/AP69*1000000),0,(AR69/AP69*1000000))</f>
        <v>0</v>
      </c>
      <c r="AR69" s="41" t="e">
        <f>'North America'!#REF!+Europe!#REF!+'Asia-Pacific'!#REF!+'Rest of world'!#REF!</f>
        <v>#REF!</v>
      </c>
      <c r="AS69" s="42" t="e">
        <f>'North America'!#REF!+Europe!#REF!+'Asia-Pacific'!#REF!+'Rest of world'!#REF!</f>
        <v>#REF!</v>
      </c>
      <c r="AT69" s="36">
        <f>'North America'!AJ69+Europe!AJ69+'Asia-Pacific'!AJ69+'Rest of world'!AJ69</f>
        <v>0</v>
      </c>
      <c r="AU69" s="37">
        <f>IF(ISERROR(AV69/AT69*1000000),0,(AV69/AT69*1000000))</f>
        <v>0</v>
      </c>
      <c r="AV69" s="41" t="e">
        <f>'North America'!#REF!+Europe!#REF!+'Asia-Pacific'!#REF!+'Rest of world'!#REF!</f>
        <v>#REF!</v>
      </c>
      <c r="AW69" s="42" t="e">
        <f>'North America'!#REF!+Europe!#REF!+'Asia-Pacific'!#REF!+'Rest of world'!#REF!</f>
        <v>#REF!</v>
      </c>
      <c r="AX69" s="36">
        <f>'North America'!AN69+Europe!AN69+'Asia-Pacific'!AN69+'Rest of world'!AN69</f>
        <v>0</v>
      </c>
      <c r="AY69" s="37">
        <f>IF(ISERROR(AZ69/AX69*1000000),0,(AZ69/AX69*1000000))</f>
        <v>0</v>
      </c>
      <c r="AZ69" s="41" t="e">
        <f>'North America'!#REF!+Europe!#REF!+'Asia-Pacific'!#REF!+'Rest of world'!#REF!</f>
        <v>#REF!</v>
      </c>
      <c r="BA69" s="42" t="e">
        <f>'North America'!#REF!+Europe!#REF!+'Asia-Pacific'!#REF!+'Rest of world'!#REF!</f>
        <v>#REF!</v>
      </c>
      <c r="BB69" s="36">
        <f>'North America'!AR69+Europe!AR69+'Asia-Pacific'!AR69+'Rest of world'!AR69</f>
        <v>0</v>
      </c>
      <c r="BC69" s="37">
        <f>IF(ISERROR(BD69/BB69*1000000),0,(BD69/BB69*1000000))</f>
        <v>0</v>
      </c>
      <c r="BD69" s="41" t="e">
        <f>'North America'!#REF!+Europe!#REF!+'Asia-Pacific'!#REF!+'Rest of world'!#REF!</f>
        <v>#REF!</v>
      </c>
      <c r="BE69" s="42" t="e">
        <f>'North America'!#REF!+Europe!#REF!+'Asia-Pacific'!#REF!+'Rest of world'!#REF!</f>
        <v>#REF!</v>
      </c>
      <c r="BF69" s="36">
        <f>'North America'!AV69+Europe!AV69+'Asia-Pacific'!AV69+'Rest of world'!AV69</f>
        <v>0</v>
      </c>
      <c r="BG69" s="37">
        <f>IF(ISERROR(BH69/BF69*1000000),0,(BH69/BF69*1000000))</f>
        <v>0</v>
      </c>
      <c r="BH69" s="41" t="e">
        <f>'North America'!#REF!+Europe!#REF!+'Asia-Pacific'!#REF!+'Rest of world'!#REF!</f>
        <v>#REF!</v>
      </c>
      <c r="BI69" s="42" t="e">
        <f>'North America'!#REF!+Europe!#REF!+'Asia-Pacific'!#REF!+'Rest of world'!#REF!</f>
        <v>#REF!</v>
      </c>
      <c r="BK69" s="240">
        <f t="shared" si="104"/>
        <v>0</v>
      </c>
      <c r="BL69" s="241" t="e">
        <f t="shared" si="105"/>
        <v>#REF!</v>
      </c>
      <c r="BM69" s="240">
        <f t="shared" si="106"/>
        <v>0</v>
      </c>
      <c r="BN69" s="241" t="e">
        <f t="shared" si="107"/>
        <v>#REF!</v>
      </c>
      <c r="BO69" s="240">
        <f t="shared" si="108"/>
        <v>0</v>
      </c>
      <c r="BP69" s="241" t="e">
        <f t="shared" si="109"/>
        <v>#REF!</v>
      </c>
      <c r="BQ69" s="201">
        <f t="shared" si="110"/>
        <v>0</v>
      </c>
      <c r="BR69" s="204" t="e">
        <f t="shared" si="111"/>
        <v>#REF!</v>
      </c>
      <c r="BS69" s="240">
        <f t="shared" si="37"/>
        <v>0</v>
      </c>
      <c r="BT69" s="253" t="e">
        <f t="shared" si="32"/>
        <v>#REF!</v>
      </c>
      <c r="BU69" s="246" t="e">
        <f t="shared" si="112"/>
        <v>#REF!</v>
      </c>
      <c r="BV69" s="201">
        <f t="shared" si="113"/>
        <v>0</v>
      </c>
      <c r="BW69" s="2"/>
      <c r="BX69" s="47">
        <f t="shared" si="33"/>
        <v>0</v>
      </c>
      <c r="BY69" s="42" t="e">
        <f t="shared" si="34"/>
        <v>#REF!</v>
      </c>
      <c r="CA69" s="36">
        <f>+Domestic!B69</f>
        <v>0</v>
      </c>
      <c r="CB69" s="42" t="e">
        <f>+Domestic!#REF!</f>
        <v>#REF!</v>
      </c>
      <c r="CD69" s="36">
        <f t="shared" si="35"/>
        <v>0</v>
      </c>
      <c r="CE69" s="42" t="e">
        <f t="shared" si="36"/>
        <v>#REF!</v>
      </c>
      <c r="DJ69" s="36">
        <v>3600000</v>
      </c>
      <c r="DK69" s="37">
        <v>0.35555555555555557</v>
      </c>
      <c r="DL69" s="41">
        <v>1.28</v>
      </c>
      <c r="DM69" s="42">
        <v>5.7600000000000016</v>
      </c>
      <c r="DN69" s="201">
        <f t="shared" si="88"/>
        <v>-3600000</v>
      </c>
      <c r="DO69" s="201">
        <f t="shared" si="89"/>
        <v>-0.35555555555555557</v>
      </c>
      <c r="DP69" s="204" t="e">
        <f t="shared" si="90"/>
        <v>#REF!</v>
      </c>
    </row>
    <row r="70" spans="1:120" ht="12.6" customHeight="1" thickBot="1">
      <c r="A70" s="173"/>
      <c r="B70" s="174"/>
      <c r="C70" s="174"/>
      <c r="D70" s="174"/>
      <c r="E70" s="174"/>
      <c r="F70" s="174"/>
      <c r="G70" s="175"/>
      <c r="H70" s="174"/>
      <c r="I70" s="174"/>
      <c r="J70" s="176"/>
      <c r="K70" s="177"/>
      <c r="L70" s="178"/>
      <c r="M70" s="237"/>
      <c r="N70" s="176"/>
      <c r="O70" s="177"/>
      <c r="P70" s="178"/>
      <c r="Q70" s="179"/>
      <c r="R70" s="176"/>
      <c r="S70" s="177"/>
      <c r="T70" s="178"/>
      <c r="U70" s="179"/>
      <c r="V70" s="176"/>
      <c r="W70" s="177"/>
      <c r="X70" s="178"/>
      <c r="Y70" s="179"/>
      <c r="Z70" s="176"/>
      <c r="AA70" s="177"/>
      <c r="AB70" s="178"/>
      <c r="AC70" s="179"/>
      <c r="AD70" s="176"/>
      <c r="AE70" s="177"/>
      <c r="AF70" s="178"/>
      <c r="AG70" s="179"/>
      <c r="AH70" s="176"/>
      <c r="AI70" s="177"/>
      <c r="AJ70" s="178"/>
      <c r="AK70" s="179"/>
      <c r="AL70" s="176"/>
      <c r="AM70" s="177"/>
      <c r="AN70" s="178"/>
      <c r="AO70" s="179"/>
      <c r="AP70" s="176"/>
      <c r="AQ70" s="177"/>
      <c r="AR70" s="178"/>
      <c r="AS70" s="179"/>
      <c r="AT70" s="176"/>
      <c r="AU70" s="177"/>
      <c r="AV70" s="178"/>
      <c r="AW70" s="179"/>
      <c r="AX70" s="176"/>
      <c r="AY70" s="177"/>
      <c r="AZ70" s="178"/>
      <c r="BA70" s="179"/>
      <c r="BB70" s="176"/>
      <c r="BC70" s="177"/>
      <c r="BD70" s="178"/>
      <c r="BE70" s="179"/>
      <c r="BF70" s="176"/>
      <c r="BG70" s="177"/>
      <c r="BH70" s="178"/>
      <c r="BI70" s="179"/>
      <c r="BK70" s="240">
        <f t="shared" si="104"/>
        <v>0</v>
      </c>
      <c r="BL70" s="241" t="e">
        <f>BL69+BL67</f>
        <v>#REF!</v>
      </c>
      <c r="BM70" s="240">
        <f t="shared" si="106"/>
        <v>0</v>
      </c>
      <c r="BN70" s="241" t="e">
        <f ca="1">BN69+BN67</f>
        <v>#REF!</v>
      </c>
      <c r="BO70" s="240">
        <f t="shared" si="108"/>
        <v>0</v>
      </c>
      <c r="BP70" s="241" t="e">
        <f>BP69+BP67</f>
        <v>#REF!</v>
      </c>
      <c r="BQ70" s="201">
        <f t="shared" si="110"/>
        <v>0</v>
      </c>
      <c r="BR70" s="246" t="e">
        <f>BR69+BR67</f>
        <v>#REF!</v>
      </c>
      <c r="BS70" s="240">
        <f t="shared" si="37"/>
        <v>0</v>
      </c>
      <c r="BT70" s="247"/>
      <c r="BU70" s="250"/>
      <c r="BV70" s="201">
        <f t="shared" si="113"/>
        <v>0</v>
      </c>
      <c r="BW70" s="2"/>
      <c r="BX70" s="279">
        <f t="shared" si="33"/>
        <v>0</v>
      </c>
      <c r="BY70" s="179">
        <f t="shared" si="34"/>
        <v>0</v>
      </c>
      <c r="CA70" s="176">
        <f>+Domestic!B70</f>
        <v>0</v>
      </c>
      <c r="CB70" s="179" t="e">
        <f>+Domestic!#REF!</f>
        <v>#REF!</v>
      </c>
      <c r="CD70" s="176">
        <f t="shared" si="35"/>
        <v>0</v>
      </c>
      <c r="CE70" s="179" t="e">
        <f t="shared" si="36"/>
        <v>#REF!</v>
      </c>
      <c r="DJ70" s="230"/>
      <c r="DK70" s="231"/>
      <c r="DL70" s="232"/>
      <c r="DM70" s="233"/>
      <c r="DN70" s="201">
        <f t="shared" si="88"/>
        <v>0</v>
      </c>
      <c r="DO70" s="201">
        <f t="shared" si="89"/>
        <v>0</v>
      </c>
      <c r="DP70" s="204">
        <f t="shared" si="90"/>
        <v>0</v>
      </c>
    </row>
    <row r="71" spans="1:120" ht="12.6" customHeight="1" thickBot="1">
      <c r="A71" s="164" t="s">
        <v>9</v>
      </c>
      <c r="B71" s="165">
        <f>+B67+B69</f>
        <v>0</v>
      </c>
      <c r="C71" s="165">
        <f>+C67+C69</f>
        <v>0</v>
      </c>
      <c r="D71" s="165">
        <f>+D67+D69</f>
        <v>0</v>
      </c>
      <c r="E71" s="165">
        <f>+E67+E69</f>
        <v>0</v>
      </c>
      <c r="F71" s="165">
        <f>+F67+F69</f>
        <v>0</v>
      </c>
      <c r="G71" s="166"/>
      <c r="H71" s="165">
        <f>+H67+H69</f>
        <v>0</v>
      </c>
      <c r="I71" s="167"/>
      <c r="J71" s="165">
        <f>+J67+J69</f>
        <v>65032</v>
      </c>
      <c r="K71" s="168">
        <f>IF(ISERROR(L71/J71*1000000),0,(L71/J71*1000000))</f>
        <v>0</v>
      </c>
      <c r="L71" s="169" t="e">
        <f>+L67+L69</f>
        <v>#REF!</v>
      </c>
      <c r="M71" s="170" t="e">
        <f>+M67+M69</f>
        <v>#REF!</v>
      </c>
      <c r="N71" s="165">
        <f>+N67+N69</f>
        <v>2793</v>
      </c>
      <c r="O71" s="168">
        <f t="shared" si="3"/>
        <v>0</v>
      </c>
      <c r="P71" s="169" t="e">
        <f>+P67+P69</f>
        <v>#REF!</v>
      </c>
      <c r="Q71" s="170" t="e">
        <f>+Q67+Q69</f>
        <v>#REF!</v>
      </c>
      <c r="R71" s="165">
        <f>+R67+R69</f>
        <v>4632</v>
      </c>
      <c r="S71" s="168">
        <f t="shared" si="4"/>
        <v>0</v>
      </c>
      <c r="T71" s="169" t="e">
        <f>+T67+T69</f>
        <v>#REF!</v>
      </c>
      <c r="U71" s="170" t="e">
        <f>+U67+U69</f>
        <v>#REF!</v>
      </c>
      <c r="V71" s="165">
        <f>+V67+V69</f>
        <v>4651</v>
      </c>
      <c r="W71" s="168">
        <f>IF(ISERROR(X71/V71*1000000),0,(X71/V71*1000000))</f>
        <v>0</v>
      </c>
      <c r="X71" s="169" t="e">
        <f>+X67+X69</f>
        <v>#REF!</v>
      </c>
      <c r="Y71" s="170" t="e">
        <f>+Y67+Y69</f>
        <v>#REF!</v>
      </c>
      <c r="Z71" s="165">
        <f>+Z67+Z69</f>
        <v>6230</v>
      </c>
      <c r="AA71" s="168">
        <f>IF(ISERROR(AB71/Z71*1000000),0,(AB71/Z71*1000000))</f>
        <v>0</v>
      </c>
      <c r="AB71" s="169" t="e">
        <f>+AB67+AB69</f>
        <v>#REF!</v>
      </c>
      <c r="AC71" s="170" t="e">
        <f>+AC67+AC69</f>
        <v>#REF!</v>
      </c>
      <c r="AD71" s="165">
        <f>+AD67+AD69</f>
        <v>5137</v>
      </c>
      <c r="AE71" s="168">
        <f>IF(ISERROR(AF71/AD71*1000000),0,(AF71/AD71*1000000))</f>
        <v>12692427.486860035</v>
      </c>
      <c r="AF71" s="169">
        <f>+AF67+AF69</f>
        <v>65201</v>
      </c>
      <c r="AG71" s="170">
        <f>+AG67+AG69</f>
        <v>19.929799452771434</v>
      </c>
      <c r="AH71" s="165">
        <f>+AH67+AH69</f>
        <v>6670</v>
      </c>
      <c r="AI71" s="168">
        <f>IF(ISERROR(AJ71/AH71*1000000),0,(AJ71/AH71*1000000))</f>
        <v>0</v>
      </c>
      <c r="AJ71" s="169" t="e">
        <f>+AJ67+AJ69</f>
        <v>#REF!</v>
      </c>
      <c r="AK71" s="170">
        <f ca="1">+AK67+AK69</f>
        <v>28.128181251628575</v>
      </c>
      <c r="AL71" s="165">
        <f>+AL67+AL69</f>
        <v>5468</v>
      </c>
      <c r="AM71" s="168">
        <f>IF(ISERROR(AN71/AL71*1000000),0,(AN71/AL71*1000000))</f>
        <v>0</v>
      </c>
      <c r="AN71" s="169" t="e">
        <f>+AN67+AN69</f>
        <v>#REF!</v>
      </c>
      <c r="AO71" s="170" t="e">
        <f>+AO67+AO69</f>
        <v>#REF!</v>
      </c>
      <c r="AP71" s="165">
        <f>+AP67+AP69</f>
        <v>6458</v>
      </c>
      <c r="AQ71" s="168">
        <f>IF(ISERROR(AR71/AP71*1000000),0,(AR71/AP71*1000000))</f>
        <v>0</v>
      </c>
      <c r="AR71" s="169" t="e">
        <f>+AR67+AR69</f>
        <v>#REF!</v>
      </c>
      <c r="AS71" s="170" t="e">
        <f>+AS67+AS69</f>
        <v>#REF!</v>
      </c>
      <c r="AT71" s="165">
        <f>+AT67+AT69</f>
        <v>5889</v>
      </c>
      <c r="AU71" s="168">
        <f>IF(ISERROR(AV71/AT71*1000000),0,(AV71/AT71*1000000))</f>
        <v>0</v>
      </c>
      <c r="AV71" s="169" t="e">
        <f>+AV67+AV69</f>
        <v>#REF!</v>
      </c>
      <c r="AW71" s="170" t="e">
        <f>+AW67+AW69</f>
        <v>#REF!</v>
      </c>
      <c r="AX71" s="165">
        <f>+AX67+AX69</f>
        <v>5601</v>
      </c>
      <c r="AY71" s="168">
        <f>IF(ISERROR(AZ71/AX71*1000000),0,(AZ71/AX71*1000000))</f>
        <v>0</v>
      </c>
      <c r="AZ71" s="169" t="e">
        <f>+AZ67+AZ69</f>
        <v>#REF!</v>
      </c>
      <c r="BA71" s="170" t="e">
        <f>+BA67+BA69</f>
        <v>#REF!</v>
      </c>
      <c r="BB71" s="165">
        <f>+BB67+BB69</f>
        <v>6784</v>
      </c>
      <c r="BC71" s="168">
        <f>IF(ISERROR(BD71/BB71*1000000),0,(BD71/BB71*1000000))</f>
        <v>0</v>
      </c>
      <c r="BD71" s="169" t="e">
        <f>+BD67+BD69</f>
        <v>#REF!</v>
      </c>
      <c r="BE71" s="170" t="e">
        <f>+BE67+BE69</f>
        <v>#REF!</v>
      </c>
      <c r="BF71" s="165">
        <f>+BF67+BF69</f>
        <v>4719</v>
      </c>
      <c r="BG71" s="168">
        <f>IF(ISERROR(BH71/BF71*1000000),0,(BH71/BF71*1000000))</f>
        <v>0</v>
      </c>
      <c r="BH71" s="169" t="e">
        <f>+BH67+BH69</f>
        <v>#REF!</v>
      </c>
      <c r="BI71" s="171" t="e">
        <f>+BI67+BI69</f>
        <v>#REF!</v>
      </c>
      <c r="BK71" s="242"/>
      <c r="BL71" s="243"/>
      <c r="BM71" s="242"/>
      <c r="BN71" s="243"/>
      <c r="BO71" s="242"/>
      <c r="BP71" s="243"/>
      <c r="BS71" s="242"/>
      <c r="BT71" s="243"/>
      <c r="BU71" s="251"/>
      <c r="BW71" s="2"/>
      <c r="DJ71" s="165">
        <v>3792096.3</v>
      </c>
      <c r="DK71" s="168">
        <v>88.613938394136596</v>
      </c>
      <c r="DL71" s="169">
        <v>336.03258791283332</v>
      </c>
      <c r="DM71" s="170">
        <v>1555.85747860775</v>
      </c>
    </row>
    <row r="72" spans="1:120" ht="12.6" customHeight="1">
      <c r="A72" s="21"/>
      <c r="B72" s="125"/>
      <c r="C72" s="125"/>
      <c r="D72" s="199"/>
      <c r="E72" s="21"/>
      <c r="F72" s="21"/>
      <c r="G72" s="21"/>
      <c r="H72" s="21"/>
      <c r="I72" s="21"/>
      <c r="J72" s="22"/>
      <c r="K72" s="22"/>
      <c r="L72" s="22"/>
      <c r="M72" s="236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K72" s="252">
        <f>N67+R67+V67-BK67</f>
        <v>0</v>
      </c>
      <c r="BL72" s="244" t="e">
        <f>Q67+U67+Y67+Q69+U69+Y69-BL70</f>
        <v>#REF!</v>
      </c>
      <c r="BM72" s="252">
        <f>Z67+AD67+AH67-BM67</f>
        <v>0</v>
      </c>
      <c r="BN72" s="245" t="e">
        <f ca="1">AC67+AG67+AK67+AC69+AG69+AK69-BN70</f>
        <v>#REF!</v>
      </c>
      <c r="BO72" s="252">
        <f>AL67+AP67+AT67-BO67</f>
        <v>0</v>
      </c>
      <c r="BP72" s="245" t="e">
        <f>AO67+AS67+AW67+AO69+AS69+AW69-BP70</f>
        <v>#REF!</v>
      </c>
      <c r="BQ72" s="201">
        <f>AX67+BB67+BF67-BQ67</f>
        <v>0</v>
      </c>
      <c r="BR72" s="204" t="e">
        <f>BA67+BE67+BI67+BA69+BE69+BI69-BR70</f>
        <v>#REF!</v>
      </c>
      <c r="BS72" s="252">
        <f>J67-BS67</f>
        <v>0</v>
      </c>
      <c r="BT72" s="248"/>
      <c r="BU72" s="251"/>
      <c r="BW72" s="2"/>
      <c r="DJ72" s="22"/>
      <c r="DK72" s="22"/>
      <c r="DL72" s="22"/>
      <c r="DM72" s="22"/>
    </row>
    <row r="73" spans="1:120" s="2" customFormat="1" ht="12.6" customHeight="1">
      <c r="A73" s="35" t="s">
        <v>109</v>
      </c>
      <c r="B73" s="135"/>
      <c r="C73" s="135"/>
      <c r="D73" s="135"/>
      <c r="E73" s="157"/>
      <c r="F73" s="135"/>
      <c r="G73" s="151"/>
      <c r="H73" s="135"/>
      <c r="I73" s="151">
        <f t="shared" ref="I73:I78" si="117">IF(ISERROR(H73/F73-1),0,(H73/F73-1))</f>
        <v>0</v>
      </c>
      <c r="J73" s="27">
        <f t="shared" ref="J73:J79" si="118">N73+R73+V73+Z73+AD73+AH73+AL73+AP73+AT73+AX73+BB73+BF73</f>
        <v>60</v>
      </c>
      <c r="K73" s="23">
        <f t="shared" ref="K73:K79" si="119">IF(ISERROR(L73/J73*1000000),0,(L73/J73*1000000))</f>
        <v>0</v>
      </c>
      <c r="L73" s="257" t="e">
        <f>P73+T73+X73+AB73+AF73+AJ73+AN73+AR73+AV73+AZ73+BD73+BH73</f>
        <v>#REF!</v>
      </c>
      <c r="M73" s="258" t="e">
        <f>Q73+U73+Y73+AC73+AG73+AK73+AO73+AS73+AW73+BA73+BE73+BI73</f>
        <v>#REF!</v>
      </c>
      <c r="N73" s="26">
        <f>Europe!D73+'Asia-Pacific'!D73+'Rest of world'!D73+'North America'!D73+'Latin America'!D73</f>
        <v>5</v>
      </c>
      <c r="O73" s="23">
        <f t="shared" ref="O73:O75" si="120">IF(ISERROR(P73/N73*1000000),0,(P73/N73*1000000))</f>
        <v>0</v>
      </c>
      <c r="P73" s="257" t="e">
        <f>'North America'!#REF!+Europe!#REF!+'Asia-Pacific'!#REF!+'Rest of world'!#REF!</f>
        <v>#REF!</v>
      </c>
      <c r="Q73" s="257" t="e">
        <f>'North America'!#REF!+Europe!#REF!+'Asia-Pacific'!#REF!+'Rest of world'!#REF!</f>
        <v>#REF!</v>
      </c>
      <c r="R73" s="26">
        <f>Europe!H73+'Asia-Pacific'!H73+'Rest of world'!H73+'North America'!H73+'Latin America'!H73</f>
        <v>5</v>
      </c>
      <c r="S73" s="23">
        <f t="shared" ref="S73:S75" si="121">IF(ISERROR(T73/R73*1000000),0,(T73/R73*1000000))</f>
        <v>0</v>
      </c>
      <c r="T73" s="257" t="e">
        <f>'North America'!#REF!+Europe!#REF!+'Asia-Pacific'!#REF!+'Rest of world'!#REF!</f>
        <v>#REF!</v>
      </c>
      <c r="U73" s="258" t="e">
        <f>'North America'!#REF!+Europe!#REF!+'Asia-Pacific'!#REF!+'Rest of world'!#REF!</f>
        <v>#REF!</v>
      </c>
      <c r="V73" s="26">
        <f>Europe!L73+'Asia-Pacific'!L73+'Rest of world'!L73+'North America'!L73+'Latin America'!L73</f>
        <v>5</v>
      </c>
      <c r="W73" s="23">
        <f t="shared" ref="W73:W78" si="122">IF(ISERROR(X73/V73*1000000),0,(X73/V73*1000000))</f>
        <v>0</v>
      </c>
      <c r="X73" s="257" t="e">
        <f>'North America'!#REF!+Europe!#REF!+'Asia-Pacific'!#REF!+'Rest of world'!#REF!</f>
        <v>#REF!</v>
      </c>
      <c r="Y73" s="258" t="e">
        <f>'North America'!#REF!+Europe!#REF!+'Asia-Pacific'!#REF!+'Rest of world'!#REF!</f>
        <v>#REF!</v>
      </c>
      <c r="Z73" s="26">
        <f>Europe!P73+'Asia-Pacific'!P73+'Rest of world'!P73+'North America'!P73+'Latin America'!P73</f>
        <v>5</v>
      </c>
      <c r="AA73" s="23">
        <f t="shared" ref="AA73:AA78" si="123">IF(ISERROR(AB73/Z73*1000000),0,(AB73/Z73*1000000))</f>
        <v>0</v>
      </c>
      <c r="AB73" s="257" t="e">
        <f>'North America'!#REF!+Europe!#REF!+'Asia-Pacific'!#REF!+'Rest of world'!#REF!</f>
        <v>#REF!</v>
      </c>
      <c r="AC73" s="258" t="e">
        <f>'North America'!#REF!+Europe!#REF!+'Asia-Pacific'!#REF!+'Rest of world'!#REF!</f>
        <v>#REF!</v>
      </c>
      <c r="AD73" s="26">
        <f>Europe!T73+'Asia-Pacific'!T73+'Rest of world'!T73+'North America'!T73+'Latin America'!T73</f>
        <v>5</v>
      </c>
      <c r="AE73" s="23">
        <f t="shared" ref="AE73:AE78" si="124">IF(ISERROR(AF73/AD73*1000000),0,(AF73/AD73*1000000))</f>
        <v>0</v>
      </c>
      <c r="AF73" s="257">
        <f>'North America'!V73+Europe!V73+'Asia-Pacific'!V73+'Rest of world'!V73</f>
        <v>0</v>
      </c>
      <c r="AG73" s="258">
        <f>'North America'!W73+Europe!W73+'Asia-Pacific'!W73+'Rest of world'!W73</f>
        <v>0</v>
      </c>
      <c r="AH73" s="26">
        <f>Europe!X73+'Asia-Pacific'!X73+'Rest of world'!X73+'North America'!X73+'Latin America'!X73</f>
        <v>5</v>
      </c>
      <c r="AI73" s="23">
        <f t="shared" ref="AI73:AI78" si="125">IF(ISERROR(AJ73/AH73*1000000),0,(AJ73/AH73*1000000))</f>
        <v>0</v>
      </c>
      <c r="AJ73" s="257" t="e">
        <f>'North America'!Z73+Europe!Z73+'Asia-Pacific'!Z73+'Rest of world'!#REF!</f>
        <v>#REF!</v>
      </c>
      <c r="AK73" s="258">
        <f>'North America'!AA73+Europe!AA73+'Asia-Pacific'!AA73+'Rest of world'!AA73</f>
        <v>0</v>
      </c>
      <c r="AL73" s="26">
        <f>Europe!AB73+'Asia-Pacific'!AB73+'Rest of world'!AB73+'North America'!AB73+'Latin America'!AB73</f>
        <v>5</v>
      </c>
      <c r="AM73" s="23">
        <f t="shared" ref="AM73:AM78" si="126">IF(ISERROR(AN73/AL73*1000000),0,(AN73/AL73*1000000))</f>
        <v>0</v>
      </c>
      <c r="AN73" s="257" t="e">
        <f>'North America'!#REF!+Europe!#REF!+'Asia-Pacific'!#REF!+'Rest of world'!#REF!</f>
        <v>#REF!</v>
      </c>
      <c r="AO73" s="258" t="e">
        <f>'North America'!#REF!+Europe!#REF!+'Asia-Pacific'!#REF!+'Rest of world'!#REF!</f>
        <v>#REF!</v>
      </c>
      <c r="AP73" s="26">
        <f>Europe!AF73+'Asia-Pacific'!AF73+'Rest of world'!AF73+'North America'!AF73+'Latin America'!AF73</f>
        <v>5</v>
      </c>
      <c r="AQ73" s="23">
        <f t="shared" ref="AQ73:AQ78" si="127">IF(ISERROR(AR73/AP73*1000000),0,(AR73/AP73*1000000))</f>
        <v>0</v>
      </c>
      <c r="AR73" s="257" t="e">
        <f>'North America'!#REF!+Europe!#REF!+'Asia-Pacific'!#REF!+'Rest of world'!#REF!</f>
        <v>#REF!</v>
      </c>
      <c r="AS73" s="258" t="e">
        <f>'North America'!#REF!+Europe!#REF!+'Asia-Pacific'!#REF!+'Rest of world'!#REF!</f>
        <v>#REF!</v>
      </c>
      <c r="AT73" s="26">
        <f>Europe!AJ73+'Asia-Pacific'!AJ73+'Rest of world'!AJ73+'North America'!AJ73+'Latin America'!AJ73</f>
        <v>5</v>
      </c>
      <c r="AU73" s="23">
        <f t="shared" ref="AU73:AU78" si="128">IF(ISERROR(AV73/AT73*1000000),0,(AV73/AT73*1000000))</f>
        <v>0</v>
      </c>
      <c r="AV73" s="257" t="e">
        <f>'North America'!#REF!+Europe!#REF!+'Asia-Pacific'!#REF!+'Rest of world'!#REF!</f>
        <v>#REF!</v>
      </c>
      <c r="AW73" s="258" t="e">
        <f>'North America'!#REF!+Europe!#REF!+'Asia-Pacific'!#REF!+'Rest of world'!#REF!</f>
        <v>#REF!</v>
      </c>
      <c r="AX73" s="26">
        <f>Europe!AN73+'Asia-Pacific'!AN73+'Rest of world'!AN73+'North America'!AN73+'Latin America'!AN73</f>
        <v>5</v>
      </c>
      <c r="AY73" s="23">
        <f t="shared" ref="AY73:AY78" si="129">IF(ISERROR(AZ73/AX73*1000000),0,(AZ73/AX73*1000000))</f>
        <v>0</v>
      </c>
      <c r="AZ73" s="257" t="e">
        <f>'North America'!#REF!+Europe!#REF!+'Asia-Pacific'!#REF!+'Rest of world'!#REF!</f>
        <v>#REF!</v>
      </c>
      <c r="BA73" s="258" t="e">
        <f>'North America'!#REF!+Europe!#REF!+'Asia-Pacific'!#REF!+'Rest of world'!#REF!</f>
        <v>#REF!</v>
      </c>
      <c r="BB73" s="26">
        <f>Europe!AR73+'Asia-Pacific'!AR73+'Rest of world'!AR73+'North America'!AR73+'Latin America'!AR73</f>
        <v>5</v>
      </c>
      <c r="BC73" s="23">
        <f t="shared" ref="BC73:BC78" si="130">IF(ISERROR(BD73/BB73*1000000),0,(BD73/BB73*1000000))</f>
        <v>0</v>
      </c>
      <c r="BD73" s="257" t="e">
        <f>'North America'!#REF!+Europe!#REF!+'Asia-Pacific'!#REF!+'Rest of world'!#REF!</f>
        <v>#REF!</v>
      </c>
      <c r="BE73" s="258" t="e">
        <f>'North America'!#REF!+Europe!#REF!+'Asia-Pacific'!#REF!+'Rest of world'!#REF!</f>
        <v>#REF!</v>
      </c>
      <c r="BF73" s="26">
        <f>Europe!AV73+'Asia-Pacific'!AV73+'Rest of world'!AV73+'North America'!AV73+'Latin America'!AV73</f>
        <v>5</v>
      </c>
      <c r="BG73" s="23">
        <f t="shared" ref="BG73:BG78" si="131">IF(ISERROR(BH73/BF73*1000000),0,(BH73/BF73*1000000))</f>
        <v>0</v>
      </c>
      <c r="BH73" s="257" t="e">
        <f>'North America'!#REF!+Europe!#REF!+'Asia-Pacific'!#REF!+'Rest of world'!#REF!</f>
        <v>#REF!</v>
      </c>
      <c r="BI73" s="258" t="e">
        <f>'North America'!#REF!+Europe!#REF!+'Asia-Pacific'!#REF!+'Rest of world'!#REF!</f>
        <v>#REF!</v>
      </c>
      <c r="BJ73"/>
      <c r="BK73" s="240">
        <f t="shared" ref="BK73:BK75" si="132">N73+R73+V73</f>
        <v>15</v>
      </c>
      <c r="BL73" s="241" t="e">
        <f t="shared" ref="BL73:BL75" si="133">Q73+U73+Y73</f>
        <v>#REF!</v>
      </c>
      <c r="BM73" s="240">
        <f t="shared" ref="BM73:BM75" si="134">Z73+AD73+AH73</f>
        <v>15</v>
      </c>
      <c r="BN73" s="241" t="e">
        <f t="shared" ref="BN73:BN75" si="135">AC73+AG73+AK73</f>
        <v>#REF!</v>
      </c>
      <c r="BO73" s="240">
        <f t="shared" ref="BO73:BO75" si="136">AL73+AP73+AT73</f>
        <v>15</v>
      </c>
      <c r="BP73" s="241" t="e">
        <f t="shared" ref="BP73:BP75" si="137">AO73+AS73+AW73</f>
        <v>#REF!</v>
      </c>
      <c r="BQ73" s="201">
        <f t="shared" ref="BQ73:BQ75" si="138">BF73+BB73+AX73</f>
        <v>15</v>
      </c>
      <c r="BR73" s="204" t="e">
        <f t="shared" ref="BR73:BR75" si="139">BA73+BE73+BI73</f>
        <v>#REF!</v>
      </c>
      <c r="BS73" s="240">
        <f t="shared" ref="BS73:BS75" si="140">BK73+BM73+BO73+BQ73</f>
        <v>60</v>
      </c>
      <c r="BT73" s="253" t="e">
        <f t="shared" ref="BT73:BT75" si="141">BL73+BN73+BP73+BR73</f>
        <v>#REF!</v>
      </c>
      <c r="DJ73" s="234">
        <v>3795456.3</v>
      </c>
      <c r="DK73" s="234"/>
      <c r="DL73" s="235">
        <v>343.78505791283328</v>
      </c>
      <c r="DM73" s="235">
        <v>1547.0327606077501</v>
      </c>
    </row>
    <row r="74" spans="1:120" ht="12.6" customHeight="1">
      <c r="A74" s="35" t="s">
        <v>110</v>
      </c>
      <c r="B74" s="135"/>
      <c r="C74" s="135"/>
      <c r="D74" s="135"/>
      <c r="E74" s="157"/>
      <c r="F74" s="149"/>
      <c r="G74" s="151"/>
      <c r="H74" s="135"/>
      <c r="I74" s="151">
        <f t="shared" si="117"/>
        <v>0</v>
      </c>
      <c r="J74" s="27">
        <f t="shared" si="118"/>
        <v>60</v>
      </c>
      <c r="K74" s="23">
        <f t="shared" si="119"/>
        <v>0</v>
      </c>
      <c r="L74" s="112" t="e">
        <f t="shared" ref="L74:L75" si="142">P74+T74+X74+AB74+AF74+AJ74+AN74+AR74+AV74+AZ74+BD74+BH74</f>
        <v>#REF!</v>
      </c>
      <c r="M74" s="113" t="e">
        <f t="shared" ref="M74:M75" si="143">Q74+U74+Y74+AC74+AG74+AK74+AO74+AS74+AW74+BA74+BE74+BI74</f>
        <v>#REF!</v>
      </c>
      <c r="N74" s="26">
        <f>Europe!D74+'Asia-Pacific'!D74+'Rest of world'!D74+'North America'!D74+'Latin America'!D74</f>
        <v>5</v>
      </c>
      <c r="O74" s="23">
        <f t="shared" si="120"/>
        <v>0</v>
      </c>
      <c r="P74" s="112" t="e">
        <f>'North America'!#REF!+Europe!#REF!+'Asia-Pacific'!#REF!+'Rest of world'!#REF!</f>
        <v>#REF!</v>
      </c>
      <c r="Q74" s="113" t="e">
        <f>'North America'!#REF!+Europe!#REF!+'Asia-Pacific'!#REF!+'Rest of world'!#REF!</f>
        <v>#REF!</v>
      </c>
      <c r="R74" s="26">
        <f>Europe!H74+'Asia-Pacific'!H74+'Rest of world'!H74+'North America'!H74+'Latin America'!H74</f>
        <v>5</v>
      </c>
      <c r="S74" s="23">
        <f t="shared" si="121"/>
        <v>0</v>
      </c>
      <c r="T74" s="112" t="e">
        <f>'North America'!#REF!+Europe!#REF!+'Asia-Pacific'!#REF!+'Rest of world'!#REF!</f>
        <v>#REF!</v>
      </c>
      <c r="U74" s="113" t="e">
        <f>'North America'!#REF!+Europe!#REF!+'Asia-Pacific'!#REF!+'Rest of world'!#REF!</f>
        <v>#REF!</v>
      </c>
      <c r="V74" s="26">
        <f>Europe!L74+'Asia-Pacific'!L74+'Rest of world'!L74+'North America'!L74+'Latin America'!L74</f>
        <v>5</v>
      </c>
      <c r="W74" s="23">
        <f t="shared" si="122"/>
        <v>0</v>
      </c>
      <c r="X74" s="112" t="e">
        <f>'North America'!#REF!+Europe!#REF!+'Asia-Pacific'!#REF!+'Rest of world'!#REF!</f>
        <v>#REF!</v>
      </c>
      <c r="Y74" s="113" t="e">
        <f>'North America'!#REF!+Europe!#REF!+'Asia-Pacific'!#REF!+'Rest of world'!#REF!</f>
        <v>#REF!</v>
      </c>
      <c r="Z74" s="26">
        <f>Europe!P74+'Asia-Pacific'!P74+'Rest of world'!P74+'North America'!P74+'Latin America'!P74</f>
        <v>5</v>
      </c>
      <c r="AA74" s="23">
        <f t="shared" si="123"/>
        <v>0</v>
      </c>
      <c r="AB74" s="112" t="e">
        <f>'North America'!#REF!+Europe!#REF!+'Asia-Pacific'!#REF!+'Rest of world'!#REF!</f>
        <v>#REF!</v>
      </c>
      <c r="AC74" s="113" t="e">
        <f>'North America'!#REF!+Europe!#REF!+'Asia-Pacific'!#REF!+'Rest of world'!#REF!</f>
        <v>#REF!</v>
      </c>
      <c r="AD74" s="26">
        <f>Europe!T74+'Asia-Pacific'!T74+'Rest of world'!T74+'North America'!T74+'Latin America'!T74</f>
        <v>5</v>
      </c>
      <c r="AE74" s="23">
        <f t="shared" si="124"/>
        <v>0</v>
      </c>
      <c r="AF74" s="112">
        <f>'North America'!V74+Europe!V74+'Asia-Pacific'!V74+'Rest of world'!V74</f>
        <v>0</v>
      </c>
      <c r="AG74" s="113">
        <f>'North America'!W74+Europe!W74+'Asia-Pacific'!W74+'Rest of world'!W74</f>
        <v>0</v>
      </c>
      <c r="AH74" s="26">
        <f>Europe!X74+'Asia-Pacific'!X74+'Rest of world'!X74+'North America'!X74+'Latin America'!X74</f>
        <v>5</v>
      </c>
      <c r="AI74" s="23">
        <f t="shared" si="125"/>
        <v>0</v>
      </c>
      <c r="AJ74" s="112" t="e">
        <f>'North America'!Z74+Europe!Z74+'Asia-Pacific'!Z74+'Rest of world'!#REF!</f>
        <v>#REF!</v>
      </c>
      <c r="AK74" s="113">
        <f>'North America'!AA74+Europe!AA74+'Asia-Pacific'!AA74+'Rest of world'!AA74</f>
        <v>0</v>
      </c>
      <c r="AL74" s="26">
        <f>Europe!AB74+'Asia-Pacific'!AB74+'Rest of world'!AB74+'North America'!AB74+'Latin America'!AB74</f>
        <v>5</v>
      </c>
      <c r="AM74" s="23">
        <f t="shared" si="126"/>
        <v>0</v>
      </c>
      <c r="AN74" s="112" t="e">
        <f>'North America'!#REF!+Europe!#REF!+'Asia-Pacific'!#REF!+'Rest of world'!#REF!</f>
        <v>#REF!</v>
      </c>
      <c r="AO74" s="113" t="e">
        <f>'North America'!#REF!+Europe!#REF!+'Asia-Pacific'!#REF!+'Rest of world'!#REF!</f>
        <v>#REF!</v>
      </c>
      <c r="AP74" s="26">
        <f>Europe!AF74+'Asia-Pacific'!AF74+'Rest of world'!AF74+'North America'!AF74+'Latin America'!AF74</f>
        <v>5</v>
      </c>
      <c r="AQ74" s="23">
        <f t="shared" si="127"/>
        <v>0</v>
      </c>
      <c r="AR74" s="112" t="e">
        <f>'North America'!#REF!+Europe!#REF!+'Asia-Pacific'!#REF!+'Rest of world'!#REF!</f>
        <v>#REF!</v>
      </c>
      <c r="AS74" s="113" t="e">
        <f>'North America'!#REF!+Europe!#REF!+'Asia-Pacific'!#REF!+'Rest of world'!#REF!</f>
        <v>#REF!</v>
      </c>
      <c r="AT74" s="26">
        <f>Europe!AJ74+'Asia-Pacific'!AJ74+'Rest of world'!AJ74+'North America'!AJ74+'Latin America'!AJ74</f>
        <v>5</v>
      </c>
      <c r="AU74" s="23">
        <f t="shared" si="128"/>
        <v>0</v>
      </c>
      <c r="AV74" s="112" t="e">
        <f>'North America'!#REF!+Europe!#REF!+'Asia-Pacific'!#REF!+'Rest of world'!#REF!</f>
        <v>#REF!</v>
      </c>
      <c r="AW74" s="113" t="e">
        <f>'North America'!#REF!+Europe!#REF!+'Asia-Pacific'!#REF!+'Rest of world'!#REF!</f>
        <v>#REF!</v>
      </c>
      <c r="AX74" s="26">
        <f>Europe!AN74+'Asia-Pacific'!AN74+'Rest of world'!AN74+'North America'!AN74+'Latin America'!AN74</f>
        <v>5</v>
      </c>
      <c r="AY74" s="23">
        <f t="shared" si="129"/>
        <v>0</v>
      </c>
      <c r="AZ74" s="112" t="e">
        <f>'North America'!#REF!+Europe!#REF!+'Asia-Pacific'!#REF!+'Rest of world'!#REF!</f>
        <v>#REF!</v>
      </c>
      <c r="BA74" s="113" t="e">
        <f>'North America'!#REF!+Europe!#REF!+'Asia-Pacific'!#REF!+'Rest of world'!#REF!</f>
        <v>#REF!</v>
      </c>
      <c r="BB74" s="26">
        <f>Europe!AR74+'Asia-Pacific'!AR74+'Rest of world'!AR74+'North America'!AR74+'Latin America'!AR74</f>
        <v>5</v>
      </c>
      <c r="BC74" s="23">
        <f t="shared" si="130"/>
        <v>0</v>
      </c>
      <c r="BD74" s="112" t="e">
        <f>'North America'!#REF!+Europe!#REF!+'Asia-Pacific'!#REF!+'Rest of world'!#REF!</f>
        <v>#REF!</v>
      </c>
      <c r="BE74" s="113" t="e">
        <f>'North America'!#REF!+Europe!#REF!+'Asia-Pacific'!#REF!+'Rest of world'!#REF!</f>
        <v>#REF!</v>
      </c>
      <c r="BF74" s="26">
        <f>Europe!AV74+'Asia-Pacific'!AV74+'Rest of world'!AV74+'North America'!AV74+'Latin America'!AV74</f>
        <v>5</v>
      </c>
      <c r="BG74" s="23">
        <f t="shared" si="131"/>
        <v>0</v>
      </c>
      <c r="BH74" s="112" t="e">
        <f>'North America'!#REF!+Europe!#REF!+'Asia-Pacific'!#REF!+'Rest of world'!#REF!</f>
        <v>#REF!</v>
      </c>
      <c r="BI74" s="113" t="e">
        <f>'North America'!#REF!+Europe!#REF!+'Asia-Pacific'!#REF!+'Rest of world'!#REF!</f>
        <v>#REF!</v>
      </c>
      <c r="BK74" s="240">
        <f t="shared" si="132"/>
        <v>15</v>
      </c>
      <c r="BL74" s="241" t="e">
        <f t="shared" si="133"/>
        <v>#REF!</v>
      </c>
      <c r="BM74" s="240">
        <f t="shared" si="134"/>
        <v>15</v>
      </c>
      <c r="BN74" s="241" t="e">
        <f t="shared" si="135"/>
        <v>#REF!</v>
      </c>
      <c r="BO74" s="240">
        <f t="shared" si="136"/>
        <v>15</v>
      </c>
      <c r="BP74" s="241" t="e">
        <f t="shared" si="137"/>
        <v>#REF!</v>
      </c>
      <c r="BQ74" s="201">
        <f t="shared" si="138"/>
        <v>15</v>
      </c>
      <c r="BR74" s="204" t="e">
        <f t="shared" si="139"/>
        <v>#REF!</v>
      </c>
      <c r="BS74" s="240">
        <f t="shared" si="140"/>
        <v>60</v>
      </c>
      <c r="BT74" s="253" t="e">
        <f t="shared" si="141"/>
        <v>#REF!</v>
      </c>
      <c r="BW74" s="2"/>
      <c r="DJ74" s="21"/>
      <c r="DK74" s="21"/>
      <c r="DL74" s="21"/>
      <c r="DM74" s="199">
        <v>1555.85747860775</v>
      </c>
    </row>
    <row r="75" spans="1:120" ht="12.6" customHeight="1">
      <c r="A75" s="35" t="s">
        <v>132</v>
      </c>
      <c r="B75" s="135"/>
      <c r="C75" s="135"/>
      <c r="D75" s="135"/>
      <c r="E75" s="157"/>
      <c r="F75" s="149"/>
      <c r="G75" s="151"/>
      <c r="H75" s="135"/>
      <c r="I75" s="151">
        <f t="shared" si="117"/>
        <v>0</v>
      </c>
      <c r="J75" s="27">
        <f t="shared" si="118"/>
        <v>250</v>
      </c>
      <c r="K75" s="23">
        <f t="shared" si="119"/>
        <v>0</v>
      </c>
      <c r="L75" s="112" t="e">
        <f t="shared" si="142"/>
        <v>#REF!</v>
      </c>
      <c r="M75" s="113" t="e">
        <f t="shared" si="143"/>
        <v>#REF!</v>
      </c>
      <c r="N75" s="26">
        <f>Europe!D75+'Asia-Pacific'!D75+'Rest of world'!D75+'North America'!D75+'Latin America'!D75</f>
        <v>250</v>
      </c>
      <c r="O75" s="23">
        <f t="shared" si="120"/>
        <v>0</v>
      </c>
      <c r="P75" s="112" t="e">
        <f>'North America'!#REF!+Europe!#REF!+'Asia-Pacific'!#REF!+'Rest of world'!#REF!</f>
        <v>#REF!</v>
      </c>
      <c r="Q75" s="113" t="e">
        <f>'North America'!#REF!+Europe!#REF!+'Asia-Pacific'!#REF!+'Rest of world'!#REF!</f>
        <v>#REF!</v>
      </c>
      <c r="R75" s="26">
        <f>Europe!H75+'Asia-Pacific'!H75+'Rest of world'!H75+'North America'!H75+'Latin America'!H75</f>
        <v>0</v>
      </c>
      <c r="S75" s="23">
        <f t="shared" si="121"/>
        <v>0</v>
      </c>
      <c r="T75" s="112" t="e">
        <f>'North America'!#REF!+Europe!#REF!+'Asia-Pacific'!#REF!+'Rest of world'!#REF!</f>
        <v>#REF!</v>
      </c>
      <c r="U75" s="113" t="e">
        <f>'North America'!#REF!+Europe!#REF!+'Asia-Pacific'!#REF!+'Rest of world'!#REF!</f>
        <v>#REF!</v>
      </c>
      <c r="V75" s="26">
        <f>Europe!L75+'Asia-Pacific'!L75+'Rest of world'!L75+'North America'!L75+'Latin America'!L75</f>
        <v>0</v>
      </c>
      <c r="W75" s="23">
        <f t="shared" si="122"/>
        <v>0</v>
      </c>
      <c r="X75" s="112" t="e">
        <f>'North America'!#REF!+Europe!#REF!+'Asia-Pacific'!#REF!+'Rest of world'!#REF!</f>
        <v>#REF!</v>
      </c>
      <c r="Y75" s="113" t="e">
        <f>'North America'!#REF!+Europe!#REF!+'Asia-Pacific'!#REF!+'Rest of world'!#REF!</f>
        <v>#REF!</v>
      </c>
      <c r="Z75" s="26">
        <f>Europe!P75+'Asia-Pacific'!P75+'Rest of world'!P75+'North America'!P75+'Latin America'!P75</f>
        <v>0</v>
      </c>
      <c r="AA75" s="23">
        <f t="shared" si="123"/>
        <v>0</v>
      </c>
      <c r="AB75" s="112" t="e">
        <f>'North America'!#REF!+Europe!#REF!+'Asia-Pacific'!#REF!+'Rest of world'!#REF!</f>
        <v>#REF!</v>
      </c>
      <c r="AC75" s="113" t="e">
        <f>'North America'!#REF!+Europe!#REF!+'Asia-Pacific'!#REF!+'Rest of world'!#REF!</f>
        <v>#REF!</v>
      </c>
      <c r="AD75" s="26">
        <f>Europe!T75+'Asia-Pacific'!T75+'Rest of world'!T75+'North America'!T75+'Latin America'!T75</f>
        <v>0</v>
      </c>
      <c r="AE75" s="23">
        <f t="shared" si="124"/>
        <v>0</v>
      </c>
      <c r="AF75" s="112">
        <f>'North America'!V75+Europe!V75+'Asia-Pacific'!V75+'Rest of world'!V75</f>
        <v>0</v>
      </c>
      <c r="AG75" s="113">
        <f>'North America'!W75+Europe!W75+'Asia-Pacific'!W75+'Rest of world'!W75</f>
        <v>0</v>
      </c>
      <c r="AH75" s="26">
        <f>Europe!X75+'Asia-Pacific'!X75+'Rest of world'!X75+'North America'!X75+'Latin America'!X75</f>
        <v>0</v>
      </c>
      <c r="AI75" s="23">
        <f t="shared" si="125"/>
        <v>0</v>
      </c>
      <c r="AJ75" s="112" t="e">
        <f>'North America'!Z75+Europe!Z75+'Asia-Pacific'!Z75+'Rest of world'!#REF!</f>
        <v>#REF!</v>
      </c>
      <c r="AK75" s="113">
        <f>'North America'!AA75+Europe!AA75+'Asia-Pacific'!AA75+'Rest of world'!AA75</f>
        <v>0</v>
      </c>
      <c r="AL75" s="26">
        <f>Europe!AB75+'Asia-Pacific'!AB75+'Rest of world'!AB75+'North America'!AB75+'Latin America'!AB75</f>
        <v>0</v>
      </c>
      <c r="AM75" s="23">
        <f t="shared" si="126"/>
        <v>0</v>
      </c>
      <c r="AN75" s="112" t="e">
        <f>'North America'!#REF!+Europe!#REF!+'Asia-Pacific'!#REF!+'Rest of world'!#REF!</f>
        <v>#REF!</v>
      </c>
      <c r="AO75" s="113" t="e">
        <f>'North America'!#REF!+Europe!#REF!+'Asia-Pacific'!#REF!+'Rest of world'!#REF!</f>
        <v>#REF!</v>
      </c>
      <c r="AP75" s="26">
        <f>Europe!AF75+'Asia-Pacific'!AF75+'Rest of world'!AF75+'North America'!AF75+'Latin America'!AF75</f>
        <v>0</v>
      </c>
      <c r="AQ75" s="23">
        <f t="shared" si="127"/>
        <v>0</v>
      </c>
      <c r="AR75" s="112" t="e">
        <f>'North America'!#REF!+Europe!#REF!+'Asia-Pacific'!#REF!+'Rest of world'!#REF!</f>
        <v>#REF!</v>
      </c>
      <c r="AS75" s="113" t="e">
        <f>'North America'!#REF!+Europe!#REF!+'Asia-Pacific'!#REF!+'Rest of world'!#REF!</f>
        <v>#REF!</v>
      </c>
      <c r="AT75" s="26">
        <f>Europe!AJ75+'Asia-Pacific'!AJ75+'Rest of world'!AJ75+'North America'!AJ75+'Latin America'!AJ75</f>
        <v>0</v>
      </c>
      <c r="AU75" s="23">
        <f t="shared" si="128"/>
        <v>0</v>
      </c>
      <c r="AV75" s="112" t="e">
        <f>'North America'!#REF!+Europe!#REF!+'Asia-Pacific'!#REF!+'Rest of world'!#REF!</f>
        <v>#REF!</v>
      </c>
      <c r="AW75" s="113" t="e">
        <f>'North America'!#REF!+Europe!#REF!+'Asia-Pacific'!#REF!+'Rest of world'!#REF!</f>
        <v>#REF!</v>
      </c>
      <c r="AX75" s="26">
        <f>Europe!AN75+'Asia-Pacific'!AN75+'Rest of world'!AN75+'North America'!AN75+'Latin America'!AN75</f>
        <v>0</v>
      </c>
      <c r="AY75" s="23">
        <f t="shared" si="129"/>
        <v>0</v>
      </c>
      <c r="AZ75" s="112" t="e">
        <f>'North America'!#REF!+Europe!#REF!+'Asia-Pacific'!#REF!+'Rest of world'!#REF!</f>
        <v>#REF!</v>
      </c>
      <c r="BA75" s="113" t="e">
        <f>'North America'!#REF!+Europe!#REF!+'Asia-Pacific'!#REF!+'Rest of world'!#REF!</f>
        <v>#REF!</v>
      </c>
      <c r="BB75" s="26">
        <f>Europe!AR75+'Asia-Pacific'!AR75+'Rest of world'!AR75+'North America'!AR75+'Latin America'!AR75</f>
        <v>0</v>
      </c>
      <c r="BC75" s="23">
        <f t="shared" si="130"/>
        <v>0</v>
      </c>
      <c r="BD75" s="112" t="e">
        <f>'North America'!#REF!+Europe!#REF!+'Asia-Pacific'!#REF!+'Rest of world'!#REF!</f>
        <v>#REF!</v>
      </c>
      <c r="BE75" s="113" t="e">
        <f>'North America'!#REF!+Europe!#REF!+'Asia-Pacific'!#REF!+'Rest of world'!#REF!</f>
        <v>#REF!</v>
      </c>
      <c r="BF75" s="26">
        <f>Europe!AV75+'Asia-Pacific'!AV75+'Rest of world'!AV75+'North America'!AV75+'Latin America'!AV75</f>
        <v>0</v>
      </c>
      <c r="BG75" s="23">
        <f t="shared" si="131"/>
        <v>0</v>
      </c>
      <c r="BH75" s="112" t="e">
        <f>'North America'!#REF!+Europe!#REF!+'Asia-Pacific'!#REF!+'Rest of world'!#REF!</f>
        <v>#REF!</v>
      </c>
      <c r="BI75" s="113" t="e">
        <f>'North America'!#REF!+Europe!#REF!+'Asia-Pacific'!#REF!+'Rest of world'!#REF!</f>
        <v>#REF!</v>
      </c>
      <c r="BK75" s="240">
        <f t="shared" si="132"/>
        <v>250</v>
      </c>
      <c r="BL75" s="241" t="e">
        <f t="shared" si="133"/>
        <v>#REF!</v>
      </c>
      <c r="BM75" s="240">
        <f t="shared" si="134"/>
        <v>0</v>
      </c>
      <c r="BN75" s="241" t="e">
        <f t="shared" si="135"/>
        <v>#REF!</v>
      </c>
      <c r="BO75" s="240">
        <f t="shared" si="136"/>
        <v>0</v>
      </c>
      <c r="BP75" s="241" t="e">
        <f t="shared" si="137"/>
        <v>#REF!</v>
      </c>
      <c r="BQ75" s="201">
        <f t="shared" si="138"/>
        <v>0</v>
      </c>
      <c r="BR75" s="204" t="e">
        <f t="shared" si="139"/>
        <v>#REF!</v>
      </c>
      <c r="BS75" s="240">
        <f t="shared" si="140"/>
        <v>250</v>
      </c>
      <c r="BT75" s="253" t="e">
        <f t="shared" si="141"/>
        <v>#REF!</v>
      </c>
      <c r="BW75" s="2"/>
      <c r="CK75" s="204">
        <f>Q70+U70+Y70</f>
        <v>0</v>
      </c>
    </row>
    <row r="76" spans="1:120" ht="12.6" customHeight="1">
      <c r="A76" s="38" t="s">
        <v>121</v>
      </c>
      <c r="B76" s="148"/>
      <c r="C76" s="148"/>
      <c r="D76" s="148"/>
      <c r="E76" s="158"/>
      <c r="F76" s="149"/>
      <c r="G76" s="151"/>
      <c r="H76" s="135"/>
      <c r="I76" s="151"/>
      <c r="J76" s="27"/>
      <c r="K76" s="23"/>
      <c r="L76" s="112"/>
      <c r="M76" s="113"/>
      <c r="N76" s="26">
        <f>Europe!D76+'Asia-Pacific'!D76+'Rest of world'!D76+'North America'!D76+'Latin America'!D76</f>
        <v>0</v>
      </c>
      <c r="O76" s="23"/>
      <c r="P76" s="112"/>
      <c r="Q76" s="113"/>
      <c r="R76" s="26">
        <f>Europe!H76+'Asia-Pacific'!H76+'Rest of world'!H76+'North America'!H76+'Latin America'!H76</f>
        <v>0</v>
      </c>
      <c r="S76" s="23"/>
      <c r="T76" s="112"/>
      <c r="U76" s="113"/>
      <c r="V76" s="26">
        <f>Europe!L76+'Asia-Pacific'!L76+'Rest of world'!L76+'North America'!L76+'Latin America'!L76</f>
        <v>0</v>
      </c>
      <c r="W76" s="23"/>
      <c r="X76" s="112"/>
      <c r="Y76" s="113"/>
      <c r="Z76" s="26">
        <f>Europe!P76+'Asia-Pacific'!P76+'Rest of world'!P76+'North America'!P76+'Latin America'!P76</f>
        <v>0</v>
      </c>
      <c r="AA76" s="23"/>
      <c r="AB76" s="112"/>
      <c r="AC76" s="113"/>
      <c r="AD76" s="26">
        <f>Europe!T76+'Asia-Pacific'!T76+'Rest of world'!T76+'North America'!T76+'Latin America'!T76</f>
        <v>0</v>
      </c>
      <c r="AE76" s="23"/>
      <c r="AF76" s="112"/>
      <c r="AG76" s="113"/>
      <c r="AH76" s="26">
        <f>Europe!X76+'Asia-Pacific'!X76+'Rest of world'!X76+'North America'!X76+'Latin America'!X76</f>
        <v>0</v>
      </c>
      <c r="AI76" s="23"/>
      <c r="AJ76" s="112"/>
      <c r="AK76" s="113"/>
      <c r="AL76" s="26">
        <f>Europe!AB76+'Asia-Pacific'!AB76+'Rest of world'!AB76+'North America'!AB76+'Latin America'!AB76</f>
        <v>0</v>
      </c>
      <c r="AM76" s="23"/>
      <c r="AN76" s="112"/>
      <c r="AO76" s="113"/>
      <c r="AP76" s="26">
        <f>Europe!AF76+'Asia-Pacific'!AF76+'Rest of world'!AF76+'North America'!AF76+'Latin America'!AF76</f>
        <v>0</v>
      </c>
      <c r="AQ76" s="23"/>
      <c r="AR76" s="112"/>
      <c r="AS76" s="113"/>
      <c r="AT76" s="26">
        <f>Europe!AJ76+'Asia-Pacific'!AJ76+'Rest of world'!AJ76+'North America'!AJ76+'Latin America'!AJ76</f>
        <v>0</v>
      </c>
      <c r="AU76" s="23"/>
      <c r="AV76" s="112"/>
      <c r="AW76" s="113"/>
      <c r="AX76" s="26">
        <f>Europe!AN76+'Asia-Pacific'!AN76+'Rest of world'!AN76+'North America'!AN76+'Latin America'!AN76</f>
        <v>0</v>
      </c>
      <c r="AY76" s="23"/>
      <c r="AZ76" s="112"/>
      <c r="BA76" s="113"/>
      <c r="BB76" s="26">
        <f>Europe!AR76+'Asia-Pacific'!AR76+'Rest of world'!AR76+'North America'!AR76+'Latin America'!AR76</f>
        <v>0</v>
      </c>
      <c r="BC76" s="23"/>
      <c r="BD76" s="112"/>
      <c r="BE76" s="113"/>
      <c r="BF76" s="26">
        <f>Europe!AV76+'Asia-Pacific'!AV76+'Rest of world'!AV76+'North America'!AV76+'Latin America'!AV76</f>
        <v>0</v>
      </c>
      <c r="BG76" s="23"/>
      <c r="BH76" s="112"/>
      <c r="BI76" s="113"/>
      <c r="BK76" s="240"/>
      <c r="BL76" s="241"/>
      <c r="BM76" s="240"/>
      <c r="BN76" s="241"/>
      <c r="BO76" s="240"/>
      <c r="BP76" s="241"/>
      <c r="BQ76" s="201"/>
      <c r="BR76" s="204"/>
      <c r="BS76" s="240"/>
      <c r="BT76" s="253"/>
      <c r="BW76" s="2"/>
      <c r="CK76" s="204"/>
    </row>
    <row r="77" spans="1:120" ht="12.6" customHeight="1">
      <c r="A77" s="38" t="s">
        <v>122</v>
      </c>
      <c r="B77" s="148"/>
      <c r="C77" s="148"/>
      <c r="D77" s="148"/>
      <c r="E77" s="158"/>
      <c r="F77" s="149"/>
      <c r="G77" s="151"/>
      <c r="H77" s="135"/>
      <c r="I77" s="151">
        <f t="shared" si="117"/>
        <v>0</v>
      </c>
      <c r="J77" s="27">
        <f t="shared" si="118"/>
        <v>0</v>
      </c>
      <c r="K77" s="23">
        <f t="shared" si="119"/>
        <v>0</v>
      </c>
      <c r="L77" s="112" t="e">
        <f>P77+T77+X77+AB77+AF77+AJ77+AN77+AR77+AV77+AZ77+BD77+BH77</f>
        <v>#REF!</v>
      </c>
      <c r="M77" s="113" t="e">
        <f>Q77+U77+Y77+AC77+AG77+AK77+AO77+AS77+AW77+BA77+BE77+BI77</f>
        <v>#REF!</v>
      </c>
      <c r="N77" s="26">
        <f>Europe!D77+'Asia-Pacific'!D77+'Rest of world'!D77+'North America'!D77+'Latin America'!D77</f>
        <v>0</v>
      </c>
      <c r="O77" s="23">
        <f>IF(ISERROR(P77/N77*1000000),0,(P77/N77*1000000))</f>
        <v>0</v>
      </c>
      <c r="P77" s="112" t="e">
        <f>'North America'!#REF!+Europe!#REF!+'Asia-Pacific'!#REF!+'Rest of world'!#REF!</f>
        <v>#REF!</v>
      </c>
      <c r="Q77" s="113" t="e">
        <f>'North America'!#REF!+Europe!#REF!+'Asia-Pacific'!#REF!+'Rest of world'!#REF!</f>
        <v>#REF!</v>
      </c>
      <c r="R77" s="26">
        <f>Europe!H77+'Asia-Pacific'!H77+'Rest of world'!H77+'North America'!H77+'Latin America'!H77</f>
        <v>0</v>
      </c>
      <c r="S77" s="23">
        <f>IF(ISERROR(T77/R77*1000000),0,(T77/R77*1000000))</f>
        <v>0</v>
      </c>
      <c r="T77" s="112" t="e">
        <f>'North America'!#REF!+Europe!#REF!+'Asia-Pacific'!#REF!+'Rest of world'!#REF!</f>
        <v>#REF!</v>
      </c>
      <c r="U77" s="113" t="e">
        <f>'North America'!#REF!+Europe!#REF!+'Asia-Pacific'!#REF!+'Rest of world'!#REF!</f>
        <v>#REF!</v>
      </c>
      <c r="V77" s="26">
        <f>Europe!L77+'Asia-Pacific'!L77+'Rest of world'!L77+'North America'!L77+'Latin America'!L77</f>
        <v>0</v>
      </c>
      <c r="W77" s="23">
        <f t="shared" si="122"/>
        <v>0</v>
      </c>
      <c r="X77" s="112" t="e">
        <f>'North America'!#REF!+Europe!#REF!+'Asia-Pacific'!#REF!+'Rest of world'!#REF!</f>
        <v>#REF!</v>
      </c>
      <c r="Y77" s="113" t="e">
        <f>'North America'!#REF!+Europe!#REF!+'Asia-Pacific'!#REF!+'Rest of world'!#REF!</f>
        <v>#REF!</v>
      </c>
      <c r="Z77" s="26">
        <f>Europe!P77+'Asia-Pacific'!P77+'Rest of world'!P77+'North America'!P77+'Latin America'!P77</f>
        <v>0</v>
      </c>
      <c r="AA77" s="23">
        <f t="shared" si="123"/>
        <v>0</v>
      </c>
      <c r="AB77" s="112" t="e">
        <f>'North America'!#REF!+Europe!#REF!+'Asia-Pacific'!#REF!+'Rest of world'!#REF!</f>
        <v>#REF!</v>
      </c>
      <c r="AC77" s="113" t="e">
        <f>'North America'!#REF!+Europe!#REF!+'Asia-Pacific'!#REF!+'Rest of world'!#REF!</f>
        <v>#REF!</v>
      </c>
      <c r="AD77" s="26">
        <f>Europe!T77+'Asia-Pacific'!T77+'Rest of world'!T77+'North America'!T77+'Latin America'!T77</f>
        <v>0</v>
      </c>
      <c r="AE77" s="23">
        <f t="shared" si="124"/>
        <v>0</v>
      </c>
      <c r="AF77" s="112">
        <f>'North America'!V77+Europe!V77+'Asia-Pacific'!V77+'Rest of world'!V77</f>
        <v>0</v>
      </c>
      <c r="AG77" s="113">
        <f>'North America'!W77+Europe!W77+'Asia-Pacific'!W77+'Rest of world'!W77</f>
        <v>0</v>
      </c>
      <c r="AH77" s="26">
        <f>Europe!X77+'Asia-Pacific'!X77+'Rest of world'!X77+'North America'!X77+'Latin America'!X77</f>
        <v>0</v>
      </c>
      <c r="AI77" s="23">
        <f t="shared" si="125"/>
        <v>0</v>
      </c>
      <c r="AJ77" s="112" t="e">
        <f>'North America'!Z77+Europe!Z77+'Asia-Pacific'!Z77+'Rest of world'!#REF!</f>
        <v>#REF!</v>
      </c>
      <c r="AK77" s="113">
        <f>'North America'!AA77+Europe!AA77+'Asia-Pacific'!AA77+'Rest of world'!AA77</f>
        <v>0</v>
      </c>
      <c r="AL77" s="26">
        <f>Europe!AB77+'Asia-Pacific'!AB77+'Rest of world'!AB77+'North America'!AB77+'Latin America'!AB77</f>
        <v>0</v>
      </c>
      <c r="AM77" s="23">
        <f t="shared" si="126"/>
        <v>0</v>
      </c>
      <c r="AN77" s="112" t="e">
        <f>'North America'!#REF!+Europe!#REF!+'Asia-Pacific'!#REF!+'Rest of world'!#REF!</f>
        <v>#REF!</v>
      </c>
      <c r="AO77" s="113" t="e">
        <f>'North America'!#REF!+Europe!#REF!+'Asia-Pacific'!#REF!+'Rest of world'!#REF!</f>
        <v>#REF!</v>
      </c>
      <c r="AP77" s="26">
        <f>Europe!AF77+'Asia-Pacific'!AF77+'Rest of world'!AF77+'North America'!AF77+'Latin America'!AF77</f>
        <v>0</v>
      </c>
      <c r="AQ77" s="23">
        <f t="shared" si="127"/>
        <v>0</v>
      </c>
      <c r="AR77" s="112" t="e">
        <f>'North America'!#REF!+Europe!#REF!+'Asia-Pacific'!#REF!+'Rest of world'!#REF!</f>
        <v>#REF!</v>
      </c>
      <c r="AS77" s="113" t="e">
        <f>'North America'!#REF!+Europe!#REF!+'Asia-Pacific'!#REF!+'Rest of world'!#REF!</f>
        <v>#REF!</v>
      </c>
      <c r="AT77" s="26">
        <f>Europe!AJ77+'Asia-Pacific'!AJ77+'Rest of world'!AJ77+'North America'!AJ77+'Latin America'!AJ77</f>
        <v>0</v>
      </c>
      <c r="AU77" s="23">
        <f t="shared" si="128"/>
        <v>0</v>
      </c>
      <c r="AV77" s="112" t="e">
        <f>'North America'!#REF!+Europe!#REF!+'Asia-Pacific'!#REF!+'Rest of world'!#REF!</f>
        <v>#REF!</v>
      </c>
      <c r="AW77" s="113" t="e">
        <f>'North America'!#REF!+Europe!#REF!+'Asia-Pacific'!#REF!+'Rest of world'!#REF!</f>
        <v>#REF!</v>
      </c>
      <c r="AX77" s="26">
        <f>Europe!AN77+'Asia-Pacific'!AN77+'Rest of world'!AN77+'North America'!AN77+'Latin America'!AN77</f>
        <v>0</v>
      </c>
      <c r="AY77" s="23">
        <f t="shared" si="129"/>
        <v>0</v>
      </c>
      <c r="AZ77" s="112" t="e">
        <f>'North America'!#REF!+Europe!#REF!+'Asia-Pacific'!#REF!+'Rest of world'!#REF!</f>
        <v>#REF!</v>
      </c>
      <c r="BA77" s="113" t="e">
        <f>'North America'!#REF!+Europe!#REF!+'Asia-Pacific'!#REF!+'Rest of world'!#REF!</f>
        <v>#REF!</v>
      </c>
      <c r="BB77" s="26">
        <f>Europe!AR77+'Asia-Pacific'!AR77+'Rest of world'!AR77+'North America'!AR77+'Latin America'!AR77</f>
        <v>0</v>
      </c>
      <c r="BC77" s="23">
        <f t="shared" si="130"/>
        <v>0</v>
      </c>
      <c r="BD77" s="112" t="e">
        <f>'North America'!#REF!+Europe!#REF!+'Asia-Pacific'!#REF!+'Rest of world'!#REF!</f>
        <v>#REF!</v>
      </c>
      <c r="BE77" s="113" t="e">
        <f>'North America'!#REF!+Europe!#REF!+'Asia-Pacific'!#REF!+'Rest of world'!#REF!</f>
        <v>#REF!</v>
      </c>
      <c r="BF77" s="26">
        <f>Europe!AV77+'Asia-Pacific'!AV77+'Rest of world'!AV77+'North America'!AV77+'Latin America'!AV77</f>
        <v>0</v>
      </c>
      <c r="BG77" s="23">
        <f t="shared" si="131"/>
        <v>0</v>
      </c>
      <c r="BH77" s="112" t="e">
        <f>'North America'!#REF!+Europe!#REF!+'Asia-Pacific'!#REF!+'Rest of world'!#REF!</f>
        <v>#REF!</v>
      </c>
      <c r="BI77" s="113" t="e">
        <f>'North America'!#REF!+Europe!#REF!+'Asia-Pacific'!#REF!+'Rest of world'!#REF!</f>
        <v>#REF!</v>
      </c>
      <c r="BK77" s="240"/>
      <c r="BL77" s="241"/>
      <c r="BM77" s="240"/>
      <c r="BN77" s="241"/>
      <c r="BO77" s="240"/>
      <c r="BP77" s="241"/>
      <c r="BQ77" s="201"/>
      <c r="BR77" s="204"/>
      <c r="BS77" s="240"/>
      <c r="BT77" s="253"/>
    </row>
    <row r="78" spans="1:120" ht="12.6" customHeight="1" thickBot="1">
      <c r="A78" s="286" t="s">
        <v>123</v>
      </c>
      <c r="B78" s="148"/>
      <c r="C78" s="148"/>
      <c r="D78" s="148"/>
      <c r="E78" s="158"/>
      <c r="F78" s="149"/>
      <c r="G78" s="152"/>
      <c r="H78" s="135"/>
      <c r="I78" s="151">
        <f t="shared" si="117"/>
        <v>0</v>
      </c>
      <c r="J78" s="82">
        <f t="shared" si="118"/>
        <v>0</v>
      </c>
      <c r="K78" s="39">
        <f t="shared" si="119"/>
        <v>0</v>
      </c>
      <c r="L78" s="112" t="e">
        <f t="shared" ref="L78" si="144">P78+T78+X78+AB78+AF78+AJ78+AN78+AR78+AV78+AZ78+BD78+BH78</f>
        <v>#REF!</v>
      </c>
      <c r="M78" s="113" t="e">
        <f t="shared" ref="M78" si="145">Q78+U78+Y78+AC78+AG78+AK78+AO78+AS78+AW78+BA78+BE78+BI78</f>
        <v>#REF!</v>
      </c>
      <c r="N78" s="26">
        <f>Europe!D78+'Asia-Pacific'!D78+'Rest of world'!D78+'North America'!D78+'Latin America'!D78</f>
        <v>0</v>
      </c>
      <c r="O78" s="39">
        <f t="shared" ref="O78:O79" si="146">IF(ISERROR(P78/N78*1000000),0,(P78/N78*1000000))</f>
        <v>0</v>
      </c>
      <c r="P78" s="112" t="e">
        <f>'North America'!#REF!+Europe!#REF!+'Asia-Pacific'!#REF!+'Rest of world'!#REF!</f>
        <v>#REF!</v>
      </c>
      <c r="Q78" s="113" t="e">
        <f>'North America'!#REF!+Europe!#REF!+'Asia-Pacific'!#REF!+'Rest of world'!#REF!</f>
        <v>#REF!</v>
      </c>
      <c r="R78" s="26">
        <f>Europe!H78+'Asia-Pacific'!H78+'Rest of world'!H78+'North America'!H78+'Latin America'!H78</f>
        <v>0</v>
      </c>
      <c r="S78" s="39">
        <f t="shared" ref="S78" si="147">IF(ISERROR(T78/R78*1000000),0,(T78/R78*1000000))</f>
        <v>0</v>
      </c>
      <c r="T78" s="112" t="e">
        <f>'North America'!#REF!+Europe!#REF!+'Asia-Pacific'!#REF!+'Rest of world'!#REF!</f>
        <v>#REF!</v>
      </c>
      <c r="U78" s="113" t="e">
        <f>'North America'!#REF!+Europe!#REF!+'Asia-Pacific'!#REF!+'Rest of world'!#REF!</f>
        <v>#REF!</v>
      </c>
      <c r="V78" s="26">
        <f>Europe!L78+'Asia-Pacific'!L78+'Rest of world'!L78+'North America'!L78+'Latin America'!L78</f>
        <v>0</v>
      </c>
      <c r="W78" s="39">
        <f t="shared" si="122"/>
        <v>0</v>
      </c>
      <c r="X78" s="112" t="e">
        <f>'North America'!#REF!+Europe!#REF!+'Asia-Pacific'!#REF!+'Rest of world'!#REF!</f>
        <v>#REF!</v>
      </c>
      <c r="Y78" s="113" t="e">
        <f>'North America'!#REF!+Europe!#REF!+'Asia-Pacific'!#REF!+'Rest of world'!#REF!</f>
        <v>#REF!</v>
      </c>
      <c r="Z78" s="26">
        <f>Europe!P78+'Asia-Pacific'!P78+'Rest of world'!P78+'North America'!P78+'Latin America'!P78</f>
        <v>0</v>
      </c>
      <c r="AA78" s="39">
        <f t="shared" si="123"/>
        <v>0</v>
      </c>
      <c r="AB78" s="112" t="e">
        <f>'North America'!#REF!+Europe!#REF!+'Asia-Pacific'!#REF!+'Rest of world'!#REF!</f>
        <v>#REF!</v>
      </c>
      <c r="AC78" s="113" t="e">
        <f>'North America'!#REF!+Europe!#REF!+'Asia-Pacific'!#REF!+'Rest of world'!#REF!</f>
        <v>#REF!</v>
      </c>
      <c r="AD78" s="26">
        <f>Europe!T78+'Asia-Pacific'!T78+'Rest of world'!T78+'North America'!T78+'Latin America'!T78</f>
        <v>0</v>
      </c>
      <c r="AE78" s="39">
        <f t="shared" si="124"/>
        <v>0</v>
      </c>
      <c r="AF78" s="112">
        <f>'North America'!V78+Europe!V78+'Asia-Pacific'!V78+'Rest of world'!V78</f>
        <v>0</v>
      </c>
      <c r="AG78" s="113">
        <f>'North America'!W78+Europe!W78+'Asia-Pacific'!W78+'Rest of world'!W78</f>
        <v>0</v>
      </c>
      <c r="AH78" s="26">
        <f>Europe!X78+'Asia-Pacific'!X78+'Rest of world'!X78+'North America'!X78+'Latin America'!X78</f>
        <v>0</v>
      </c>
      <c r="AI78" s="39">
        <f t="shared" si="125"/>
        <v>0</v>
      </c>
      <c r="AJ78" s="112" t="e">
        <f>'North America'!Z78+Europe!Z78+'Asia-Pacific'!Z78+'Rest of world'!#REF!</f>
        <v>#REF!</v>
      </c>
      <c r="AK78" s="113">
        <f>'North America'!AA78+Europe!AA78+'Asia-Pacific'!AA78+'Rest of world'!AA78</f>
        <v>0</v>
      </c>
      <c r="AL78" s="26">
        <f>Europe!AB78+'Asia-Pacific'!AB78+'Rest of world'!AB78+'North America'!AB78+'Latin America'!AB78</f>
        <v>0</v>
      </c>
      <c r="AM78" s="39">
        <f t="shared" si="126"/>
        <v>0</v>
      </c>
      <c r="AN78" s="112" t="e">
        <f>'North America'!#REF!+Europe!#REF!+'Asia-Pacific'!#REF!+'Rest of world'!#REF!</f>
        <v>#REF!</v>
      </c>
      <c r="AO78" s="113" t="e">
        <f>'North America'!#REF!+Europe!#REF!+'Asia-Pacific'!#REF!+'Rest of world'!#REF!</f>
        <v>#REF!</v>
      </c>
      <c r="AP78" s="26">
        <f>Europe!AF78+'Asia-Pacific'!AF78+'Rest of world'!AF78+'North America'!AF78+'Latin America'!AF78</f>
        <v>0</v>
      </c>
      <c r="AQ78" s="39">
        <f t="shared" si="127"/>
        <v>0</v>
      </c>
      <c r="AR78" s="112" t="e">
        <f>'North America'!#REF!+Europe!#REF!+'Asia-Pacific'!#REF!+'Rest of world'!#REF!</f>
        <v>#REF!</v>
      </c>
      <c r="AS78" s="113" t="e">
        <f>'North America'!#REF!+Europe!#REF!+'Asia-Pacific'!#REF!+'Rest of world'!#REF!</f>
        <v>#REF!</v>
      </c>
      <c r="AT78" s="26">
        <f>Europe!AJ78+'Asia-Pacific'!AJ78+'Rest of world'!AJ78+'North America'!AJ78+'Latin America'!AJ78</f>
        <v>0</v>
      </c>
      <c r="AU78" s="39">
        <f t="shared" si="128"/>
        <v>0</v>
      </c>
      <c r="AV78" s="112" t="e">
        <f>'North America'!#REF!+Europe!#REF!+'Asia-Pacific'!#REF!+'Rest of world'!#REF!</f>
        <v>#REF!</v>
      </c>
      <c r="AW78" s="113" t="e">
        <f>'North America'!#REF!+Europe!#REF!+'Asia-Pacific'!#REF!+'Rest of world'!#REF!</f>
        <v>#REF!</v>
      </c>
      <c r="AX78" s="26">
        <f>Europe!AN78+'Asia-Pacific'!AN78+'Rest of world'!AN78+'North America'!AN78+'Latin America'!AN78</f>
        <v>0</v>
      </c>
      <c r="AY78" s="39">
        <f t="shared" si="129"/>
        <v>0</v>
      </c>
      <c r="AZ78" s="112" t="e">
        <f>'North America'!#REF!+Europe!#REF!+'Asia-Pacific'!#REF!+'Rest of world'!#REF!</f>
        <v>#REF!</v>
      </c>
      <c r="BA78" s="113" t="e">
        <f>'North America'!#REF!+Europe!#REF!+'Asia-Pacific'!#REF!+'Rest of world'!#REF!</f>
        <v>#REF!</v>
      </c>
      <c r="BB78" s="26">
        <f>Europe!AR78+'Asia-Pacific'!AR78+'Rest of world'!AR78+'North America'!AR78+'Latin America'!AR78</f>
        <v>0</v>
      </c>
      <c r="BC78" s="39">
        <f t="shared" si="130"/>
        <v>0</v>
      </c>
      <c r="BD78" s="112" t="e">
        <f>'North America'!#REF!+Europe!#REF!+'Asia-Pacific'!#REF!+'Rest of world'!#REF!</f>
        <v>#REF!</v>
      </c>
      <c r="BE78" s="113" t="e">
        <f>'North America'!#REF!+Europe!#REF!+'Asia-Pacific'!#REF!+'Rest of world'!#REF!</f>
        <v>#REF!</v>
      </c>
      <c r="BF78" s="26">
        <f>Europe!AV78+'Asia-Pacific'!AV78+'Rest of world'!AV78+'North America'!AV78+'Latin America'!AV78</f>
        <v>0</v>
      </c>
      <c r="BG78" s="39">
        <f t="shared" si="131"/>
        <v>0</v>
      </c>
      <c r="BH78" s="112" t="e">
        <f>'North America'!#REF!+Europe!#REF!+'Asia-Pacific'!#REF!+'Rest of world'!#REF!</f>
        <v>#REF!</v>
      </c>
      <c r="BI78" s="113" t="e">
        <f>'North America'!#REF!+Europe!#REF!+'Asia-Pacific'!#REF!+'Rest of world'!#REF!</f>
        <v>#REF!</v>
      </c>
      <c r="BK78" s="240">
        <f t="shared" ref="BK78:BK79" si="148">N78+R78+V78</f>
        <v>0</v>
      </c>
      <c r="BL78" s="241" t="e">
        <f t="shared" ref="BL78:BL79" si="149">Q78+U78+Y78</f>
        <v>#REF!</v>
      </c>
      <c r="BM78" s="240">
        <f t="shared" ref="BM78:BM79" si="150">Z78+AD78+AH78</f>
        <v>0</v>
      </c>
      <c r="BN78" s="241" t="e">
        <f t="shared" ref="BN78:BN79" si="151">AC78+AG78+AK78</f>
        <v>#REF!</v>
      </c>
      <c r="BO78" s="240">
        <f t="shared" ref="BO78:BO79" si="152">AL78+AP78+AT78</f>
        <v>0</v>
      </c>
      <c r="BP78" s="241" t="e">
        <f t="shared" ref="BP78:BP79" si="153">AO78+AS78+AW78</f>
        <v>#REF!</v>
      </c>
      <c r="BQ78" s="201">
        <f t="shared" ref="BQ78:BQ79" si="154">BF78+BB78+AX78</f>
        <v>0</v>
      </c>
      <c r="BR78" s="204" t="e">
        <f t="shared" ref="BR78:BR79" si="155">BA78+BE78+BI78</f>
        <v>#REF!</v>
      </c>
      <c r="BS78" s="240">
        <f t="shared" ref="BS78:BS79" si="156">BK78+BM78+BO78+BQ78</f>
        <v>0</v>
      </c>
      <c r="BT78" s="253" t="e">
        <f t="shared" ref="BT78:BT79" si="157">BL78+BN78+BP78+BR78</f>
        <v>#REF!</v>
      </c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</row>
    <row r="79" spans="1:120" ht="12.6" customHeight="1" thickBot="1">
      <c r="A79" s="87" t="s">
        <v>108</v>
      </c>
      <c r="B79" s="36">
        <f>SUM(B73:B78)</f>
        <v>0</v>
      </c>
      <c r="C79" s="36">
        <f>SUM(C73:C78)</f>
        <v>0</v>
      </c>
      <c r="D79" s="36">
        <f>SUM(D73:D78)</f>
        <v>0</v>
      </c>
      <c r="E79" s="36">
        <f>SUM(E73:E78)</f>
        <v>0</v>
      </c>
      <c r="F79" s="36">
        <f>SUM(F73:F78)</f>
        <v>0</v>
      </c>
      <c r="G79" s="153">
        <f t="shared" ref="G79" si="158">IF(ISERROR(F79/C79-1),0,(F79/C79-1))</f>
        <v>0</v>
      </c>
      <c r="H79" s="36">
        <f>SUM(H73:H78)</f>
        <v>0</v>
      </c>
      <c r="I79" s="155">
        <f>IF(ISERROR(H79/F79-1),0,(H79/F79-1))</f>
        <v>0</v>
      </c>
      <c r="J79" s="36">
        <f t="shared" si="118"/>
        <v>370</v>
      </c>
      <c r="K79" s="37">
        <f t="shared" si="119"/>
        <v>0</v>
      </c>
      <c r="L79" s="41" t="e">
        <f>SUM(L73:L78)</f>
        <v>#REF!</v>
      </c>
      <c r="M79" s="42" t="e">
        <f>SUM(M73:M78)</f>
        <v>#REF!</v>
      </c>
      <c r="N79" s="36">
        <f>SUM(N73:N78)</f>
        <v>260</v>
      </c>
      <c r="O79" s="37">
        <f t="shared" si="146"/>
        <v>0</v>
      </c>
      <c r="P79" s="41" t="e">
        <f>SUM(P73:P78)</f>
        <v>#REF!</v>
      </c>
      <c r="Q79" s="42" t="e">
        <f>SUM(Q73:Q78)</f>
        <v>#REF!</v>
      </c>
      <c r="R79" s="36">
        <f>SUM(R73:R78)</f>
        <v>10</v>
      </c>
      <c r="S79" s="37">
        <f t="shared" ref="S79" si="159">IF(ISERROR(T79/R79*1000000),0,(T79/R79*1000000))</f>
        <v>0</v>
      </c>
      <c r="T79" s="41" t="e">
        <f>SUM(T73:T78)</f>
        <v>#REF!</v>
      </c>
      <c r="U79" s="42" t="e">
        <f>SUM(U73:U78)</f>
        <v>#REF!</v>
      </c>
      <c r="V79" s="36">
        <f>SUM(V73:V78)</f>
        <v>10</v>
      </c>
      <c r="W79" s="37">
        <f t="shared" ref="W79" si="160">IF(ISERROR(X79/V79*1000000),0,(X79/V79*1000000))</f>
        <v>0</v>
      </c>
      <c r="X79" s="41" t="e">
        <f>SUM(X73:X78)</f>
        <v>#REF!</v>
      </c>
      <c r="Y79" s="42" t="e">
        <f>SUM(Y73:Y78)</f>
        <v>#REF!</v>
      </c>
      <c r="Z79" s="36">
        <f>SUM(Z73:Z78)</f>
        <v>10</v>
      </c>
      <c r="AA79" s="37">
        <f t="shared" ref="AA79" si="161">IF(ISERROR(AB79/Z79*1000000),0,(AB79/Z79*1000000))</f>
        <v>0</v>
      </c>
      <c r="AB79" s="41" t="e">
        <f>SUM(AB73:AB78)</f>
        <v>#REF!</v>
      </c>
      <c r="AC79" s="42" t="e">
        <f>SUM(AC73:AC78)</f>
        <v>#REF!</v>
      </c>
      <c r="AD79" s="36">
        <f>SUM(AD73:AD78)</f>
        <v>10</v>
      </c>
      <c r="AE79" s="37">
        <f t="shared" ref="AE79" si="162">IF(ISERROR(AF79/AD79*1000000),0,(AF79/AD79*1000000))</f>
        <v>0</v>
      </c>
      <c r="AF79" s="41">
        <f>SUM(AF73:AF78)</f>
        <v>0</v>
      </c>
      <c r="AG79" s="42">
        <f>SUM(AG73:AG78)</f>
        <v>0</v>
      </c>
      <c r="AH79" s="36">
        <f>SUM(AH73:AH78)</f>
        <v>10</v>
      </c>
      <c r="AI79" s="37">
        <f t="shared" ref="AI79" si="163">IF(ISERROR(AJ79/AH79*1000000),0,(AJ79/AH79*1000000))</f>
        <v>0</v>
      </c>
      <c r="AJ79" s="41" t="e">
        <f>SUM(AJ73:AJ78)</f>
        <v>#REF!</v>
      </c>
      <c r="AK79" s="42">
        <f>SUM(AK73:AK78)</f>
        <v>0</v>
      </c>
      <c r="AL79" s="36">
        <f>SUM(AL73:AL78)</f>
        <v>10</v>
      </c>
      <c r="AM79" s="37">
        <f t="shared" ref="AM79" si="164">IF(ISERROR(AN79/AL79*1000000),0,(AN79/AL79*1000000))</f>
        <v>0</v>
      </c>
      <c r="AN79" s="41" t="e">
        <f>SUM(AN73:AN78)</f>
        <v>#REF!</v>
      </c>
      <c r="AO79" s="42" t="e">
        <f>SUM(AO73:AO78)</f>
        <v>#REF!</v>
      </c>
      <c r="AP79" s="36">
        <f>SUM(AP73:AP78)</f>
        <v>10</v>
      </c>
      <c r="AQ79" s="37">
        <f t="shared" ref="AQ79" si="165">IF(ISERROR(AR79/AP79*1000000),0,(AR79/AP79*1000000))</f>
        <v>0</v>
      </c>
      <c r="AR79" s="41" t="e">
        <f>SUM(AR73:AR78)</f>
        <v>#REF!</v>
      </c>
      <c r="AS79" s="42" t="e">
        <f>SUM(AS73:AS78)</f>
        <v>#REF!</v>
      </c>
      <c r="AT79" s="36">
        <f>SUM(AT73:AT78)</f>
        <v>10</v>
      </c>
      <c r="AU79" s="37">
        <f t="shared" ref="AU79" si="166">IF(ISERROR(AV79/AT79*1000000),0,(AV79/AT79*1000000))</f>
        <v>0</v>
      </c>
      <c r="AV79" s="41" t="e">
        <f>SUM(AV73:AV78)</f>
        <v>#REF!</v>
      </c>
      <c r="AW79" s="42" t="e">
        <f>SUM(AW73:AW78)</f>
        <v>#REF!</v>
      </c>
      <c r="AX79" s="36">
        <f>SUM(AX73:AX78)</f>
        <v>10</v>
      </c>
      <c r="AY79" s="37">
        <f t="shared" ref="AY79" si="167">IF(ISERROR(AZ79/AX79*1000000),0,(AZ79/AX79*1000000))</f>
        <v>0</v>
      </c>
      <c r="AZ79" s="41" t="e">
        <f>SUM(AZ73:AZ78)</f>
        <v>#REF!</v>
      </c>
      <c r="BA79" s="42" t="e">
        <f>SUM(BA73:BA78)</f>
        <v>#REF!</v>
      </c>
      <c r="BB79" s="36">
        <f>SUM(BB73:BB78)</f>
        <v>10</v>
      </c>
      <c r="BC79" s="37">
        <f t="shared" ref="BC79" si="168">IF(ISERROR(BD79/BB79*1000000),0,(BD79/BB79*1000000))</f>
        <v>0</v>
      </c>
      <c r="BD79" s="41" t="e">
        <f>SUM(BD73:BD78)</f>
        <v>#REF!</v>
      </c>
      <c r="BE79" s="42" t="e">
        <f>SUM(BE73:BE78)</f>
        <v>#REF!</v>
      </c>
      <c r="BF79" s="36">
        <f>SUM(BF73:BF78)</f>
        <v>10</v>
      </c>
      <c r="BG79" s="37">
        <f t="shared" ref="BG79" si="169">IF(ISERROR(BH79/BF79*1000000),0,(BH79/BF79*1000000))</f>
        <v>0</v>
      </c>
      <c r="BH79" s="41" t="e">
        <f>SUM(BH73:BH78)</f>
        <v>#REF!</v>
      </c>
      <c r="BI79" s="42" t="e">
        <f>SUM(BI73:BI78)</f>
        <v>#REF!</v>
      </c>
      <c r="BK79" s="240">
        <f t="shared" si="148"/>
        <v>280</v>
      </c>
      <c r="BL79" s="241" t="e">
        <f t="shared" si="149"/>
        <v>#REF!</v>
      </c>
      <c r="BM79" s="240">
        <f t="shared" si="150"/>
        <v>30</v>
      </c>
      <c r="BN79" s="241" t="e">
        <f t="shared" si="151"/>
        <v>#REF!</v>
      </c>
      <c r="BO79" s="240">
        <f t="shared" si="152"/>
        <v>30</v>
      </c>
      <c r="BP79" s="241" t="e">
        <f t="shared" si="153"/>
        <v>#REF!</v>
      </c>
      <c r="BQ79" s="201">
        <f t="shared" si="154"/>
        <v>30</v>
      </c>
      <c r="BR79" s="204" t="e">
        <f t="shared" si="155"/>
        <v>#REF!</v>
      </c>
      <c r="BS79" s="240">
        <f t="shared" si="156"/>
        <v>370</v>
      </c>
      <c r="BT79" s="253" t="e">
        <f t="shared" si="157"/>
        <v>#REF!</v>
      </c>
    </row>
    <row r="80" spans="1:120" ht="12.6" customHeight="1" thickBo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</row>
    <row r="81" spans="1:95" ht="12.6" customHeight="1" thickBot="1">
      <c r="A81" s="482" t="s">
        <v>233</v>
      </c>
      <c r="B81" s="36">
        <f>SUM(B75:B80)</f>
        <v>0</v>
      </c>
      <c r="C81" s="36">
        <f>SUM(C75:C80)</f>
        <v>0</v>
      </c>
      <c r="D81" s="36">
        <f>SUM(D75:D80)</f>
        <v>0</v>
      </c>
      <c r="E81" s="36">
        <f>SUM(E75:E80)</f>
        <v>0</v>
      </c>
      <c r="F81" s="153">
        <f t="shared" ref="F81" si="170">IF(ISERROR(E81/B81-1),0,(E81/B81-1))</f>
        <v>0</v>
      </c>
      <c r="G81" s="36">
        <f>SUM(G75:G80)</f>
        <v>0</v>
      </c>
      <c r="H81" s="155">
        <f>IF(ISERROR(G81/E81-1),0,(G81/E81-1))</f>
        <v>0</v>
      </c>
      <c r="I81" s="36">
        <f>I24+I54+I61+I65+I79</f>
        <v>0</v>
      </c>
      <c r="J81" s="37">
        <f t="shared" ref="J81:BU81" si="171">J24+J54+J61+J65+J79</f>
        <v>65402</v>
      </c>
      <c r="K81" s="41">
        <f t="shared" si="171"/>
        <v>0</v>
      </c>
      <c r="L81" s="288" t="e">
        <f t="shared" si="171"/>
        <v>#REF!</v>
      </c>
      <c r="M81" s="36" t="e">
        <f t="shared" si="171"/>
        <v>#REF!</v>
      </c>
      <c r="N81" s="37">
        <f t="shared" si="171"/>
        <v>3053</v>
      </c>
      <c r="O81" s="41">
        <f t="shared" si="171"/>
        <v>0</v>
      </c>
      <c r="P81" s="42" t="e">
        <f t="shared" si="171"/>
        <v>#REF!</v>
      </c>
      <c r="Q81" s="36" t="e">
        <f t="shared" si="171"/>
        <v>#REF!</v>
      </c>
      <c r="R81" s="37">
        <f t="shared" si="171"/>
        <v>4642</v>
      </c>
      <c r="S81" s="41">
        <f t="shared" si="171"/>
        <v>0</v>
      </c>
      <c r="T81" s="42" t="e">
        <f t="shared" si="171"/>
        <v>#REF!</v>
      </c>
      <c r="U81" s="36" t="e">
        <f t="shared" si="171"/>
        <v>#REF!</v>
      </c>
      <c r="V81" s="37">
        <f t="shared" si="171"/>
        <v>4661</v>
      </c>
      <c r="W81" s="41">
        <f t="shared" si="171"/>
        <v>0</v>
      </c>
      <c r="X81" s="42" t="e">
        <f t="shared" si="171"/>
        <v>#REF!</v>
      </c>
      <c r="Y81" s="36" t="e">
        <f t="shared" si="171"/>
        <v>#REF!</v>
      </c>
      <c r="Z81" s="37">
        <f t="shared" si="171"/>
        <v>6240</v>
      </c>
      <c r="AA81" s="41">
        <f t="shared" si="171"/>
        <v>0</v>
      </c>
      <c r="AB81" s="42" t="e">
        <f t="shared" si="171"/>
        <v>#REF!</v>
      </c>
      <c r="AC81" s="36" t="e">
        <f t="shared" si="171"/>
        <v>#REF!</v>
      </c>
      <c r="AD81" s="37">
        <f t="shared" si="171"/>
        <v>5147</v>
      </c>
      <c r="AE81" s="41">
        <f t="shared" si="171"/>
        <v>26511679.297171257</v>
      </c>
      <c r="AF81" s="42">
        <f t="shared" si="171"/>
        <v>65201</v>
      </c>
      <c r="AG81" s="36">
        <f t="shared" si="171"/>
        <v>19.929799452771434</v>
      </c>
      <c r="AH81" s="37">
        <f t="shared" si="171"/>
        <v>6680</v>
      </c>
      <c r="AI81" s="41">
        <f t="shared" si="171"/>
        <v>0</v>
      </c>
      <c r="AJ81" s="42" t="e">
        <f t="shared" si="171"/>
        <v>#REF!</v>
      </c>
      <c r="AK81" s="36">
        <f t="shared" ca="1" si="171"/>
        <v>28.128181251628575</v>
      </c>
      <c r="AL81" s="37">
        <f t="shared" si="171"/>
        <v>5478</v>
      </c>
      <c r="AM81" s="41">
        <f t="shared" si="171"/>
        <v>0</v>
      </c>
      <c r="AN81" s="42" t="e">
        <f t="shared" si="171"/>
        <v>#REF!</v>
      </c>
      <c r="AO81" s="36" t="e">
        <f t="shared" si="171"/>
        <v>#REF!</v>
      </c>
      <c r="AP81" s="37">
        <f t="shared" si="171"/>
        <v>6468</v>
      </c>
      <c r="AQ81" s="41">
        <f t="shared" si="171"/>
        <v>0</v>
      </c>
      <c r="AR81" s="42" t="e">
        <f t="shared" si="171"/>
        <v>#REF!</v>
      </c>
      <c r="AS81" s="36" t="e">
        <f t="shared" si="171"/>
        <v>#REF!</v>
      </c>
      <c r="AT81" s="37">
        <f t="shared" si="171"/>
        <v>5899</v>
      </c>
      <c r="AU81" s="41">
        <f t="shared" si="171"/>
        <v>0</v>
      </c>
      <c r="AV81" s="42" t="e">
        <f t="shared" si="171"/>
        <v>#REF!</v>
      </c>
      <c r="AW81" s="36" t="e">
        <f t="shared" si="171"/>
        <v>#REF!</v>
      </c>
      <c r="AX81" s="37">
        <f t="shared" si="171"/>
        <v>5611</v>
      </c>
      <c r="AY81" s="41">
        <f t="shared" si="171"/>
        <v>0</v>
      </c>
      <c r="AZ81" s="42" t="e">
        <f t="shared" si="171"/>
        <v>#REF!</v>
      </c>
      <c r="BA81" s="36" t="e">
        <f t="shared" si="171"/>
        <v>#REF!</v>
      </c>
      <c r="BB81" s="37">
        <f t="shared" si="171"/>
        <v>6794</v>
      </c>
      <c r="BC81" s="41">
        <f t="shared" si="171"/>
        <v>0</v>
      </c>
      <c r="BD81" s="161" t="e">
        <f t="shared" si="171"/>
        <v>#REF!</v>
      </c>
      <c r="BE81" s="36" t="e">
        <f t="shared" si="171"/>
        <v>#REF!</v>
      </c>
      <c r="BF81" s="37">
        <f t="shared" si="171"/>
        <v>4729</v>
      </c>
      <c r="BG81" s="41">
        <f t="shared" si="171"/>
        <v>0</v>
      </c>
      <c r="BH81" s="161" t="e">
        <f t="shared" si="171"/>
        <v>#REF!</v>
      </c>
      <c r="BI81" s="276" t="e">
        <f t="shared" si="171"/>
        <v>#REF!</v>
      </c>
      <c r="BJ81" s="41">
        <f t="shared" si="171"/>
        <v>0</v>
      </c>
      <c r="BK81" s="41">
        <f t="shared" si="171"/>
        <v>12356</v>
      </c>
      <c r="BL81" s="275" t="e">
        <f t="shared" si="171"/>
        <v>#REF!</v>
      </c>
      <c r="BM81" s="276">
        <f t="shared" si="171"/>
        <v>18067</v>
      </c>
      <c r="BN81" s="41" t="e">
        <f t="shared" ca="1" si="171"/>
        <v>#REF!</v>
      </c>
      <c r="BO81" s="41">
        <f t="shared" si="171"/>
        <v>17845</v>
      </c>
      <c r="BP81" s="275" t="e">
        <f t="shared" si="171"/>
        <v>#REF!</v>
      </c>
      <c r="BQ81" s="276">
        <f t="shared" si="171"/>
        <v>17134</v>
      </c>
      <c r="BR81" s="41" t="e">
        <f t="shared" si="171"/>
        <v>#REF!</v>
      </c>
      <c r="BS81" s="41">
        <f t="shared" si="171"/>
        <v>65402</v>
      </c>
      <c r="BT81" s="275" t="e">
        <f t="shared" ca="1" si="171"/>
        <v>#REF!</v>
      </c>
      <c r="BU81" s="276" t="e">
        <f t="shared" ca="1" si="171"/>
        <v>#REF!</v>
      </c>
      <c r="BV81" s="41">
        <f t="shared" ref="BV81:CB81" si="172">BV24+BV54+BV61+BV65+BV79</f>
        <v>0</v>
      </c>
      <c r="BW81" s="41">
        <f t="shared" si="172"/>
        <v>0</v>
      </c>
      <c r="BX81" s="275">
        <f t="shared" si="172"/>
        <v>65032</v>
      </c>
      <c r="BY81" s="276" t="e">
        <f t="shared" ca="1" si="172"/>
        <v>#REF!</v>
      </c>
      <c r="BZ81" s="41">
        <f t="shared" si="172"/>
        <v>0</v>
      </c>
      <c r="CA81" s="41">
        <f t="shared" si="172"/>
        <v>101592</v>
      </c>
      <c r="CB81" s="275" t="e">
        <f t="shared" si="172"/>
        <v>#REF!</v>
      </c>
      <c r="CH81" s="240" t="e">
        <f t="shared" ref="CH81" si="173">M81+Q81+U81</f>
        <v>#REF!</v>
      </c>
      <c r="CI81" s="241" t="e">
        <f t="shared" ref="CI81" si="174">P81+T81+X81</f>
        <v>#REF!</v>
      </c>
      <c r="CJ81" s="240" t="e">
        <f t="shared" ref="CJ81" si="175">Y81+AC81+AG81</f>
        <v>#REF!</v>
      </c>
      <c r="CK81" s="241" t="e">
        <f t="shared" ref="CK81" si="176">AB81+AF81+AJ81</f>
        <v>#REF!</v>
      </c>
      <c r="CL81" s="240" t="e">
        <f t="shared" ref="CL81" ca="1" si="177">AK81+AO81+AS81</f>
        <v>#REF!</v>
      </c>
      <c r="CM81" s="241" t="e">
        <f t="shared" ref="CM81" si="178">AN81+AR81+AV81</f>
        <v>#REF!</v>
      </c>
      <c r="CN81" s="201" t="e">
        <f t="shared" ref="CN81" si="179">BE81+BA81+AW81</f>
        <v>#REF!</v>
      </c>
      <c r="CO81" s="204" t="e">
        <f t="shared" ref="CO81" si="180">AZ81+BD81+BH81</f>
        <v>#REF!</v>
      </c>
      <c r="CP81" s="240" t="e">
        <f t="shared" ref="CP81:CQ81" ca="1" si="181">CH81+CJ81+CL81+CN81</f>
        <v>#REF!</v>
      </c>
      <c r="CQ81" s="253" t="e">
        <f t="shared" si="181"/>
        <v>#REF!</v>
      </c>
    </row>
    <row r="82" spans="1:95" ht="12.6" customHeight="1">
      <c r="C82" s="265"/>
      <c r="D82" s="265"/>
      <c r="J82" s="201"/>
    </row>
    <row r="83" spans="1:95" ht="12.6" customHeight="1">
      <c r="C83" s="265"/>
      <c r="D83" s="265"/>
      <c r="J83" s="201"/>
    </row>
    <row r="84" spans="1:95" ht="12.6" customHeight="1">
      <c r="C84" s="265"/>
      <c r="D84" s="265"/>
    </row>
    <row r="85" spans="1:95" ht="12.6" customHeight="1">
      <c r="C85" s="265"/>
      <c r="D85" s="265"/>
    </row>
    <row r="86" spans="1:95" ht="12.6" customHeight="1">
      <c r="A86" s="294" t="s">
        <v>141</v>
      </c>
      <c r="B86" s="201"/>
      <c r="C86" s="201"/>
      <c r="I86" s="301">
        <f>SUM(I87:I90)</f>
        <v>0</v>
      </c>
    </row>
    <row r="87" spans="1:95" ht="12.6" customHeight="1">
      <c r="A87" s="292" t="str">
        <f>A6</f>
        <v>V12-14</v>
      </c>
      <c r="C87" s="120"/>
      <c r="I87" s="295">
        <f>I6</f>
        <v>0</v>
      </c>
    </row>
    <row r="88" spans="1:95" ht="12.6" customHeight="1">
      <c r="A88" s="292" t="str">
        <f t="shared" ref="A88:A90" si="182">A7</f>
        <v>V12-14 [HUL]</v>
      </c>
      <c r="C88" s="201"/>
      <c r="I88" s="295">
        <f t="shared" ref="I88:I90" si="183">I7</f>
        <v>0</v>
      </c>
    </row>
    <row r="89" spans="1:95" ht="12.6" customHeight="1">
      <c r="A89" s="292" t="str">
        <f t="shared" si="182"/>
        <v>V12-16</v>
      </c>
      <c r="I89" s="295">
        <f t="shared" si="183"/>
        <v>0</v>
      </c>
    </row>
    <row r="90" spans="1:95" ht="12.6" customHeight="1">
      <c r="A90" s="292" t="str">
        <f t="shared" si="182"/>
        <v>V12:18</v>
      </c>
      <c r="I90" s="295">
        <f t="shared" si="183"/>
        <v>0</v>
      </c>
    </row>
    <row r="91" spans="1:95" ht="12.6" customHeight="1">
      <c r="A91" s="293" t="s">
        <v>140</v>
      </c>
      <c r="I91" s="301">
        <f>SUM(I92:I98)</f>
        <v>0</v>
      </c>
    </row>
    <row r="92" spans="1:95" ht="12.6" customHeight="1">
      <c r="A92" s="292" t="str">
        <f t="shared" ref="A92:A98" si="184">A10</f>
        <v>V16:18 TA</v>
      </c>
      <c r="I92" s="295">
        <f t="shared" ref="I92:I98" si="185">I10</f>
        <v>0</v>
      </c>
    </row>
    <row r="93" spans="1:95" ht="12.6" customHeight="1">
      <c r="A93" s="292" t="str">
        <f t="shared" si="184"/>
        <v>V16:18 TA [GODREJ]</v>
      </c>
      <c r="I93" s="295">
        <f t="shared" si="185"/>
        <v>0</v>
      </c>
    </row>
    <row r="94" spans="1:95" ht="12.6" customHeight="1">
      <c r="A94" s="292" t="str">
        <f t="shared" si="184"/>
        <v>V16:18 TA [HUL]</v>
      </c>
      <c r="I94" s="295">
        <f t="shared" si="185"/>
        <v>0</v>
      </c>
    </row>
    <row r="95" spans="1:95" ht="12.6" customHeight="1">
      <c r="A95" s="292" t="str">
        <f t="shared" si="184"/>
        <v>V16:18 50:50</v>
      </c>
      <c r="I95" s="295">
        <f t="shared" si="185"/>
        <v>0</v>
      </c>
    </row>
    <row r="96" spans="1:95" ht="12.6" customHeight="1">
      <c r="A96" s="292" t="str">
        <f t="shared" si="184"/>
        <v>V16:18 PS</v>
      </c>
      <c r="I96" s="295">
        <f t="shared" si="185"/>
        <v>0</v>
      </c>
    </row>
    <row r="97" spans="1:9" ht="12.6" customHeight="1">
      <c r="A97" s="292" t="str">
        <f t="shared" si="184"/>
        <v>V16:98</v>
      </c>
      <c r="I97" s="295">
        <f t="shared" si="185"/>
        <v>0</v>
      </c>
    </row>
    <row r="98" spans="1:9" ht="12.6" customHeight="1">
      <c r="A98" s="292" t="str">
        <f t="shared" si="184"/>
        <v>V18</v>
      </c>
      <c r="I98" s="295">
        <f t="shared" si="185"/>
        <v>0</v>
      </c>
    </row>
    <row r="99" spans="1:9" ht="12.6" customHeight="1">
      <c r="A99" s="293" t="s">
        <v>142</v>
      </c>
      <c r="I99" s="301">
        <f>SUM(I100:I104)</f>
        <v>0</v>
      </c>
    </row>
    <row r="100" spans="1:9" ht="12.6" customHeight="1">
      <c r="A100" s="292" t="str">
        <f t="shared" ref="A100:A108" si="186">A17</f>
        <v>V2270</v>
      </c>
      <c r="I100" s="295">
        <f>I17</f>
        <v>0</v>
      </c>
    </row>
    <row r="101" spans="1:9" ht="12.6" customHeight="1">
      <c r="A101" s="292" t="str">
        <f t="shared" si="186"/>
        <v>V2280</v>
      </c>
      <c r="I101" s="295">
        <f>I18</f>
        <v>0</v>
      </c>
    </row>
    <row r="102" spans="1:9" ht="12.6" customHeight="1">
      <c r="A102" s="292" t="str">
        <f t="shared" si="186"/>
        <v>V1822</v>
      </c>
      <c r="I102" s="295">
        <f>I19</f>
        <v>0</v>
      </c>
    </row>
    <row r="103" spans="1:9" ht="12.6" customHeight="1">
      <c r="A103" s="292" t="str">
        <f t="shared" si="186"/>
        <v>V2290</v>
      </c>
      <c r="I103" s="295">
        <f>I20</f>
        <v>0</v>
      </c>
    </row>
    <row r="104" spans="1:9" ht="12.6" customHeight="1">
      <c r="A104" s="292" t="str">
        <f t="shared" si="186"/>
        <v>Vegarol 1895 DO</v>
      </c>
      <c r="I104" s="295">
        <f>I21</f>
        <v>0</v>
      </c>
    </row>
    <row r="105" spans="1:9" ht="12.6" customHeight="1">
      <c r="A105" s="291" t="str">
        <f t="shared" si="186"/>
        <v>New</v>
      </c>
    </row>
    <row r="106" spans="1:9" ht="12.6" customHeight="1">
      <c r="A106" s="291" t="str">
        <f t="shared" si="186"/>
        <v>V16:18 TA By-product</v>
      </c>
    </row>
    <row r="107" spans="1:9" ht="12.6" customHeight="1">
      <c r="A107" s="291" t="str">
        <f t="shared" si="186"/>
        <v>Fatty Alcohols</v>
      </c>
    </row>
    <row r="108" spans="1:9" ht="12.6" customHeight="1">
      <c r="A108" s="291">
        <f t="shared" si="186"/>
        <v>0</v>
      </c>
    </row>
    <row r="109" spans="1:9" ht="12.6" customHeight="1">
      <c r="A109" s="294" t="s">
        <v>143</v>
      </c>
    </row>
    <row r="110" spans="1:9" ht="12.6" customHeight="1">
      <c r="A110" s="292" t="str">
        <f>A40</f>
        <v>Erucic 90%</v>
      </c>
      <c r="I110" s="295">
        <f>I40</f>
        <v>0</v>
      </c>
    </row>
    <row r="111" spans="1:9" ht="12.6" customHeight="1">
      <c r="A111" s="292" t="str">
        <f>A41</f>
        <v>Behenic acid</v>
      </c>
      <c r="I111" s="295">
        <f>I41</f>
        <v>0</v>
      </c>
    </row>
    <row r="112" spans="1:9" ht="12.6" customHeight="1">
      <c r="A112" s="292" t="str">
        <f>A39</f>
        <v>Vegacid Superflex</v>
      </c>
      <c r="I112" s="295">
        <f>I39</f>
        <v>0</v>
      </c>
    </row>
    <row r="113" spans="1:9" ht="12.6" customHeight="1">
      <c r="A113" s="291"/>
    </row>
    <row r="114" spans="1:9" ht="12.6" customHeight="1">
      <c r="A114" s="294" t="s">
        <v>144</v>
      </c>
    </row>
    <row r="115" spans="1:9" ht="12.6" customHeight="1">
      <c r="A115" s="292" t="str">
        <f t="shared" ref="A115:A127" si="187">A26</f>
        <v>Caprylic acid</v>
      </c>
      <c r="I115" s="295">
        <f t="shared" ref="I115:I127" si="188">I26</f>
        <v>0</v>
      </c>
    </row>
    <row r="116" spans="1:9" ht="12.6" customHeight="1">
      <c r="A116" s="292" t="str">
        <f t="shared" si="187"/>
        <v>Caprylic-Capric acid</v>
      </c>
      <c r="I116" s="295">
        <f t="shared" si="188"/>
        <v>0</v>
      </c>
    </row>
    <row r="117" spans="1:9" ht="12.6" customHeight="1">
      <c r="A117" s="292" t="str">
        <f t="shared" si="187"/>
        <v>Crude C8-C10</v>
      </c>
      <c r="I117" s="295">
        <f t="shared" si="188"/>
        <v>0</v>
      </c>
    </row>
    <row r="118" spans="1:9" ht="12.6" customHeight="1">
      <c r="A118" s="292" t="str">
        <f t="shared" si="187"/>
        <v>Caproic acid</v>
      </c>
      <c r="I118" s="295">
        <f t="shared" si="188"/>
        <v>0</v>
      </c>
    </row>
    <row r="119" spans="1:9" ht="12.6" customHeight="1">
      <c r="A119" s="292" t="str">
        <f t="shared" si="187"/>
        <v>Capric acid</v>
      </c>
      <c r="I119" s="295">
        <f t="shared" si="188"/>
        <v>0</v>
      </c>
    </row>
    <row r="120" spans="1:9" ht="12.6" customHeight="1">
      <c r="A120" s="296" t="str">
        <f t="shared" si="187"/>
        <v>DFA</v>
      </c>
      <c r="I120" s="299">
        <f t="shared" si="188"/>
        <v>0</v>
      </c>
    </row>
    <row r="121" spans="1:9" ht="12.6" customHeight="1">
      <c r="A121" s="292" t="str">
        <f t="shared" si="187"/>
        <v>UTSR- Stearic</v>
      </c>
      <c r="I121" s="295">
        <f t="shared" si="188"/>
        <v>0</v>
      </c>
    </row>
    <row r="122" spans="1:9" ht="12.6" customHeight="1">
      <c r="A122" s="296" t="str">
        <f t="shared" si="187"/>
        <v>DTP-7</v>
      </c>
      <c r="B122" s="298"/>
      <c r="C122" s="298"/>
      <c r="D122" s="298"/>
      <c r="E122" s="298"/>
      <c r="F122" s="298"/>
      <c r="G122" s="298"/>
      <c r="H122" s="298"/>
      <c r="I122" s="299">
        <f t="shared" si="188"/>
        <v>0</v>
      </c>
    </row>
    <row r="123" spans="1:9" ht="12.6" customHeight="1">
      <c r="A123" s="296" t="str">
        <f t="shared" si="187"/>
        <v>DTP-CT</v>
      </c>
      <c r="B123" s="298"/>
      <c r="C123" s="298"/>
      <c r="D123" s="298"/>
      <c r="E123" s="298"/>
      <c r="F123" s="298"/>
      <c r="G123" s="298"/>
      <c r="H123" s="298"/>
      <c r="I123" s="299">
        <f t="shared" si="188"/>
        <v>0</v>
      </c>
    </row>
    <row r="124" spans="1:9" ht="12.6" customHeight="1">
      <c r="A124" s="296" t="str">
        <f t="shared" si="187"/>
        <v>P-12</v>
      </c>
      <c r="B124" s="298"/>
      <c r="C124" s="298"/>
      <c r="D124" s="298"/>
      <c r="E124" s="298"/>
      <c r="F124" s="298"/>
      <c r="G124" s="298"/>
      <c r="H124" s="298"/>
      <c r="I124" s="299">
        <f t="shared" si="188"/>
        <v>0</v>
      </c>
    </row>
    <row r="125" spans="1:9" ht="12.6" customHeight="1">
      <c r="A125" s="292" t="str">
        <f t="shared" si="187"/>
        <v>Oleic-K</v>
      </c>
      <c r="I125" s="295">
        <f t="shared" si="188"/>
        <v>0</v>
      </c>
    </row>
    <row r="126" spans="1:9" ht="12.6" customHeight="1">
      <c r="A126" s="292" t="str">
        <f t="shared" si="187"/>
        <v>Vegacid 1890</v>
      </c>
      <c r="I126" s="295">
        <f t="shared" si="188"/>
        <v>0</v>
      </c>
    </row>
    <row r="127" spans="1:9" ht="12.6" customHeight="1">
      <c r="A127" s="292" t="str">
        <f t="shared" si="187"/>
        <v>Vegacid 1880</v>
      </c>
      <c r="I127" s="295">
        <f t="shared" si="188"/>
        <v>0</v>
      </c>
    </row>
    <row r="128" spans="1:9" ht="12.6" customHeight="1">
      <c r="A128" s="292" t="str">
        <f t="shared" ref="A128:A140" si="189">A42</f>
        <v>Myristic Acid</v>
      </c>
      <c r="I128" s="295">
        <f t="shared" ref="I128:I139" si="190">I42</f>
        <v>0</v>
      </c>
    </row>
    <row r="129" spans="1:9" ht="12.6" customHeight="1">
      <c r="A129" s="292" t="str">
        <f t="shared" si="189"/>
        <v>DFA C18-22</v>
      </c>
      <c r="I129" s="295">
        <f t="shared" si="190"/>
        <v>0</v>
      </c>
    </row>
    <row r="130" spans="1:9" ht="12.6" customHeight="1">
      <c r="A130" s="292" t="str">
        <f t="shared" si="189"/>
        <v>G3</v>
      </c>
      <c r="I130" s="295">
        <f t="shared" si="190"/>
        <v>0</v>
      </c>
    </row>
    <row r="131" spans="1:9" ht="12.6" customHeight="1">
      <c r="A131" s="296" t="str">
        <f t="shared" si="189"/>
        <v>Stearic 90</v>
      </c>
      <c r="B131" s="298"/>
      <c r="C131" s="298"/>
      <c r="D131" s="298"/>
      <c r="E131" s="298"/>
      <c r="F131" s="298"/>
      <c r="G131" s="298"/>
      <c r="H131" s="298"/>
      <c r="I131" s="299">
        <f t="shared" si="190"/>
        <v>0</v>
      </c>
    </row>
    <row r="132" spans="1:9" ht="12.6" customHeight="1">
      <c r="A132" s="292" t="str">
        <f t="shared" si="189"/>
        <v>C16 - 80%</v>
      </c>
      <c r="I132" s="295">
        <f t="shared" si="190"/>
        <v>0</v>
      </c>
    </row>
    <row r="133" spans="1:9" ht="12.6" customHeight="1">
      <c r="A133" s="296" t="str">
        <f t="shared" si="189"/>
        <v>Lauric Acid (C12-99%)</v>
      </c>
      <c r="B133" s="298"/>
      <c r="C133" s="298"/>
      <c r="D133" s="298"/>
      <c r="E133" s="298"/>
      <c r="F133" s="298"/>
      <c r="G133" s="298"/>
      <c r="H133" s="298"/>
      <c r="I133" s="299">
        <f t="shared" si="190"/>
        <v>0</v>
      </c>
    </row>
    <row r="134" spans="1:9" ht="12.6" customHeight="1">
      <c r="A134" s="292" t="str">
        <f t="shared" si="189"/>
        <v>Hear acid</v>
      </c>
      <c r="I134" s="295">
        <f t="shared" si="190"/>
        <v>0</v>
      </c>
    </row>
    <row r="135" spans="1:9" ht="12.6" customHeight="1">
      <c r="A135" s="292" t="str">
        <f t="shared" si="189"/>
        <v>UTSR special</v>
      </c>
      <c r="I135" s="295">
        <f t="shared" si="190"/>
        <v>0</v>
      </c>
    </row>
    <row r="136" spans="1:9" ht="12.6" customHeight="1">
      <c r="A136" s="292" t="str">
        <f t="shared" si="189"/>
        <v>Mixed DFA -IV 34</v>
      </c>
      <c r="I136" s="295">
        <f t="shared" si="190"/>
        <v>0</v>
      </c>
    </row>
    <row r="137" spans="1:9" ht="12.6" customHeight="1">
      <c r="A137" s="292" t="str">
        <f t="shared" si="189"/>
        <v>Oleic -60</v>
      </c>
      <c r="I137" s="295">
        <f t="shared" si="190"/>
        <v>0</v>
      </c>
    </row>
    <row r="138" spans="1:9" ht="12.6" customHeight="1">
      <c r="A138" s="292" t="str">
        <f t="shared" si="189"/>
        <v>New Products</v>
      </c>
      <c r="I138" s="295">
        <f t="shared" si="190"/>
        <v>0</v>
      </c>
    </row>
    <row r="139" spans="1:9" ht="12.6" customHeight="1">
      <c r="A139" s="297" t="str">
        <f t="shared" si="189"/>
        <v>Palmitic Acid</v>
      </c>
      <c r="I139" s="295">
        <f t="shared" si="190"/>
        <v>0</v>
      </c>
    </row>
    <row r="140" spans="1:9" ht="12.6" customHeight="1">
      <c r="A140" s="291" t="str">
        <f t="shared" si="189"/>
        <v>Fatty Acids</v>
      </c>
    </row>
    <row r="141" spans="1:9" ht="12.6" customHeight="1">
      <c r="A141" s="291"/>
    </row>
    <row r="142" spans="1:9" ht="12.6" customHeight="1">
      <c r="A142" s="292" t="str">
        <f t="shared" ref="A142:A147" si="191">A56</f>
        <v>Glycerine CP</v>
      </c>
      <c r="I142" s="292">
        <f>I56</f>
        <v>0</v>
      </c>
    </row>
    <row r="143" spans="1:9" ht="12.6" customHeight="1">
      <c r="A143" s="292" t="str">
        <f t="shared" si="191"/>
        <v>Glycerine IP</v>
      </c>
      <c r="I143" s="292">
        <f>I57</f>
        <v>0</v>
      </c>
    </row>
    <row r="144" spans="1:9" ht="12.6" customHeight="1">
      <c r="A144" s="292" t="str">
        <f t="shared" si="191"/>
        <v>Glycerine USP</v>
      </c>
      <c r="I144" s="292">
        <f>I58</f>
        <v>0</v>
      </c>
    </row>
    <row r="145" spans="1:9" ht="12.6" customHeight="1">
      <c r="A145" s="292" t="str">
        <f t="shared" si="191"/>
        <v>Crude Glycerine</v>
      </c>
      <c r="I145" s="292">
        <f>I59</f>
        <v>0</v>
      </c>
    </row>
    <row r="146" spans="1:9" ht="12.6" customHeight="1">
      <c r="A146" s="292" t="str">
        <f t="shared" si="191"/>
        <v>Glycerine JP</v>
      </c>
      <c r="I146" s="292">
        <f>I60</f>
        <v>0</v>
      </c>
    </row>
    <row r="147" spans="1:9" ht="12.6" customHeight="1">
      <c r="A147" s="291" t="str">
        <f t="shared" si="191"/>
        <v>Glycerine</v>
      </c>
    </row>
    <row r="148" spans="1:9" ht="12.6" customHeight="1">
      <c r="A148" s="291"/>
    </row>
    <row r="149" spans="1:9" ht="12.6" customHeight="1">
      <c r="A149" s="291" t="str">
        <f t="shared" ref="A149:A167" si="192">A63</f>
        <v>Fatty Alcohol Residue</v>
      </c>
      <c r="I149" s="302">
        <f>I63</f>
        <v>0</v>
      </c>
    </row>
    <row r="150" spans="1:9" ht="12.6" customHeight="1">
      <c r="A150" s="291" t="str">
        <f t="shared" si="192"/>
        <v>Pitch</v>
      </c>
      <c r="I150" s="302">
        <f>I64</f>
        <v>0</v>
      </c>
    </row>
    <row r="151" spans="1:9" ht="12.6" customHeight="1">
      <c r="A151" s="291" t="str">
        <f t="shared" si="192"/>
        <v>Residue</v>
      </c>
      <c r="I151" s="302"/>
    </row>
    <row r="152" spans="1:9" ht="12.6" customHeight="1">
      <c r="A152" s="291">
        <f t="shared" si="192"/>
        <v>0</v>
      </c>
      <c r="I152" s="266"/>
    </row>
    <row r="153" spans="1:9" ht="12.6" customHeight="1">
      <c r="A153" s="291" t="str">
        <f t="shared" si="192"/>
        <v>Sub Total</v>
      </c>
      <c r="I153" s="266"/>
    </row>
    <row r="154" spans="1:9" ht="12.6" customHeight="1">
      <c r="A154" s="291">
        <f t="shared" si="192"/>
        <v>0</v>
      </c>
      <c r="I154" s="266"/>
    </row>
    <row r="155" spans="1:9" ht="12.6" customHeight="1">
      <c r="A155" s="291" t="str">
        <f t="shared" si="192"/>
        <v>Hydrogen Gas (SCM)</v>
      </c>
      <c r="I155" s="266"/>
    </row>
    <row r="156" spans="1:9" ht="12.6" customHeight="1">
      <c r="A156" s="291">
        <f t="shared" si="192"/>
        <v>0</v>
      </c>
      <c r="I156" s="266"/>
    </row>
    <row r="157" spans="1:9" ht="12.6" customHeight="1">
      <c r="A157" s="291" t="str">
        <f t="shared" si="192"/>
        <v>Total - Oleo</v>
      </c>
      <c r="I157" s="266"/>
    </row>
    <row r="158" spans="1:9" ht="12.6" customHeight="1">
      <c r="A158" s="291">
        <f t="shared" si="192"/>
        <v>0</v>
      </c>
      <c r="I158" s="266"/>
    </row>
    <row r="159" spans="1:9" ht="12.6" customHeight="1">
      <c r="A159" s="292" t="str">
        <f t="shared" si="192"/>
        <v xml:space="preserve">Vegarol EW100 </v>
      </c>
      <c r="I159" s="295">
        <f t="shared" ref="I159:I164" si="193">I73</f>
        <v>0</v>
      </c>
    </row>
    <row r="160" spans="1:9" ht="12.6" customHeight="1">
      <c r="A160" s="292" t="str">
        <f t="shared" si="192"/>
        <v>Vegarol EW 300</v>
      </c>
      <c r="I160" s="295">
        <f t="shared" si="193"/>
        <v>0</v>
      </c>
    </row>
    <row r="161" spans="1:9" ht="12.6" customHeight="1">
      <c r="A161" s="292" t="str">
        <f t="shared" si="192"/>
        <v>Vega E TS</v>
      </c>
      <c r="I161" s="295">
        <f t="shared" si="193"/>
        <v>0</v>
      </c>
    </row>
    <row r="162" spans="1:9" ht="12.6" customHeight="1">
      <c r="A162" s="292" t="str">
        <f t="shared" si="192"/>
        <v>Fatty Alc. Ethoxylate -7</v>
      </c>
      <c r="I162" s="292">
        <f t="shared" si="193"/>
        <v>0</v>
      </c>
    </row>
    <row r="163" spans="1:9" ht="12.6" customHeight="1">
      <c r="A163" s="292" t="str">
        <f t="shared" si="192"/>
        <v>Arachidic acid</v>
      </c>
      <c r="I163" s="292">
        <f t="shared" si="193"/>
        <v>0</v>
      </c>
    </row>
    <row r="164" spans="1:9" ht="12.6" customHeight="1">
      <c r="A164" s="292" t="str">
        <f t="shared" si="192"/>
        <v>Vegarol 2095</v>
      </c>
      <c r="I164" s="292">
        <f t="shared" si="193"/>
        <v>0</v>
      </c>
    </row>
    <row r="165" spans="1:9" ht="12.6" customHeight="1">
      <c r="A165" s="291" t="str">
        <f t="shared" si="192"/>
        <v>New Product</v>
      </c>
    </row>
    <row r="166" spans="1:9" ht="12.6" customHeight="1">
      <c r="A166" s="291">
        <f t="shared" si="192"/>
        <v>0</v>
      </c>
      <c r="I166" s="295"/>
    </row>
    <row r="167" spans="1:9" ht="12.6" customHeight="1">
      <c r="A167" s="291" t="str">
        <f t="shared" si="192"/>
        <v>Grand Total</v>
      </c>
      <c r="I167" s="300">
        <f>I86+I91+I99+SUM(I110:I165)</f>
        <v>0</v>
      </c>
    </row>
  </sheetData>
  <mergeCells count="23">
    <mergeCell ref="CA4:CB4"/>
    <mergeCell ref="CD4:CE4"/>
    <mergeCell ref="Z4:AC4"/>
    <mergeCell ref="AD4:AG4"/>
    <mergeCell ref="BF4:BI4"/>
    <mergeCell ref="BK4:BL4"/>
    <mergeCell ref="BM4:BN4"/>
    <mergeCell ref="BX4:BY4"/>
    <mergeCell ref="AH4:AK4"/>
    <mergeCell ref="AX4:BA4"/>
    <mergeCell ref="AL4:AO4"/>
    <mergeCell ref="AP4:AS4"/>
    <mergeCell ref="AT4:AW4"/>
    <mergeCell ref="BO4:BP4"/>
    <mergeCell ref="BQ4:BR4"/>
    <mergeCell ref="BS4:BT4"/>
    <mergeCell ref="BB4:BE4"/>
    <mergeCell ref="V4:Y4"/>
    <mergeCell ref="B3:I3"/>
    <mergeCell ref="A4:A5"/>
    <mergeCell ref="J4:M4"/>
    <mergeCell ref="N4:Q4"/>
    <mergeCell ref="R4:U4"/>
  </mergeCells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85"/>
  <sheetViews>
    <sheetView workbookViewId="0">
      <pane xSplit="2" ySplit="5" topLeftCell="AZ60" activePane="bottomRight" state="frozen"/>
      <selection activeCell="J5" sqref="J5"/>
      <selection pane="topRight" activeCell="J5" sqref="J5"/>
      <selection pane="bottomLeft" activeCell="J5" sqref="J5"/>
      <selection pane="bottomRight" activeCell="BO87" sqref="BO87"/>
    </sheetView>
  </sheetViews>
  <sheetFormatPr defaultRowHeight="12.6" customHeight="1"/>
  <cols>
    <col min="1" max="1" width="20.42578125" customWidth="1"/>
    <col min="2" max="3" width="9.42578125" customWidth="1"/>
    <col min="4" max="6" width="8.42578125" customWidth="1"/>
    <col min="7" max="7" width="8.42578125" hidden="1" customWidth="1"/>
    <col min="8" max="11" width="9.28515625" customWidth="1"/>
    <col min="12" max="15" width="8.7109375" customWidth="1"/>
    <col min="16" max="20" width="9.140625" customWidth="1"/>
    <col min="21" max="21" width="11.85546875" customWidth="1"/>
    <col min="22" max="51" width="9.140625" customWidth="1"/>
    <col min="52" max="61" width="9.140625" style="21" customWidth="1"/>
    <col min="62" max="67" width="9.140625" customWidth="1"/>
    <col min="72" max="72" width="9.140625" customWidth="1"/>
  </cols>
  <sheetData>
    <row r="1" spans="1:73" s="21" customFormat="1" ht="12.6" customHeight="1">
      <c r="A1" s="28" t="s">
        <v>102</v>
      </c>
    </row>
    <row r="2" spans="1:73" ht="15.75" customHeight="1">
      <c r="A2" s="85" t="s">
        <v>136</v>
      </c>
      <c r="C2" s="53"/>
      <c r="H2" s="21"/>
      <c r="I2" s="21"/>
      <c r="J2" s="21"/>
      <c r="K2" s="21"/>
      <c r="L2" s="53"/>
      <c r="M2" s="53"/>
      <c r="N2" s="53"/>
      <c r="O2" s="53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</row>
    <row r="3" spans="1:73" ht="12.6" customHeight="1">
      <c r="A3" s="20"/>
      <c r="B3" s="53"/>
      <c r="C3" s="53"/>
      <c r="D3" s="53"/>
      <c r="E3" s="53"/>
      <c r="F3" s="53"/>
      <c r="G3" s="53"/>
      <c r="L3" s="53"/>
      <c r="M3" s="53"/>
      <c r="N3" s="53"/>
      <c r="O3" s="53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</row>
    <row r="4" spans="1:73" s="1" customFormat="1" ht="12.6" customHeight="1">
      <c r="A4" s="545" t="s">
        <v>10</v>
      </c>
      <c r="B4" s="490" t="s">
        <v>134</v>
      </c>
      <c r="C4" s="490"/>
      <c r="D4" s="544">
        <v>42461</v>
      </c>
      <c r="E4" s="544"/>
      <c r="F4" s="544"/>
      <c r="G4" s="544"/>
      <c r="H4" s="544">
        <f>D4+31</f>
        <v>42492</v>
      </c>
      <c r="I4" s="544"/>
      <c r="J4" s="544"/>
      <c r="K4" s="544"/>
      <c r="L4" s="544">
        <f>H4+31</f>
        <v>42523</v>
      </c>
      <c r="M4" s="544"/>
      <c r="N4" s="544"/>
      <c r="O4" s="544"/>
      <c r="P4" s="541">
        <f>L4+31</f>
        <v>42554</v>
      </c>
      <c r="Q4" s="542"/>
      <c r="R4" s="542"/>
      <c r="S4" s="543"/>
      <c r="T4" s="544">
        <f>P4+31</f>
        <v>42585</v>
      </c>
      <c r="U4" s="544"/>
      <c r="V4" s="544"/>
      <c r="W4" s="544"/>
      <c r="X4" s="544">
        <f>T4+31</f>
        <v>42616</v>
      </c>
      <c r="Y4" s="544"/>
      <c r="Z4" s="544"/>
      <c r="AA4" s="544"/>
      <c r="AB4" s="541">
        <f>X4+31</f>
        <v>42647</v>
      </c>
      <c r="AC4" s="542"/>
      <c r="AD4" s="542"/>
      <c r="AE4" s="543"/>
      <c r="AF4" s="541">
        <f>AB4+31</f>
        <v>42678</v>
      </c>
      <c r="AG4" s="542"/>
      <c r="AH4" s="542"/>
      <c r="AI4" s="543"/>
      <c r="AJ4" s="541">
        <f>AF4+31</f>
        <v>42709</v>
      </c>
      <c r="AK4" s="542"/>
      <c r="AL4" s="542"/>
      <c r="AM4" s="543"/>
      <c r="AN4" s="541">
        <f>AJ4+31</f>
        <v>42740</v>
      </c>
      <c r="AO4" s="542"/>
      <c r="AP4" s="542"/>
      <c r="AQ4" s="543"/>
      <c r="AR4" s="541">
        <f>AN4+31</f>
        <v>42771</v>
      </c>
      <c r="AS4" s="542"/>
      <c r="AT4" s="542"/>
      <c r="AU4" s="543"/>
      <c r="AV4" s="541">
        <f>AR4+31</f>
        <v>42802</v>
      </c>
      <c r="AW4" s="542"/>
      <c r="AX4" s="542"/>
      <c r="AY4" s="543"/>
      <c r="AZ4" s="541" t="s">
        <v>19</v>
      </c>
      <c r="BA4" s="542"/>
      <c r="BB4" s="543"/>
      <c r="BC4" s="541" t="s">
        <v>20</v>
      </c>
      <c r="BD4" s="542"/>
      <c r="BE4" s="543"/>
      <c r="BF4" s="541" t="s">
        <v>21</v>
      </c>
      <c r="BG4" s="542"/>
      <c r="BH4" s="543"/>
      <c r="BI4" s="544" t="s">
        <v>22</v>
      </c>
      <c r="BJ4" s="544"/>
      <c r="BK4" s="544"/>
      <c r="BL4" s="541" t="s">
        <v>246</v>
      </c>
      <c r="BM4" s="542"/>
      <c r="BN4" s="542"/>
      <c r="BO4" s="543"/>
      <c r="BP4" s="471"/>
      <c r="BQ4" s="541" t="s">
        <v>244</v>
      </c>
      <c r="BR4" s="542"/>
      <c r="BS4" s="542"/>
      <c r="BT4" s="543"/>
      <c r="BU4" s="524"/>
    </row>
    <row r="5" spans="1:73" s="1" customFormat="1" ht="36" customHeight="1">
      <c r="A5" s="545"/>
      <c r="B5" s="456" t="s">
        <v>68</v>
      </c>
      <c r="C5" s="456" t="s">
        <v>225</v>
      </c>
      <c r="D5" s="456" t="s">
        <v>229</v>
      </c>
      <c r="E5" s="456" t="s">
        <v>212</v>
      </c>
      <c r="F5" s="456" t="s">
        <v>213</v>
      </c>
      <c r="G5" s="456" t="s">
        <v>234</v>
      </c>
      <c r="H5" s="456" t="s">
        <v>229</v>
      </c>
      <c r="I5" s="456" t="s">
        <v>212</v>
      </c>
      <c r="J5" s="456" t="s">
        <v>213</v>
      </c>
      <c r="K5" s="456" t="s">
        <v>234</v>
      </c>
      <c r="L5" s="456" t="s">
        <v>229</v>
      </c>
      <c r="M5" s="456" t="s">
        <v>212</v>
      </c>
      <c r="N5" s="456" t="s">
        <v>213</v>
      </c>
      <c r="O5" s="456" t="s">
        <v>234</v>
      </c>
      <c r="P5" s="456" t="s">
        <v>229</v>
      </c>
      <c r="Q5" s="456" t="s">
        <v>212</v>
      </c>
      <c r="R5" s="456" t="s">
        <v>213</v>
      </c>
      <c r="S5" s="456" t="s">
        <v>234</v>
      </c>
      <c r="T5" s="456" t="s">
        <v>229</v>
      </c>
      <c r="U5" s="456" t="s">
        <v>212</v>
      </c>
      <c r="V5" s="456" t="s">
        <v>213</v>
      </c>
      <c r="W5" s="456" t="s">
        <v>234</v>
      </c>
      <c r="X5" s="456" t="s">
        <v>229</v>
      </c>
      <c r="Y5" s="456" t="s">
        <v>212</v>
      </c>
      <c r="Z5" s="456" t="s">
        <v>213</v>
      </c>
      <c r="AA5" s="456" t="s">
        <v>234</v>
      </c>
      <c r="AB5" s="456" t="s">
        <v>229</v>
      </c>
      <c r="AC5" s="456" t="s">
        <v>212</v>
      </c>
      <c r="AD5" s="456" t="s">
        <v>213</v>
      </c>
      <c r="AE5" s="456" t="s">
        <v>234</v>
      </c>
      <c r="AF5" s="456" t="s">
        <v>229</v>
      </c>
      <c r="AG5" s="456" t="s">
        <v>212</v>
      </c>
      <c r="AH5" s="456" t="s">
        <v>213</v>
      </c>
      <c r="AI5" s="456" t="s">
        <v>234</v>
      </c>
      <c r="AJ5" s="456" t="s">
        <v>229</v>
      </c>
      <c r="AK5" s="456" t="s">
        <v>212</v>
      </c>
      <c r="AL5" s="456" t="s">
        <v>213</v>
      </c>
      <c r="AM5" s="456" t="s">
        <v>234</v>
      </c>
      <c r="AN5" s="456" t="s">
        <v>229</v>
      </c>
      <c r="AO5" s="456" t="s">
        <v>212</v>
      </c>
      <c r="AP5" s="456" t="s">
        <v>213</v>
      </c>
      <c r="AQ5" s="456" t="s">
        <v>234</v>
      </c>
      <c r="AR5" s="456" t="s">
        <v>229</v>
      </c>
      <c r="AS5" s="456" t="s">
        <v>212</v>
      </c>
      <c r="AT5" s="456" t="s">
        <v>213</v>
      </c>
      <c r="AU5" s="456" t="s">
        <v>234</v>
      </c>
      <c r="AV5" s="456" t="s">
        <v>229</v>
      </c>
      <c r="AW5" s="456" t="s">
        <v>212</v>
      </c>
      <c r="AX5" s="456" t="s">
        <v>213</v>
      </c>
      <c r="AY5" s="456" t="s">
        <v>234</v>
      </c>
      <c r="AZ5" s="456" t="s">
        <v>229</v>
      </c>
      <c r="BA5" s="456" t="s">
        <v>228</v>
      </c>
      <c r="BB5" s="456" t="s">
        <v>234</v>
      </c>
      <c r="BC5" s="456" t="s">
        <v>229</v>
      </c>
      <c r="BD5" s="456" t="s">
        <v>228</v>
      </c>
      <c r="BE5" s="456" t="s">
        <v>234</v>
      </c>
      <c r="BF5" s="456" t="s">
        <v>229</v>
      </c>
      <c r="BG5" s="456" t="s">
        <v>228</v>
      </c>
      <c r="BH5" s="456" t="s">
        <v>234</v>
      </c>
      <c r="BI5" s="456" t="s">
        <v>229</v>
      </c>
      <c r="BJ5" s="456" t="s">
        <v>228</v>
      </c>
      <c r="BK5" s="456" t="s">
        <v>234</v>
      </c>
      <c r="BL5" s="456" t="s">
        <v>229</v>
      </c>
      <c r="BM5" s="456" t="s">
        <v>228</v>
      </c>
      <c r="BN5" s="456" t="s">
        <v>234</v>
      </c>
      <c r="BO5" s="456" t="s">
        <v>232</v>
      </c>
      <c r="BP5" s="471"/>
      <c r="BQ5" s="456" t="s">
        <v>229</v>
      </c>
      <c r="BR5" s="456" t="s">
        <v>212</v>
      </c>
      <c r="BS5" s="456" t="s">
        <v>232</v>
      </c>
      <c r="BT5" s="456" t="s">
        <v>234</v>
      </c>
      <c r="BU5" s="456" t="s">
        <v>240</v>
      </c>
    </row>
    <row r="6" spans="1:73" ht="12.6" customHeight="1">
      <c r="A6" s="254" t="s">
        <v>43</v>
      </c>
      <c r="B6" s="129">
        <f t="shared" ref="B6:B23" si="0">D6+H6+L6+P6+T6+X6+AB6+AF6+AJ6+AN6+AR6+AV6</f>
        <v>0</v>
      </c>
      <c r="C6" s="257"/>
      <c r="D6" s="129"/>
      <c r="E6" s="129"/>
      <c r="F6" s="129"/>
      <c r="G6" s="509">
        <f t="shared" ref="G6:G14" si="1">E6*(F6-C6)*66.47/10^7</f>
        <v>0</v>
      </c>
      <c r="H6" s="129"/>
      <c r="I6" s="129"/>
      <c r="J6" s="129"/>
      <c r="K6" s="509">
        <f t="shared" ref="K6:K14" si="2">I6*(J6-C6)*66.91/10^7</f>
        <v>0</v>
      </c>
      <c r="L6" s="129"/>
      <c r="M6" s="129"/>
      <c r="N6" s="129"/>
      <c r="O6" s="509">
        <f t="shared" ref="O6:O11" si="3">M6*(N6-C6)*67.28/10^7</f>
        <v>0</v>
      </c>
      <c r="P6" s="129"/>
      <c r="Q6" s="129"/>
      <c r="R6" s="129"/>
      <c r="S6" s="509">
        <f>Q6*(R6-C6)*67.28/10^7</f>
        <v>0</v>
      </c>
      <c r="T6" s="129"/>
      <c r="U6" s="129"/>
      <c r="V6" s="129">
        <f>(T6*U6)/10^6</f>
        <v>0</v>
      </c>
      <c r="W6" s="509">
        <f>U6*(V6-C6)*66.93/10^7</f>
        <v>0</v>
      </c>
      <c r="X6" s="129"/>
      <c r="Y6" s="129"/>
      <c r="Z6" s="129"/>
      <c r="AA6" s="509">
        <f>Y6*(Z6-C6)*66.69/10^7</f>
        <v>0</v>
      </c>
      <c r="AB6" s="129"/>
      <c r="AC6" s="129"/>
      <c r="AD6" s="129"/>
      <c r="AE6" s="509">
        <f>AC6*(AD6-G6)*66.73/10^7</f>
        <v>0</v>
      </c>
      <c r="AF6" s="129"/>
      <c r="AG6" s="129"/>
      <c r="AH6" s="129"/>
      <c r="AI6" s="509">
        <f>AG6*(AH6-K6)*67.58/10^7</f>
        <v>0</v>
      </c>
      <c r="AJ6" s="129"/>
      <c r="AK6" s="129"/>
      <c r="AL6" s="129"/>
      <c r="AM6" s="509">
        <f>AK6*(AL6-O6)*67.91/10^7</f>
        <v>0</v>
      </c>
      <c r="AN6" s="129"/>
      <c r="AO6" s="129"/>
      <c r="AP6" s="129"/>
      <c r="AQ6" s="509">
        <f>AO6*(AP6-S6)*68.01/10^7</f>
        <v>0</v>
      </c>
      <c r="AR6" s="129"/>
      <c r="AS6" s="129"/>
      <c r="AT6" s="129"/>
      <c r="AU6" s="509">
        <f>AS6*(AT6-W6)*67.01/10^7</f>
        <v>0</v>
      </c>
      <c r="AV6" s="129"/>
      <c r="AW6" s="129"/>
      <c r="AX6" s="129"/>
      <c r="AY6" s="509">
        <f>AW6*(AX6-AA6)*66.69/10^7</f>
        <v>0</v>
      </c>
      <c r="AZ6" s="23">
        <f t="shared" ref="AZ6:BA23" si="4">+D6+H6+L6</f>
        <v>0</v>
      </c>
      <c r="BA6" s="23">
        <f t="shared" si="4"/>
        <v>0</v>
      </c>
      <c r="BB6" s="509">
        <f>+G6+K6+O6</f>
        <v>0</v>
      </c>
      <c r="BC6" s="23">
        <f>+P6+T6+X6</f>
        <v>0</v>
      </c>
      <c r="BD6" s="23">
        <f>+Q6+U6+Y6</f>
        <v>0</v>
      </c>
      <c r="BE6" s="257">
        <f>S6+W6+AA6</f>
        <v>0</v>
      </c>
      <c r="BF6" s="23">
        <f>AB6+AF6+AJ6</f>
        <v>0</v>
      </c>
      <c r="BG6" s="23">
        <f>AC6+AG6+AK6</f>
        <v>0</v>
      </c>
      <c r="BH6" s="257">
        <f>AE6+AI6+AM6</f>
        <v>0</v>
      </c>
      <c r="BI6" s="23">
        <f>+AN6+AR6+AV6</f>
        <v>0</v>
      </c>
      <c r="BJ6" s="23">
        <f>+AO6+AS6+AW6</f>
        <v>0</v>
      </c>
      <c r="BK6" s="257">
        <f>AQ6+AU6+AY6</f>
        <v>0</v>
      </c>
      <c r="BL6" s="23">
        <f>AZ6+BC6+BF6+BI6</f>
        <v>0</v>
      </c>
      <c r="BM6" s="23">
        <f t="shared" ref="BM6:BN21" si="5">BA6+BD6+BG6+BJ6</f>
        <v>0</v>
      </c>
      <c r="BN6" s="23">
        <f t="shared" si="5"/>
        <v>0</v>
      </c>
      <c r="BO6" s="466">
        <f>IFERROR(BM6/BL6,0)</f>
        <v>0</v>
      </c>
      <c r="BP6" s="472"/>
      <c r="BQ6" s="23">
        <f t="shared" ref="BQ6:BQ23" si="6">D6+H6+L6+P6+T6+X6</f>
        <v>0</v>
      </c>
      <c r="BR6" s="23">
        <f t="shared" ref="BR6:BR23" si="7">E6+I6+M6+Q6+U6+Y6</f>
        <v>0</v>
      </c>
      <c r="BS6" s="466">
        <f t="shared" ref="BS6:BS70" si="8">IFERROR(BR6/BQ6,0)</f>
        <v>0</v>
      </c>
      <c r="BT6" s="509">
        <f t="shared" ref="BT6:BT23" si="9">G6+K6+O6+S6+W6+AA6</f>
        <v>0</v>
      </c>
      <c r="BU6" s="466">
        <f t="shared" ref="BU6:BU37" si="10">IFERROR(BR6/B6,0)</f>
        <v>0</v>
      </c>
    </row>
    <row r="7" spans="1:73" ht="12.6" customHeight="1">
      <c r="A7" s="254" t="s">
        <v>129</v>
      </c>
      <c r="B7" s="129">
        <f t="shared" si="0"/>
        <v>0</v>
      </c>
      <c r="C7" s="257"/>
      <c r="D7" s="129"/>
      <c r="E7" s="129"/>
      <c r="F7" s="129"/>
      <c r="G7" s="509">
        <f t="shared" si="1"/>
        <v>0</v>
      </c>
      <c r="H7" s="129"/>
      <c r="I7" s="129"/>
      <c r="J7" s="129"/>
      <c r="K7" s="509">
        <f t="shared" si="2"/>
        <v>0</v>
      </c>
      <c r="L7" s="129"/>
      <c r="M7" s="129"/>
      <c r="N7" s="129"/>
      <c r="O7" s="509">
        <f t="shared" si="3"/>
        <v>0</v>
      </c>
      <c r="P7" s="129"/>
      <c r="Q7" s="129"/>
      <c r="R7" s="129"/>
      <c r="S7" s="509">
        <f t="shared" ref="S7:S9" si="11">Q7*(R7-C7)*67.28/10^7</f>
        <v>0</v>
      </c>
      <c r="T7" s="129"/>
      <c r="U7" s="129"/>
      <c r="V7" s="129">
        <f t="shared" ref="V7:V21" si="12">(T7*U7)/10^6</f>
        <v>0</v>
      </c>
      <c r="W7" s="509">
        <f t="shared" ref="W7:W23" si="13">U7*(V7-C7)*66.93/10^7</f>
        <v>0</v>
      </c>
      <c r="X7" s="129"/>
      <c r="Y7" s="129"/>
      <c r="Z7" s="129"/>
      <c r="AA7" s="509">
        <f t="shared" ref="AA7:AA23" si="14">Y7*(Z7-C7)*66.69/10^7</f>
        <v>0</v>
      </c>
      <c r="AB7" s="129"/>
      <c r="AC7" s="129"/>
      <c r="AD7" s="129"/>
      <c r="AE7" s="509">
        <f>AC7*(AD7-G7)*66.73/10^7</f>
        <v>0</v>
      </c>
      <c r="AF7" s="129"/>
      <c r="AG7" s="129"/>
      <c r="AH7" s="129"/>
      <c r="AI7" s="509">
        <f>AG7*(AH7-K7)*67.58/10^7</f>
        <v>0</v>
      </c>
      <c r="AJ7" s="129"/>
      <c r="AK7" s="129"/>
      <c r="AL7" s="129"/>
      <c r="AM7" s="509">
        <f>AK7*(AL7-O7)*67.91/10^7</f>
        <v>0</v>
      </c>
      <c r="AN7" s="129"/>
      <c r="AO7" s="129"/>
      <c r="AP7" s="129"/>
      <c r="AQ7" s="509">
        <f>AO7*(AP7-S7)*68.01/10^7</f>
        <v>0</v>
      </c>
      <c r="AR7" s="129"/>
      <c r="AS7" s="129"/>
      <c r="AT7" s="129"/>
      <c r="AU7" s="509">
        <f>AS7*(AT7-W7)*67.01/10^7</f>
        <v>0</v>
      </c>
      <c r="AV7" s="129"/>
      <c r="AW7" s="129"/>
      <c r="AX7" s="129"/>
      <c r="AY7" s="509">
        <f t="shared" ref="AY7:AY8" si="15">AW7*(AX7-AA7)*66.69/10^7</f>
        <v>0</v>
      </c>
      <c r="AZ7" s="23">
        <f t="shared" si="4"/>
        <v>0</v>
      </c>
      <c r="BA7" s="23">
        <f t="shared" si="4"/>
        <v>0</v>
      </c>
      <c r="BB7" s="509">
        <f t="shared" ref="BB7:BB23" si="16">+G7+K7+O7</f>
        <v>0</v>
      </c>
      <c r="BC7" s="23">
        <f t="shared" ref="BC7:BD23" si="17">+P7+T7+X7</f>
        <v>0</v>
      </c>
      <c r="BD7" s="257">
        <f t="shared" si="17"/>
        <v>0</v>
      </c>
      <c r="BE7" s="257">
        <f t="shared" ref="BE7:BE23" si="18">S7+W7+AA7</f>
        <v>0</v>
      </c>
      <c r="BF7" s="257">
        <f t="shared" ref="BF7:BG23" si="19">AB7+AF7+AJ7</f>
        <v>0</v>
      </c>
      <c r="BG7" s="23">
        <f t="shared" si="19"/>
        <v>0</v>
      </c>
      <c r="BH7" s="257">
        <f t="shared" ref="BH7:BH23" si="20">AE7+AI7+AM7</f>
        <v>0</v>
      </c>
      <c r="BI7" s="23">
        <f t="shared" ref="BI7:BJ23" si="21">+AN7+AR7+AV7</f>
        <v>0</v>
      </c>
      <c r="BJ7" s="23">
        <f t="shared" si="21"/>
        <v>0</v>
      </c>
      <c r="BK7" s="257">
        <f t="shared" ref="BK7:BK23" si="22">AQ7+AU7+AY7</f>
        <v>0</v>
      </c>
      <c r="BL7" s="23">
        <f t="shared" ref="BL7:BN23" si="23">AZ7+BC7+BF7+BI7</f>
        <v>0</v>
      </c>
      <c r="BM7" s="23">
        <f t="shared" si="5"/>
        <v>0</v>
      </c>
      <c r="BN7" s="257">
        <f t="shared" si="5"/>
        <v>0</v>
      </c>
      <c r="BO7" s="466">
        <f t="shared" ref="BO7:BO23" si="24">IFERROR(BM7/BL7,0)</f>
        <v>0</v>
      </c>
      <c r="BP7" s="472"/>
      <c r="BQ7" s="23">
        <f t="shared" si="6"/>
        <v>0</v>
      </c>
      <c r="BR7" s="23">
        <f t="shared" si="7"/>
        <v>0</v>
      </c>
      <c r="BS7" s="466">
        <f t="shared" ref="BS7:BS23" si="25">IFERROR(BR7/BQ7,0)</f>
        <v>0</v>
      </c>
      <c r="BT7" s="509">
        <f t="shared" si="9"/>
        <v>0</v>
      </c>
      <c r="BU7" s="466">
        <f t="shared" si="10"/>
        <v>0</v>
      </c>
    </row>
    <row r="8" spans="1:73" ht="12.6" customHeight="1">
      <c r="A8" s="254" t="s">
        <v>44</v>
      </c>
      <c r="B8" s="129">
        <f t="shared" si="0"/>
        <v>0</v>
      </c>
      <c r="C8" s="257"/>
      <c r="D8" s="129"/>
      <c r="E8" s="129"/>
      <c r="F8" s="129"/>
      <c r="G8" s="509">
        <f t="shared" si="1"/>
        <v>0</v>
      </c>
      <c r="H8" s="129"/>
      <c r="I8" s="129"/>
      <c r="J8" s="129"/>
      <c r="K8" s="509">
        <f t="shared" si="2"/>
        <v>0</v>
      </c>
      <c r="L8" s="129"/>
      <c r="M8" s="129"/>
      <c r="N8" s="129"/>
      <c r="O8" s="509">
        <f t="shared" si="3"/>
        <v>0</v>
      </c>
      <c r="P8" s="129"/>
      <c r="Q8" s="129"/>
      <c r="R8" s="129"/>
      <c r="S8" s="509">
        <f t="shared" si="11"/>
        <v>0</v>
      </c>
      <c r="T8" s="129"/>
      <c r="U8" s="129"/>
      <c r="V8" s="129">
        <f t="shared" si="12"/>
        <v>0</v>
      </c>
      <c r="W8" s="509">
        <f t="shared" si="13"/>
        <v>0</v>
      </c>
      <c r="X8" s="129"/>
      <c r="Y8" s="129"/>
      <c r="Z8" s="129"/>
      <c r="AA8" s="509">
        <f t="shared" si="14"/>
        <v>0</v>
      </c>
      <c r="AB8" s="129"/>
      <c r="AC8" s="129"/>
      <c r="AD8" s="129"/>
      <c r="AE8" s="509">
        <f>AC8*(AD8-G8)*66.73/10^7</f>
        <v>0</v>
      </c>
      <c r="AF8" s="129"/>
      <c r="AG8" s="129"/>
      <c r="AH8" s="129"/>
      <c r="AI8" s="509">
        <f>AG8*(AH8-K8)*67.58/10^7</f>
        <v>0</v>
      </c>
      <c r="AJ8" s="129"/>
      <c r="AK8" s="129"/>
      <c r="AL8" s="129"/>
      <c r="AM8" s="509">
        <f>AK8*(AL8-O8)*67.91/10^7</f>
        <v>0</v>
      </c>
      <c r="AN8" s="129"/>
      <c r="AO8" s="129"/>
      <c r="AP8" s="129"/>
      <c r="AQ8" s="509">
        <f>AO8*(AP8-S8)*68.01/10^7</f>
        <v>0</v>
      </c>
      <c r="AR8" s="129"/>
      <c r="AS8" s="129"/>
      <c r="AT8" s="129"/>
      <c r="AU8" s="509">
        <f>AS8*(AT8-W8)*67.01/10^7</f>
        <v>0</v>
      </c>
      <c r="AV8" s="129"/>
      <c r="AW8" s="129"/>
      <c r="AX8" s="129"/>
      <c r="AY8" s="509">
        <f t="shared" si="15"/>
        <v>0</v>
      </c>
      <c r="AZ8" s="23">
        <f t="shared" si="4"/>
        <v>0</v>
      </c>
      <c r="BA8" s="23">
        <f t="shared" si="4"/>
        <v>0</v>
      </c>
      <c r="BB8" s="509">
        <f t="shared" si="16"/>
        <v>0</v>
      </c>
      <c r="BC8" s="23">
        <f t="shared" si="17"/>
        <v>0</v>
      </c>
      <c r="BD8" s="257">
        <f t="shared" si="17"/>
        <v>0</v>
      </c>
      <c r="BE8" s="257">
        <f t="shared" si="18"/>
        <v>0</v>
      </c>
      <c r="BF8" s="257">
        <f t="shared" si="19"/>
        <v>0</v>
      </c>
      <c r="BG8" s="23">
        <f t="shared" si="19"/>
        <v>0</v>
      </c>
      <c r="BH8" s="257">
        <f t="shared" si="20"/>
        <v>0</v>
      </c>
      <c r="BI8" s="23">
        <f t="shared" si="21"/>
        <v>0</v>
      </c>
      <c r="BJ8" s="23">
        <f t="shared" si="21"/>
        <v>0</v>
      </c>
      <c r="BK8" s="257">
        <f t="shared" si="22"/>
        <v>0</v>
      </c>
      <c r="BL8" s="23">
        <f t="shared" si="23"/>
        <v>0</v>
      </c>
      <c r="BM8" s="23">
        <f t="shared" si="5"/>
        <v>0</v>
      </c>
      <c r="BN8" s="257">
        <f t="shared" si="5"/>
        <v>0</v>
      </c>
      <c r="BO8" s="466">
        <f t="shared" si="24"/>
        <v>0</v>
      </c>
      <c r="BP8" s="472"/>
      <c r="BQ8" s="23">
        <f t="shared" si="6"/>
        <v>0</v>
      </c>
      <c r="BR8" s="23">
        <f t="shared" si="7"/>
        <v>0</v>
      </c>
      <c r="BS8" s="466">
        <f t="shared" si="25"/>
        <v>0</v>
      </c>
      <c r="BT8" s="509">
        <f t="shared" si="9"/>
        <v>0</v>
      </c>
      <c r="BU8" s="466">
        <f t="shared" si="10"/>
        <v>0</v>
      </c>
    </row>
    <row r="9" spans="1:73" ht="12.6" customHeight="1">
      <c r="A9" s="254" t="s">
        <v>45</v>
      </c>
      <c r="B9" s="129">
        <f t="shared" si="0"/>
        <v>1600</v>
      </c>
      <c r="C9" s="257"/>
      <c r="D9" s="129"/>
      <c r="E9" s="129"/>
      <c r="F9" s="129"/>
      <c r="G9" s="509">
        <f t="shared" si="1"/>
        <v>0</v>
      </c>
      <c r="H9" s="129"/>
      <c r="I9" s="129"/>
      <c r="J9" s="129"/>
      <c r="K9" s="509">
        <f t="shared" si="2"/>
        <v>0</v>
      </c>
      <c r="L9" s="129">
        <v>200</v>
      </c>
      <c r="M9" s="129"/>
      <c r="N9" s="129"/>
      <c r="O9" s="509">
        <f t="shared" si="3"/>
        <v>0</v>
      </c>
      <c r="P9" s="129">
        <v>250</v>
      </c>
      <c r="Q9" s="129"/>
      <c r="R9" s="129"/>
      <c r="S9" s="509">
        <f t="shared" si="11"/>
        <v>0</v>
      </c>
      <c r="T9" s="129">
        <v>100</v>
      </c>
      <c r="U9" s="129"/>
      <c r="V9" s="129">
        <f t="shared" si="12"/>
        <v>0</v>
      </c>
      <c r="W9" s="509">
        <f t="shared" si="13"/>
        <v>0</v>
      </c>
      <c r="X9" s="129">
        <v>200</v>
      </c>
      <c r="Y9" s="129">
        <v>3</v>
      </c>
      <c r="Z9" s="129">
        <v>1322</v>
      </c>
      <c r="AA9" s="509">
        <f>Y9*(Z9-1248)*66.69/10^7</f>
        <v>1.4805180000000001E-3</v>
      </c>
      <c r="AB9" s="129">
        <v>250</v>
      </c>
      <c r="AC9" s="129"/>
      <c r="AD9" s="129"/>
      <c r="AE9" s="509">
        <f>AC9*(AD9-1248)*66.73/10^7</f>
        <v>0</v>
      </c>
      <c r="AF9" s="129">
        <v>100</v>
      </c>
      <c r="AG9" s="129"/>
      <c r="AH9" s="129"/>
      <c r="AI9" s="509">
        <f>AG9*(AH9-1248)*67.58/10^7</f>
        <v>0</v>
      </c>
      <c r="AJ9" s="129">
        <v>200</v>
      </c>
      <c r="AK9" s="129"/>
      <c r="AL9" s="129"/>
      <c r="AM9" s="509">
        <f>AK9*(AL9-1248)*67.91/10^7</f>
        <v>0</v>
      </c>
      <c r="AN9" s="129">
        <v>200</v>
      </c>
      <c r="AO9" s="129"/>
      <c r="AP9" s="129"/>
      <c r="AQ9" s="509">
        <f>AO9*(AP9-1248)*68.01/10^7</f>
        <v>0</v>
      </c>
      <c r="AR9" s="129">
        <v>100</v>
      </c>
      <c r="AS9" s="129"/>
      <c r="AT9" s="129"/>
      <c r="AU9" s="509">
        <f>AS9*(AT9-1248)*67.01/10^7</f>
        <v>0</v>
      </c>
      <c r="AV9" s="129"/>
      <c r="AW9" s="129"/>
      <c r="AX9" s="129"/>
      <c r="AY9" s="509">
        <f>AW9*(AX9-1248)*66.69/10^7</f>
        <v>0</v>
      </c>
      <c r="AZ9" s="23">
        <f t="shared" si="4"/>
        <v>200</v>
      </c>
      <c r="BA9" s="23">
        <f t="shared" si="4"/>
        <v>0</v>
      </c>
      <c r="BB9" s="509">
        <f t="shared" si="16"/>
        <v>0</v>
      </c>
      <c r="BC9" s="23">
        <f t="shared" si="17"/>
        <v>550</v>
      </c>
      <c r="BD9" s="257">
        <f t="shared" si="17"/>
        <v>3</v>
      </c>
      <c r="BE9" s="257">
        <f t="shared" si="18"/>
        <v>1.4805180000000001E-3</v>
      </c>
      <c r="BF9" s="257">
        <f t="shared" si="19"/>
        <v>550</v>
      </c>
      <c r="BG9" s="23">
        <f t="shared" si="19"/>
        <v>0</v>
      </c>
      <c r="BH9" s="257">
        <f t="shared" si="20"/>
        <v>0</v>
      </c>
      <c r="BI9" s="23">
        <f t="shared" si="21"/>
        <v>300</v>
      </c>
      <c r="BJ9" s="23">
        <f t="shared" si="21"/>
        <v>0</v>
      </c>
      <c r="BK9" s="257">
        <f t="shared" si="22"/>
        <v>0</v>
      </c>
      <c r="BL9" s="23">
        <f t="shared" si="23"/>
        <v>1600</v>
      </c>
      <c r="BM9" s="23">
        <f t="shared" si="5"/>
        <v>3</v>
      </c>
      <c r="BN9" s="257">
        <f t="shared" si="5"/>
        <v>1.4805180000000001E-3</v>
      </c>
      <c r="BO9" s="466">
        <f t="shared" si="24"/>
        <v>1.8749999999999999E-3</v>
      </c>
      <c r="BP9" s="472"/>
      <c r="BQ9" s="23">
        <f t="shared" si="6"/>
        <v>750</v>
      </c>
      <c r="BR9" s="23">
        <f t="shared" si="7"/>
        <v>3</v>
      </c>
      <c r="BS9" s="466">
        <f t="shared" si="25"/>
        <v>4.0000000000000001E-3</v>
      </c>
      <c r="BT9" s="509">
        <f t="shared" si="9"/>
        <v>1.4805180000000001E-3</v>
      </c>
      <c r="BU9" s="466">
        <f t="shared" si="10"/>
        <v>1.8749999999999999E-3</v>
      </c>
    </row>
    <row r="10" spans="1:73" ht="12.6" customHeight="1">
      <c r="A10" s="254" t="s">
        <v>46</v>
      </c>
      <c r="B10" s="129">
        <f t="shared" si="0"/>
        <v>3000</v>
      </c>
      <c r="C10" s="257"/>
      <c r="D10" s="129">
        <v>90</v>
      </c>
      <c r="E10" s="129">
        <v>75</v>
      </c>
      <c r="F10" s="129">
        <v>1259.9000000000001</v>
      </c>
      <c r="G10" s="509">
        <f>E10*(F10-493)*66.47/10^7</f>
        <v>0.38231882250000004</v>
      </c>
      <c r="H10" s="129">
        <v>100</v>
      </c>
      <c r="I10" s="129"/>
      <c r="J10" s="129"/>
      <c r="K10" s="509">
        <f t="shared" si="2"/>
        <v>0</v>
      </c>
      <c r="L10" s="129">
        <v>300</v>
      </c>
      <c r="M10" s="129"/>
      <c r="N10" s="129"/>
      <c r="O10" s="509">
        <f t="shared" si="3"/>
        <v>0</v>
      </c>
      <c r="P10" s="129">
        <v>300</v>
      </c>
      <c r="Q10" s="129">
        <v>23</v>
      </c>
      <c r="R10" s="129">
        <v>1894</v>
      </c>
      <c r="S10" s="509">
        <f>23*(R10-880)*67.28/10^7</f>
        <v>0.156910416</v>
      </c>
      <c r="T10" s="129">
        <v>250</v>
      </c>
      <c r="U10" s="129">
        <v>18</v>
      </c>
      <c r="V10" s="129">
        <v>1711</v>
      </c>
      <c r="W10" s="509">
        <f>18*(V10-904)*66.93/10^7</f>
        <v>9.7222518000000008E-2</v>
      </c>
      <c r="X10" s="129">
        <v>300</v>
      </c>
      <c r="Y10" s="129"/>
      <c r="Z10" s="129"/>
      <c r="AA10" s="509">
        <f t="shared" si="14"/>
        <v>0</v>
      </c>
      <c r="AB10" s="129">
        <v>260</v>
      </c>
      <c r="AC10" s="129"/>
      <c r="AD10" s="129"/>
      <c r="AE10" s="509">
        <f>AC10*(AD10-G10)*66.73/10^7</f>
        <v>0</v>
      </c>
      <c r="AF10" s="129">
        <v>300</v>
      </c>
      <c r="AG10" s="129"/>
      <c r="AH10" s="129"/>
      <c r="AI10" s="509">
        <f>AG10*(AH10-K10)*67.58/10^7</f>
        <v>0</v>
      </c>
      <c r="AJ10" s="129">
        <v>300</v>
      </c>
      <c r="AK10" s="129"/>
      <c r="AL10" s="129"/>
      <c r="AM10" s="509">
        <f>AK10*(AL10-O10)*67.91/10^7</f>
        <v>0</v>
      </c>
      <c r="AN10" s="129">
        <v>250</v>
      </c>
      <c r="AO10" s="129">
        <v>40</v>
      </c>
      <c r="AP10" s="129">
        <v>1555</v>
      </c>
      <c r="AQ10" s="509">
        <f>AO10*(AP10-1021)*68.01/10^7</f>
        <v>0.14526936000000001</v>
      </c>
      <c r="AR10" s="129">
        <v>300</v>
      </c>
      <c r="AS10" s="129">
        <v>66</v>
      </c>
      <c r="AT10" s="129">
        <v>1640</v>
      </c>
      <c r="AU10" s="509">
        <f>AS10*(AT10-1106)*67.01/10^7</f>
        <v>0.23617004400000005</v>
      </c>
      <c r="AV10" s="129">
        <v>250</v>
      </c>
      <c r="AW10" s="129"/>
      <c r="AX10" s="129"/>
      <c r="AY10" s="509">
        <f t="shared" ref="AY10:AY12" si="26">AW10*(AX10-AA10)*66.69/10^7</f>
        <v>0</v>
      </c>
      <c r="AZ10" s="23">
        <f t="shared" si="4"/>
        <v>490</v>
      </c>
      <c r="BA10" s="23">
        <f t="shared" si="4"/>
        <v>75</v>
      </c>
      <c r="BB10" s="509">
        <f t="shared" si="16"/>
        <v>0.38231882250000004</v>
      </c>
      <c r="BC10" s="23">
        <f t="shared" si="17"/>
        <v>850</v>
      </c>
      <c r="BD10" s="257">
        <f t="shared" si="17"/>
        <v>41</v>
      </c>
      <c r="BE10" s="257">
        <f t="shared" si="18"/>
        <v>0.25413293400000003</v>
      </c>
      <c r="BF10" s="257">
        <f t="shared" si="19"/>
        <v>860</v>
      </c>
      <c r="BG10" s="23">
        <f t="shared" si="19"/>
        <v>0</v>
      </c>
      <c r="BH10" s="257">
        <f t="shared" si="20"/>
        <v>0</v>
      </c>
      <c r="BI10" s="23">
        <f t="shared" si="21"/>
        <v>800</v>
      </c>
      <c r="BJ10" s="23">
        <f t="shared" si="21"/>
        <v>106</v>
      </c>
      <c r="BK10" s="257">
        <f t="shared" si="22"/>
        <v>0.38143940400000009</v>
      </c>
      <c r="BL10" s="23">
        <f t="shared" si="23"/>
        <v>3000</v>
      </c>
      <c r="BM10" s="23">
        <f t="shared" si="5"/>
        <v>222</v>
      </c>
      <c r="BN10" s="257">
        <f t="shared" si="5"/>
        <v>1.0178911605000001</v>
      </c>
      <c r="BO10" s="466">
        <f t="shared" si="24"/>
        <v>7.3999999999999996E-2</v>
      </c>
      <c r="BP10" s="472"/>
      <c r="BQ10" s="23">
        <f t="shared" si="6"/>
        <v>1340</v>
      </c>
      <c r="BR10" s="23">
        <f t="shared" si="7"/>
        <v>116</v>
      </c>
      <c r="BS10" s="466">
        <f t="shared" si="25"/>
        <v>8.6567164179104483E-2</v>
      </c>
      <c r="BT10" s="509">
        <f t="shared" si="9"/>
        <v>0.63645175650000008</v>
      </c>
      <c r="BU10" s="466">
        <f t="shared" si="10"/>
        <v>3.8666666666666669E-2</v>
      </c>
    </row>
    <row r="11" spans="1:73" ht="12.6" customHeight="1">
      <c r="A11" s="254" t="s">
        <v>130</v>
      </c>
      <c r="B11" s="129">
        <f t="shared" si="0"/>
        <v>0</v>
      </c>
      <c r="C11" s="257"/>
      <c r="D11" s="129">
        <v>0</v>
      </c>
      <c r="E11" s="129"/>
      <c r="F11" s="129"/>
      <c r="G11" s="509">
        <f t="shared" si="1"/>
        <v>0</v>
      </c>
      <c r="H11" s="129"/>
      <c r="I11" s="129"/>
      <c r="J11" s="129"/>
      <c r="K11" s="509">
        <f t="shared" si="2"/>
        <v>0</v>
      </c>
      <c r="L11" s="129"/>
      <c r="M11" s="129"/>
      <c r="N11" s="129"/>
      <c r="O11" s="509">
        <f t="shared" si="3"/>
        <v>0</v>
      </c>
      <c r="P11" s="129"/>
      <c r="Q11" s="129"/>
      <c r="R11" s="129"/>
      <c r="S11" s="509">
        <f t="shared" ref="S11:S12" si="27">Q11*(R11-C11)*67.28/10^7</f>
        <v>0</v>
      </c>
      <c r="T11" s="129"/>
      <c r="U11" s="129"/>
      <c r="V11" s="129">
        <f t="shared" si="12"/>
        <v>0</v>
      </c>
      <c r="W11" s="509">
        <f t="shared" si="13"/>
        <v>0</v>
      </c>
      <c r="X11" s="129"/>
      <c r="Y11" s="129"/>
      <c r="Z11" s="129"/>
      <c r="AA11" s="509">
        <f t="shared" si="14"/>
        <v>0</v>
      </c>
      <c r="AB11" s="129"/>
      <c r="AC11" s="129"/>
      <c r="AD11" s="129"/>
      <c r="AE11" s="509">
        <f>AC11*(AD11-G11)*66.73/10^7</f>
        <v>0</v>
      </c>
      <c r="AF11" s="129"/>
      <c r="AG11" s="129"/>
      <c r="AH11" s="129"/>
      <c r="AI11" s="509">
        <f>AG11*(AH11-K11)*67.58/10^7</f>
        <v>0</v>
      </c>
      <c r="AJ11" s="129"/>
      <c r="AK11" s="129"/>
      <c r="AL11" s="129"/>
      <c r="AM11" s="509">
        <f>AK11*(AL11-O11)*67.91/10^7</f>
        <v>0</v>
      </c>
      <c r="AN11" s="129"/>
      <c r="AO11" s="129"/>
      <c r="AP11" s="129"/>
      <c r="AQ11" s="509">
        <f>AO11*(AP11-S11)*68.01/10^7</f>
        <v>0</v>
      </c>
      <c r="AR11" s="129"/>
      <c r="AS11" s="129"/>
      <c r="AT11" s="129"/>
      <c r="AU11" s="509">
        <f>AS11*(AT11-W11)*67.01/10^7</f>
        <v>0</v>
      </c>
      <c r="AV11" s="129"/>
      <c r="AW11" s="129"/>
      <c r="AX11" s="129"/>
      <c r="AY11" s="509">
        <f t="shared" si="26"/>
        <v>0</v>
      </c>
      <c r="AZ11" s="23">
        <f t="shared" si="4"/>
        <v>0</v>
      </c>
      <c r="BA11" s="23">
        <f t="shared" si="4"/>
        <v>0</v>
      </c>
      <c r="BB11" s="509">
        <f t="shared" si="16"/>
        <v>0</v>
      </c>
      <c r="BC11" s="23">
        <f t="shared" si="17"/>
        <v>0</v>
      </c>
      <c r="BD11" s="257">
        <f t="shared" si="17"/>
        <v>0</v>
      </c>
      <c r="BE11" s="257">
        <f t="shared" si="18"/>
        <v>0</v>
      </c>
      <c r="BF11" s="257">
        <f t="shared" si="19"/>
        <v>0</v>
      </c>
      <c r="BG11" s="23">
        <f t="shared" si="19"/>
        <v>0</v>
      </c>
      <c r="BH11" s="257">
        <f t="shared" si="20"/>
        <v>0</v>
      </c>
      <c r="BI11" s="23">
        <f t="shared" si="21"/>
        <v>0</v>
      </c>
      <c r="BJ11" s="23">
        <f t="shared" si="21"/>
        <v>0</v>
      </c>
      <c r="BK11" s="257">
        <f t="shared" si="22"/>
        <v>0</v>
      </c>
      <c r="BL11" s="23">
        <f t="shared" si="23"/>
        <v>0</v>
      </c>
      <c r="BM11" s="23">
        <f t="shared" si="5"/>
        <v>0</v>
      </c>
      <c r="BN11" s="257">
        <f t="shared" si="5"/>
        <v>0</v>
      </c>
      <c r="BO11" s="466">
        <f t="shared" si="24"/>
        <v>0</v>
      </c>
      <c r="BP11" s="472"/>
      <c r="BQ11" s="23">
        <f t="shared" si="6"/>
        <v>0</v>
      </c>
      <c r="BR11" s="23">
        <f t="shared" si="7"/>
        <v>0</v>
      </c>
      <c r="BS11" s="466">
        <f t="shared" si="25"/>
        <v>0</v>
      </c>
      <c r="BT11" s="509">
        <f t="shared" si="9"/>
        <v>0</v>
      </c>
      <c r="BU11" s="466">
        <f t="shared" si="10"/>
        <v>0</v>
      </c>
    </row>
    <row r="12" spans="1:73" ht="12.6" customHeight="1">
      <c r="A12" s="254" t="s">
        <v>131</v>
      </c>
      <c r="B12" s="129">
        <f t="shared" si="0"/>
        <v>0</v>
      </c>
      <c r="C12" s="257">
        <v>143.1</v>
      </c>
      <c r="D12" s="129">
        <v>0</v>
      </c>
      <c r="E12" s="129"/>
      <c r="F12" s="129"/>
      <c r="G12" s="509">
        <f t="shared" si="1"/>
        <v>0</v>
      </c>
      <c r="H12" s="129"/>
      <c r="I12" s="129"/>
      <c r="J12" s="129"/>
      <c r="K12" s="509">
        <f t="shared" si="2"/>
        <v>0</v>
      </c>
      <c r="L12" s="129"/>
      <c r="M12" s="129"/>
      <c r="N12" s="129"/>
      <c r="O12" s="509">
        <f>M12*(N12-C12)*67.28/10^7</f>
        <v>0</v>
      </c>
      <c r="P12" s="129"/>
      <c r="Q12" s="129"/>
      <c r="R12" s="129"/>
      <c r="S12" s="509">
        <f t="shared" si="27"/>
        <v>0</v>
      </c>
      <c r="T12" s="129"/>
      <c r="U12" s="129"/>
      <c r="V12" s="129">
        <f t="shared" si="12"/>
        <v>0</v>
      </c>
      <c r="W12" s="509">
        <f t="shared" si="13"/>
        <v>0</v>
      </c>
      <c r="X12" s="129"/>
      <c r="Y12" s="129"/>
      <c r="Z12" s="129"/>
      <c r="AA12" s="509">
        <f t="shared" si="14"/>
        <v>0</v>
      </c>
      <c r="AB12" s="129"/>
      <c r="AC12" s="129"/>
      <c r="AD12" s="129"/>
      <c r="AE12" s="509">
        <f>AC12*(AD12-G12)*66.73/10^7</f>
        <v>0</v>
      </c>
      <c r="AF12" s="129"/>
      <c r="AG12" s="129"/>
      <c r="AH12" s="129"/>
      <c r="AI12" s="509">
        <f>AG12*(AH12-K12)*67.58/10^7</f>
        <v>0</v>
      </c>
      <c r="AJ12" s="129"/>
      <c r="AK12" s="129"/>
      <c r="AL12" s="129"/>
      <c r="AM12" s="509">
        <f>AK12*(AL12-O12)*67.91/10^7</f>
        <v>0</v>
      </c>
      <c r="AN12" s="129"/>
      <c r="AO12" s="129"/>
      <c r="AP12" s="129"/>
      <c r="AQ12" s="509">
        <f>AO12*(AP12-S12)*68.01/10^7</f>
        <v>0</v>
      </c>
      <c r="AR12" s="129"/>
      <c r="AS12" s="129"/>
      <c r="AT12" s="129"/>
      <c r="AU12" s="509">
        <f>AS12*(AT12-W12)*67.01/10^7</f>
        <v>0</v>
      </c>
      <c r="AV12" s="129"/>
      <c r="AW12" s="129"/>
      <c r="AX12" s="129"/>
      <c r="AY12" s="509">
        <f t="shared" si="26"/>
        <v>0</v>
      </c>
      <c r="AZ12" s="23">
        <f t="shared" si="4"/>
        <v>0</v>
      </c>
      <c r="BA12" s="23">
        <f t="shared" si="4"/>
        <v>0</v>
      </c>
      <c r="BB12" s="509">
        <f t="shared" si="16"/>
        <v>0</v>
      </c>
      <c r="BC12" s="23">
        <f t="shared" si="17"/>
        <v>0</v>
      </c>
      <c r="BD12" s="257">
        <f t="shared" si="17"/>
        <v>0</v>
      </c>
      <c r="BE12" s="257">
        <f t="shared" si="18"/>
        <v>0</v>
      </c>
      <c r="BF12" s="257">
        <f t="shared" si="19"/>
        <v>0</v>
      </c>
      <c r="BG12" s="23">
        <f t="shared" si="19"/>
        <v>0</v>
      </c>
      <c r="BH12" s="257">
        <f t="shared" si="20"/>
        <v>0</v>
      </c>
      <c r="BI12" s="23">
        <f t="shared" si="21"/>
        <v>0</v>
      </c>
      <c r="BJ12" s="23">
        <f t="shared" si="21"/>
        <v>0</v>
      </c>
      <c r="BK12" s="257">
        <f t="shared" si="22"/>
        <v>0</v>
      </c>
      <c r="BL12" s="23">
        <f t="shared" si="23"/>
        <v>0</v>
      </c>
      <c r="BM12" s="23">
        <f t="shared" si="5"/>
        <v>0</v>
      </c>
      <c r="BN12" s="257">
        <f t="shared" si="5"/>
        <v>0</v>
      </c>
      <c r="BO12" s="466">
        <f t="shared" si="24"/>
        <v>0</v>
      </c>
      <c r="BP12" s="472"/>
      <c r="BQ12" s="23">
        <f t="shared" si="6"/>
        <v>0</v>
      </c>
      <c r="BR12" s="23">
        <f t="shared" si="7"/>
        <v>0</v>
      </c>
      <c r="BS12" s="466">
        <f t="shared" si="25"/>
        <v>0</v>
      </c>
      <c r="BT12" s="509">
        <f t="shared" si="9"/>
        <v>0</v>
      </c>
      <c r="BU12" s="466">
        <f t="shared" si="10"/>
        <v>0</v>
      </c>
    </row>
    <row r="13" spans="1:73" ht="12.6" customHeight="1">
      <c r="A13" s="254" t="s">
        <v>48</v>
      </c>
      <c r="B13" s="129">
        <f t="shared" si="0"/>
        <v>120</v>
      </c>
      <c r="C13" s="257"/>
      <c r="D13" s="129">
        <v>10</v>
      </c>
      <c r="E13" s="129">
        <v>2</v>
      </c>
      <c r="F13" s="129">
        <v>1236.8</v>
      </c>
      <c r="G13" s="509">
        <f>E13*(F13-652)*66.47/10^7</f>
        <v>7.774331199999999E-3</v>
      </c>
      <c r="H13" s="129">
        <v>10</v>
      </c>
      <c r="I13" s="129"/>
      <c r="J13" s="129"/>
      <c r="K13" s="509">
        <f t="shared" si="2"/>
        <v>0</v>
      </c>
      <c r="L13" s="129">
        <v>10</v>
      </c>
      <c r="M13" s="129">
        <v>43</v>
      </c>
      <c r="N13" s="129">
        <v>1345.7</v>
      </c>
      <c r="O13" s="509">
        <f>M13*(N13-937)*67.28/10^7</f>
        <v>0.11823854480000001</v>
      </c>
      <c r="P13" s="129">
        <v>10</v>
      </c>
      <c r="Q13" s="129">
        <v>10</v>
      </c>
      <c r="R13" s="129">
        <v>1429</v>
      </c>
      <c r="S13" s="509">
        <f>Q13*(R13-996)*67.28/10^7</f>
        <v>2.9132240000000004E-2</v>
      </c>
      <c r="T13" s="129">
        <v>10</v>
      </c>
      <c r="U13" s="129">
        <v>4</v>
      </c>
      <c r="V13" s="129">
        <v>1322</v>
      </c>
      <c r="W13" s="509">
        <f>U13*(V13-1046)*66.93/10^7</f>
        <v>7.389072E-3</v>
      </c>
      <c r="X13" s="129">
        <v>10</v>
      </c>
      <c r="Y13" s="129">
        <v>3</v>
      </c>
      <c r="Z13" s="129">
        <v>1342</v>
      </c>
      <c r="AA13" s="509">
        <f>Y13*(Z13-1035)*66.69/10^7</f>
        <v>6.1421489999999995E-3</v>
      </c>
      <c r="AB13" s="129">
        <v>10</v>
      </c>
      <c r="AC13" s="129">
        <v>6</v>
      </c>
      <c r="AD13" s="129">
        <v>1368</v>
      </c>
      <c r="AE13" s="509">
        <f>AC13*(AD13-1040)*66.73/10^7</f>
        <v>1.3132464000000002E-2</v>
      </c>
      <c r="AF13" s="129">
        <v>10</v>
      </c>
      <c r="AG13" s="129"/>
      <c r="AH13" s="129"/>
      <c r="AI13" s="509">
        <f>AG13*(AH13-1035)*67.58/10^7</f>
        <v>0</v>
      </c>
      <c r="AJ13" s="129">
        <v>10</v>
      </c>
      <c r="AK13" s="129"/>
      <c r="AL13" s="129"/>
      <c r="AM13" s="509">
        <f>AK13*(AL13-1035)*67.91/10^7</f>
        <v>0</v>
      </c>
      <c r="AN13" s="129">
        <v>10</v>
      </c>
      <c r="AO13" s="129">
        <v>6</v>
      </c>
      <c r="AP13" s="129">
        <v>1411</v>
      </c>
      <c r="AQ13" s="509">
        <f>AO13*(AP13-1060)*68.01/10^7</f>
        <v>1.4322906E-2</v>
      </c>
      <c r="AR13" s="129">
        <v>10</v>
      </c>
      <c r="AS13" s="129">
        <v>6</v>
      </c>
      <c r="AT13" s="129">
        <v>1381</v>
      </c>
      <c r="AU13" s="509">
        <f>AS13*(AT13-1147)*67.01/10^7</f>
        <v>9.4082040000000016E-3</v>
      </c>
      <c r="AV13" s="129">
        <v>10</v>
      </c>
      <c r="AW13" s="129"/>
      <c r="AX13" s="129"/>
      <c r="AY13" s="509">
        <f>AW13*(AX13-1035)*66.69/10^7</f>
        <v>0</v>
      </c>
      <c r="AZ13" s="23">
        <f t="shared" si="4"/>
        <v>30</v>
      </c>
      <c r="BA13" s="23">
        <f t="shared" si="4"/>
        <v>45</v>
      </c>
      <c r="BB13" s="509">
        <f t="shared" si="16"/>
        <v>0.12601287600000002</v>
      </c>
      <c r="BC13" s="23">
        <f t="shared" si="17"/>
        <v>30</v>
      </c>
      <c r="BD13" s="257">
        <f t="shared" si="17"/>
        <v>17</v>
      </c>
      <c r="BE13" s="257">
        <f t="shared" si="18"/>
        <v>4.2663461E-2</v>
      </c>
      <c r="BF13" s="257">
        <f t="shared" si="19"/>
        <v>30</v>
      </c>
      <c r="BG13" s="23">
        <f t="shared" si="19"/>
        <v>6</v>
      </c>
      <c r="BH13" s="257">
        <f t="shared" si="20"/>
        <v>1.3132464000000002E-2</v>
      </c>
      <c r="BI13" s="23">
        <f t="shared" si="21"/>
        <v>30</v>
      </c>
      <c r="BJ13" s="23">
        <f t="shared" si="21"/>
        <v>12</v>
      </c>
      <c r="BK13" s="257">
        <f t="shared" si="22"/>
        <v>2.373111E-2</v>
      </c>
      <c r="BL13" s="23">
        <f t="shared" si="23"/>
        <v>120</v>
      </c>
      <c r="BM13" s="23">
        <f t="shared" si="5"/>
        <v>80</v>
      </c>
      <c r="BN13" s="257">
        <f t="shared" si="5"/>
        <v>0.20553991100000002</v>
      </c>
      <c r="BO13" s="466">
        <f t="shared" si="24"/>
        <v>0.66666666666666663</v>
      </c>
      <c r="BP13" s="472"/>
      <c r="BQ13" s="23">
        <f t="shared" si="6"/>
        <v>60</v>
      </c>
      <c r="BR13" s="23">
        <f t="shared" si="7"/>
        <v>62</v>
      </c>
      <c r="BS13" s="466">
        <f t="shared" si="25"/>
        <v>1.0333333333333334</v>
      </c>
      <c r="BT13" s="509">
        <f t="shared" si="9"/>
        <v>0.16867633700000001</v>
      </c>
      <c r="BU13" s="466">
        <f t="shared" si="10"/>
        <v>0.51666666666666672</v>
      </c>
    </row>
    <row r="14" spans="1:73" ht="12.6" customHeight="1">
      <c r="A14" s="254" t="s">
        <v>49</v>
      </c>
      <c r="B14" s="129">
        <f t="shared" si="0"/>
        <v>0</v>
      </c>
      <c r="C14" s="257"/>
      <c r="D14" s="129">
        <v>0</v>
      </c>
      <c r="E14" s="129"/>
      <c r="F14" s="129"/>
      <c r="G14" s="509">
        <f t="shared" si="1"/>
        <v>0</v>
      </c>
      <c r="H14" s="129">
        <v>0</v>
      </c>
      <c r="I14" s="129"/>
      <c r="J14" s="129"/>
      <c r="K14" s="509">
        <f t="shared" si="2"/>
        <v>0</v>
      </c>
      <c r="L14" s="129">
        <v>0</v>
      </c>
      <c r="M14" s="129"/>
      <c r="N14" s="129"/>
      <c r="O14" s="509">
        <f t="shared" ref="O14:O23" si="28">M14*(N14-C14)*67.28/10^7</f>
        <v>0</v>
      </c>
      <c r="P14" s="129">
        <v>0</v>
      </c>
      <c r="Q14" s="129"/>
      <c r="R14" s="129"/>
      <c r="S14" s="509">
        <f>Q14*(R14-C14)*67.28/10^7</f>
        <v>0</v>
      </c>
      <c r="T14" s="129">
        <v>0</v>
      </c>
      <c r="U14" s="129"/>
      <c r="V14" s="129">
        <f t="shared" si="12"/>
        <v>0</v>
      </c>
      <c r="W14" s="509">
        <f t="shared" si="13"/>
        <v>0</v>
      </c>
      <c r="X14" s="129">
        <v>0</v>
      </c>
      <c r="Y14" s="129"/>
      <c r="Z14" s="129"/>
      <c r="AA14" s="509">
        <f t="shared" si="14"/>
        <v>0</v>
      </c>
      <c r="AB14" s="129">
        <v>0</v>
      </c>
      <c r="AC14" s="129"/>
      <c r="AD14" s="129"/>
      <c r="AE14" s="509">
        <f t="shared" ref="AE14:AE23" si="29">AC14*(AD14-G14)*66.73/10^7</f>
        <v>0</v>
      </c>
      <c r="AF14" s="129">
        <v>0</v>
      </c>
      <c r="AG14" s="129"/>
      <c r="AH14" s="129"/>
      <c r="AI14" s="509">
        <f t="shared" ref="AI14:AI23" si="30">AG14*(AH14-K14)*67.58/10^7</f>
        <v>0</v>
      </c>
      <c r="AJ14" s="129">
        <v>0</v>
      </c>
      <c r="AK14" s="129"/>
      <c r="AL14" s="129"/>
      <c r="AM14" s="509">
        <f t="shared" ref="AM14:AM23" si="31">AK14*(AL14-O14)*67.91/10^7</f>
        <v>0</v>
      </c>
      <c r="AN14" s="129">
        <v>0</v>
      </c>
      <c r="AO14" s="129"/>
      <c r="AP14" s="129"/>
      <c r="AQ14" s="509">
        <f t="shared" ref="AQ14:AQ23" si="32">AO14*(AP14-S14)*68.01/10^7</f>
        <v>0</v>
      </c>
      <c r="AR14" s="129">
        <v>0</v>
      </c>
      <c r="AS14" s="129"/>
      <c r="AT14" s="129"/>
      <c r="AU14" s="509">
        <f t="shared" ref="AU14:AU23" si="33">AS14*(AT14-W14)*67.01/10^7</f>
        <v>0</v>
      </c>
      <c r="AV14" s="129">
        <v>0</v>
      </c>
      <c r="AW14" s="129"/>
      <c r="AX14" s="129"/>
      <c r="AY14" s="509">
        <f t="shared" ref="AY14:AY23" si="34">AW14*(AX14-AA14)*66.69/10^7</f>
        <v>0</v>
      </c>
      <c r="AZ14" s="23">
        <f t="shared" si="4"/>
        <v>0</v>
      </c>
      <c r="BA14" s="23">
        <f t="shared" si="4"/>
        <v>0</v>
      </c>
      <c r="BB14" s="509">
        <f t="shared" si="16"/>
        <v>0</v>
      </c>
      <c r="BC14" s="23">
        <f t="shared" si="17"/>
        <v>0</v>
      </c>
      <c r="BD14" s="257">
        <f t="shared" si="17"/>
        <v>0</v>
      </c>
      <c r="BE14" s="257">
        <f t="shared" si="18"/>
        <v>0</v>
      </c>
      <c r="BF14" s="257">
        <f t="shared" si="19"/>
        <v>0</v>
      </c>
      <c r="BG14" s="23">
        <f t="shared" si="19"/>
        <v>0</v>
      </c>
      <c r="BH14" s="257">
        <f t="shared" si="20"/>
        <v>0</v>
      </c>
      <c r="BI14" s="23">
        <f t="shared" si="21"/>
        <v>0</v>
      </c>
      <c r="BJ14" s="23">
        <f t="shared" si="21"/>
        <v>0</v>
      </c>
      <c r="BK14" s="257">
        <f t="shared" si="22"/>
        <v>0</v>
      </c>
      <c r="BL14" s="23">
        <f t="shared" si="23"/>
        <v>0</v>
      </c>
      <c r="BM14" s="23">
        <f t="shared" si="5"/>
        <v>0</v>
      </c>
      <c r="BN14" s="257">
        <f t="shared" si="5"/>
        <v>0</v>
      </c>
      <c r="BO14" s="466">
        <f t="shared" si="24"/>
        <v>0</v>
      </c>
      <c r="BP14" s="472"/>
      <c r="BQ14" s="23">
        <f t="shared" si="6"/>
        <v>0</v>
      </c>
      <c r="BR14" s="23">
        <f t="shared" si="7"/>
        <v>0</v>
      </c>
      <c r="BS14" s="466">
        <f t="shared" si="25"/>
        <v>0</v>
      </c>
      <c r="BT14" s="509">
        <f t="shared" si="9"/>
        <v>0</v>
      </c>
      <c r="BU14" s="466">
        <f t="shared" si="10"/>
        <v>0</v>
      </c>
    </row>
    <row r="15" spans="1:73" ht="12.6" customHeight="1">
      <c r="A15" s="254" t="s">
        <v>47</v>
      </c>
      <c r="B15" s="129">
        <f t="shared" si="0"/>
        <v>300</v>
      </c>
      <c r="C15" s="257">
        <v>149.1</v>
      </c>
      <c r="D15" s="129">
        <v>25</v>
      </c>
      <c r="E15" s="129">
        <v>98</v>
      </c>
      <c r="F15" s="129">
        <v>1267.3</v>
      </c>
      <c r="G15" s="509">
        <f>E15*(F15-C15)*66.47/10^7</f>
        <v>0.72840218919999999</v>
      </c>
      <c r="H15" s="129">
        <v>25</v>
      </c>
      <c r="I15" s="129">
        <v>80</v>
      </c>
      <c r="J15" s="129">
        <v>1237.5</v>
      </c>
      <c r="K15" s="509">
        <f>I15*(J15-C15)*66.91/10^7</f>
        <v>0.582598752</v>
      </c>
      <c r="L15" s="129">
        <v>25</v>
      </c>
      <c r="M15" s="129">
        <v>31</v>
      </c>
      <c r="N15" s="129">
        <v>1278.5999999999999</v>
      </c>
      <c r="O15" s="509">
        <f t="shared" si="28"/>
        <v>0.23557755599999999</v>
      </c>
      <c r="P15" s="129">
        <v>25</v>
      </c>
      <c r="Q15" s="129">
        <v>19</v>
      </c>
      <c r="R15" s="129">
        <v>1321</v>
      </c>
      <c r="S15" s="509">
        <f>Q15*(R15-C15)*67.28/10^7</f>
        <v>0.1498063208</v>
      </c>
      <c r="T15" s="129">
        <v>25</v>
      </c>
      <c r="U15" s="129">
        <v>77</v>
      </c>
      <c r="V15" s="129">
        <v>1325</v>
      </c>
      <c r="W15" s="509">
        <f t="shared" si="13"/>
        <v>0.60601299990000013</v>
      </c>
      <c r="X15" s="129">
        <v>25</v>
      </c>
      <c r="Y15" s="129">
        <v>3</v>
      </c>
      <c r="Z15" s="129">
        <v>1357</v>
      </c>
      <c r="AA15" s="509">
        <f t="shared" si="14"/>
        <v>2.41664553E-2</v>
      </c>
      <c r="AB15" s="129">
        <v>25</v>
      </c>
      <c r="AC15" s="129">
        <v>70</v>
      </c>
      <c r="AD15" s="129">
        <v>1343</v>
      </c>
      <c r="AE15" s="509">
        <f t="shared" si="29"/>
        <v>0.62698848605340285</v>
      </c>
      <c r="AF15" s="129">
        <v>25</v>
      </c>
      <c r="AG15" s="129"/>
      <c r="AH15" s="129"/>
      <c r="AI15" s="509">
        <f t="shared" si="30"/>
        <v>0</v>
      </c>
      <c r="AJ15" s="129">
        <v>25</v>
      </c>
      <c r="AK15" s="129">
        <v>20</v>
      </c>
      <c r="AL15" s="129">
        <v>1286</v>
      </c>
      <c r="AM15" s="509">
        <f t="shared" si="31"/>
        <v>0.17463252385634406</v>
      </c>
      <c r="AN15" s="129">
        <v>25</v>
      </c>
      <c r="AO15" s="129">
        <v>29</v>
      </c>
      <c r="AP15" s="129">
        <v>1331</v>
      </c>
      <c r="AQ15" s="509">
        <f t="shared" si="32"/>
        <v>0.26248225284915494</v>
      </c>
      <c r="AR15" s="129">
        <v>25</v>
      </c>
      <c r="AS15" s="129">
        <v>22</v>
      </c>
      <c r="AT15" s="129">
        <v>1423</v>
      </c>
      <c r="AU15" s="509">
        <f t="shared" si="33"/>
        <v>0.20969216635152876</v>
      </c>
      <c r="AV15" s="129">
        <v>25</v>
      </c>
      <c r="AW15" s="129"/>
      <c r="AX15" s="129"/>
      <c r="AY15" s="509">
        <f t="shared" si="34"/>
        <v>0</v>
      </c>
      <c r="AZ15" s="23">
        <f t="shared" si="4"/>
        <v>75</v>
      </c>
      <c r="BA15" s="23">
        <f t="shared" si="4"/>
        <v>209</v>
      </c>
      <c r="BB15" s="509">
        <f t="shared" si="16"/>
        <v>1.5465784972000001</v>
      </c>
      <c r="BC15" s="23">
        <f t="shared" si="17"/>
        <v>75</v>
      </c>
      <c r="BD15" s="257">
        <f t="shared" si="17"/>
        <v>99</v>
      </c>
      <c r="BE15" s="257">
        <f t="shared" si="18"/>
        <v>0.77998577600000019</v>
      </c>
      <c r="BF15" s="257">
        <f t="shared" si="19"/>
        <v>75</v>
      </c>
      <c r="BG15" s="23">
        <f t="shared" si="19"/>
        <v>90</v>
      </c>
      <c r="BH15" s="257">
        <f t="shared" si="20"/>
        <v>0.80162100990974694</v>
      </c>
      <c r="BI15" s="23">
        <f t="shared" si="21"/>
        <v>75</v>
      </c>
      <c r="BJ15" s="23">
        <f t="shared" si="21"/>
        <v>51</v>
      </c>
      <c r="BK15" s="257">
        <f t="shared" si="22"/>
        <v>0.4721744192006837</v>
      </c>
      <c r="BL15" s="23">
        <f t="shared" si="23"/>
        <v>300</v>
      </c>
      <c r="BM15" s="23">
        <f t="shared" si="5"/>
        <v>449</v>
      </c>
      <c r="BN15" s="257">
        <f t="shared" si="5"/>
        <v>3.6003597023104312</v>
      </c>
      <c r="BO15" s="466">
        <f t="shared" si="24"/>
        <v>1.4966666666666666</v>
      </c>
      <c r="BP15" s="472"/>
      <c r="BQ15" s="23">
        <f t="shared" si="6"/>
        <v>150</v>
      </c>
      <c r="BR15" s="23">
        <f t="shared" si="7"/>
        <v>308</v>
      </c>
      <c r="BS15" s="466">
        <f t="shared" si="25"/>
        <v>2.0533333333333332</v>
      </c>
      <c r="BT15" s="509">
        <f t="shared" si="9"/>
        <v>2.3265642732000003</v>
      </c>
      <c r="BU15" s="466">
        <f t="shared" si="10"/>
        <v>1.0266666666666666</v>
      </c>
    </row>
    <row r="16" spans="1:73" ht="12.6" customHeight="1">
      <c r="A16" s="254" t="s">
        <v>51</v>
      </c>
      <c r="B16" s="129">
        <f t="shared" si="0"/>
        <v>225</v>
      </c>
      <c r="C16" s="257"/>
      <c r="D16" s="129">
        <v>20</v>
      </c>
      <c r="E16" s="129"/>
      <c r="F16" s="129"/>
      <c r="G16" s="509">
        <f t="shared" ref="G16:G23" si="35">E16*(F16-C16)*66.47/10^7</f>
        <v>0</v>
      </c>
      <c r="H16" s="129">
        <v>15</v>
      </c>
      <c r="I16" s="129"/>
      <c r="J16" s="129"/>
      <c r="K16" s="509">
        <f t="shared" ref="K16:K23" si="36">I16*(J16-C16)*66.91/10^7</f>
        <v>0</v>
      </c>
      <c r="L16" s="129">
        <v>20</v>
      </c>
      <c r="M16" s="129"/>
      <c r="N16" s="129"/>
      <c r="O16" s="509">
        <f t="shared" si="28"/>
        <v>0</v>
      </c>
      <c r="P16" s="129">
        <v>15</v>
      </c>
      <c r="Q16" s="129"/>
      <c r="R16" s="129"/>
      <c r="S16" s="509">
        <f>Q16*(R16-C16)*67.28/10^7</f>
        <v>0</v>
      </c>
      <c r="T16" s="129">
        <v>20</v>
      </c>
      <c r="U16" s="129"/>
      <c r="V16" s="129">
        <f t="shared" ref="V16:V17" si="37">(T16*U16)/10^6</f>
        <v>0</v>
      </c>
      <c r="W16" s="509">
        <f t="shared" si="13"/>
        <v>0</v>
      </c>
      <c r="X16" s="129">
        <v>15</v>
      </c>
      <c r="Y16" s="129">
        <v>51</v>
      </c>
      <c r="Z16" s="129">
        <v>1414</v>
      </c>
      <c r="AA16" s="509">
        <f t="shared" si="14"/>
        <v>0.48092826599999999</v>
      </c>
      <c r="AB16" s="129">
        <v>20</v>
      </c>
      <c r="AC16" s="129"/>
      <c r="AD16" s="129"/>
      <c r="AE16" s="509">
        <f t="shared" si="29"/>
        <v>0</v>
      </c>
      <c r="AF16" s="129">
        <v>20</v>
      </c>
      <c r="AG16" s="129"/>
      <c r="AH16" s="129"/>
      <c r="AI16" s="509">
        <f t="shared" si="30"/>
        <v>0</v>
      </c>
      <c r="AJ16" s="129">
        <v>20</v>
      </c>
      <c r="AK16" s="129"/>
      <c r="AL16" s="129"/>
      <c r="AM16" s="509">
        <f t="shared" si="31"/>
        <v>0</v>
      </c>
      <c r="AN16" s="129">
        <v>20</v>
      </c>
      <c r="AO16" s="129"/>
      <c r="AP16" s="129"/>
      <c r="AQ16" s="509">
        <f t="shared" si="32"/>
        <v>0</v>
      </c>
      <c r="AR16" s="129">
        <v>20</v>
      </c>
      <c r="AS16" s="129"/>
      <c r="AT16" s="129"/>
      <c r="AU16" s="509">
        <f t="shared" si="33"/>
        <v>0</v>
      </c>
      <c r="AV16" s="129">
        <v>20</v>
      </c>
      <c r="AW16" s="129"/>
      <c r="AX16" s="129"/>
      <c r="AY16" s="509">
        <f t="shared" si="34"/>
        <v>0</v>
      </c>
      <c r="AZ16" s="23">
        <f t="shared" si="4"/>
        <v>55</v>
      </c>
      <c r="BA16" s="23">
        <f t="shared" si="4"/>
        <v>0</v>
      </c>
      <c r="BB16" s="509">
        <f t="shared" si="16"/>
        <v>0</v>
      </c>
      <c r="BC16" s="23">
        <f t="shared" si="17"/>
        <v>50</v>
      </c>
      <c r="BD16" s="257">
        <f t="shared" si="17"/>
        <v>51</v>
      </c>
      <c r="BE16" s="257">
        <f t="shared" si="18"/>
        <v>0.48092826599999999</v>
      </c>
      <c r="BF16" s="257">
        <f t="shared" si="19"/>
        <v>60</v>
      </c>
      <c r="BG16" s="23">
        <f t="shared" si="19"/>
        <v>0</v>
      </c>
      <c r="BH16" s="257">
        <f t="shared" si="20"/>
        <v>0</v>
      </c>
      <c r="BI16" s="23">
        <f t="shared" si="21"/>
        <v>60</v>
      </c>
      <c r="BJ16" s="23">
        <f t="shared" si="21"/>
        <v>0</v>
      </c>
      <c r="BK16" s="257">
        <f t="shared" si="22"/>
        <v>0</v>
      </c>
      <c r="BL16" s="23">
        <f t="shared" si="23"/>
        <v>225</v>
      </c>
      <c r="BM16" s="23">
        <f t="shared" si="5"/>
        <v>51</v>
      </c>
      <c r="BN16" s="257">
        <f t="shared" si="5"/>
        <v>0.48092826599999999</v>
      </c>
      <c r="BO16" s="466">
        <f t="shared" si="24"/>
        <v>0.22666666666666666</v>
      </c>
      <c r="BP16" s="472"/>
      <c r="BQ16" s="23">
        <f t="shared" si="6"/>
        <v>105</v>
      </c>
      <c r="BR16" s="23">
        <f t="shared" si="7"/>
        <v>51</v>
      </c>
      <c r="BS16" s="466">
        <f t="shared" si="25"/>
        <v>0.48571428571428571</v>
      </c>
      <c r="BT16" s="509">
        <f t="shared" si="9"/>
        <v>0.48092826599999999</v>
      </c>
      <c r="BU16" s="466">
        <f t="shared" si="10"/>
        <v>0.22666666666666666</v>
      </c>
    </row>
    <row r="17" spans="1:73" ht="12.6" customHeight="1">
      <c r="A17" s="254" t="s">
        <v>54</v>
      </c>
      <c r="B17" s="129">
        <f t="shared" si="0"/>
        <v>50</v>
      </c>
      <c r="C17" s="257"/>
      <c r="D17" s="129"/>
      <c r="E17" s="129"/>
      <c r="F17" s="129"/>
      <c r="G17" s="509">
        <f t="shared" si="35"/>
        <v>0</v>
      </c>
      <c r="H17" s="129"/>
      <c r="I17" s="129"/>
      <c r="J17" s="129"/>
      <c r="K17" s="509">
        <f t="shared" si="36"/>
        <v>0</v>
      </c>
      <c r="L17" s="129">
        <v>15</v>
      </c>
      <c r="M17" s="129"/>
      <c r="N17" s="129"/>
      <c r="O17" s="509">
        <f t="shared" si="28"/>
        <v>0</v>
      </c>
      <c r="P17" s="129"/>
      <c r="Q17" s="129">
        <v>16</v>
      </c>
      <c r="R17" s="129">
        <v>3776</v>
      </c>
      <c r="S17" s="509">
        <f>Q17*(R17-2488)*67.28/10^7</f>
        <v>0.138650624</v>
      </c>
      <c r="T17" s="129">
        <v>15</v>
      </c>
      <c r="U17" s="129"/>
      <c r="V17" s="129">
        <f t="shared" si="37"/>
        <v>0</v>
      </c>
      <c r="W17" s="509">
        <f t="shared" si="13"/>
        <v>0</v>
      </c>
      <c r="X17" s="129"/>
      <c r="Y17" s="129"/>
      <c r="Z17" s="129"/>
      <c r="AA17" s="509">
        <f t="shared" si="14"/>
        <v>0</v>
      </c>
      <c r="AB17" s="129"/>
      <c r="AC17" s="129"/>
      <c r="AD17" s="129"/>
      <c r="AE17" s="509">
        <f t="shared" si="29"/>
        <v>0</v>
      </c>
      <c r="AF17" s="129">
        <v>10</v>
      </c>
      <c r="AG17" s="129"/>
      <c r="AH17" s="129"/>
      <c r="AI17" s="509">
        <f t="shared" si="30"/>
        <v>0</v>
      </c>
      <c r="AJ17" s="129"/>
      <c r="AK17" s="129"/>
      <c r="AL17" s="129"/>
      <c r="AM17" s="509">
        <f t="shared" si="31"/>
        <v>0</v>
      </c>
      <c r="AN17" s="129">
        <v>10</v>
      </c>
      <c r="AO17" s="129"/>
      <c r="AP17" s="129"/>
      <c r="AQ17" s="509">
        <f t="shared" si="32"/>
        <v>0</v>
      </c>
      <c r="AR17" s="129"/>
      <c r="AS17" s="129"/>
      <c r="AT17" s="129"/>
      <c r="AU17" s="509">
        <f t="shared" si="33"/>
        <v>0</v>
      </c>
      <c r="AV17" s="129"/>
      <c r="AW17" s="129"/>
      <c r="AX17" s="129"/>
      <c r="AY17" s="509">
        <f t="shared" si="34"/>
        <v>0</v>
      </c>
      <c r="AZ17" s="23">
        <f t="shared" si="4"/>
        <v>15</v>
      </c>
      <c r="BA17" s="23">
        <f t="shared" si="4"/>
        <v>0</v>
      </c>
      <c r="BB17" s="509">
        <f t="shared" si="16"/>
        <v>0</v>
      </c>
      <c r="BC17" s="23">
        <f t="shared" si="17"/>
        <v>15</v>
      </c>
      <c r="BD17" s="257">
        <f t="shared" si="17"/>
        <v>16</v>
      </c>
      <c r="BE17" s="257">
        <f t="shared" si="18"/>
        <v>0.138650624</v>
      </c>
      <c r="BF17" s="257">
        <f t="shared" si="19"/>
        <v>10</v>
      </c>
      <c r="BG17" s="23">
        <f t="shared" si="19"/>
        <v>0</v>
      </c>
      <c r="BH17" s="257">
        <f t="shared" si="20"/>
        <v>0</v>
      </c>
      <c r="BI17" s="23">
        <f t="shared" si="21"/>
        <v>10</v>
      </c>
      <c r="BJ17" s="23">
        <f t="shared" si="21"/>
        <v>0</v>
      </c>
      <c r="BK17" s="257">
        <f t="shared" si="22"/>
        <v>0</v>
      </c>
      <c r="BL17" s="23">
        <f t="shared" si="23"/>
        <v>50</v>
      </c>
      <c r="BM17" s="23">
        <f t="shared" si="5"/>
        <v>16</v>
      </c>
      <c r="BN17" s="257">
        <f t="shared" si="5"/>
        <v>0.138650624</v>
      </c>
      <c r="BO17" s="466">
        <f t="shared" si="24"/>
        <v>0.32</v>
      </c>
      <c r="BP17" s="472"/>
      <c r="BQ17" s="23">
        <f t="shared" si="6"/>
        <v>30</v>
      </c>
      <c r="BR17" s="23">
        <f t="shared" si="7"/>
        <v>16</v>
      </c>
      <c r="BS17" s="466">
        <f t="shared" si="25"/>
        <v>0.53333333333333333</v>
      </c>
      <c r="BT17" s="509">
        <f t="shared" si="9"/>
        <v>0.138650624</v>
      </c>
      <c r="BU17" s="466">
        <f t="shared" si="10"/>
        <v>0.32</v>
      </c>
    </row>
    <row r="18" spans="1:73" ht="12.6" customHeight="1">
      <c r="A18" s="254" t="s">
        <v>55</v>
      </c>
      <c r="B18" s="129">
        <f t="shared" si="0"/>
        <v>106</v>
      </c>
      <c r="C18" s="257"/>
      <c r="D18" s="129"/>
      <c r="E18" s="129"/>
      <c r="F18" s="129"/>
      <c r="G18" s="509">
        <f t="shared" si="35"/>
        <v>0</v>
      </c>
      <c r="H18" s="129"/>
      <c r="I18" s="129"/>
      <c r="J18" s="129"/>
      <c r="K18" s="509">
        <f t="shared" si="36"/>
        <v>0</v>
      </c>
      <c r="L18" s="129"/>
      <c r="M18" s="129"/>
      <c r="N18" s="129"/>
      <c r="O18" s="509">
        <f t="shared" si="28"/>
        <v>0</v>
      </c>
      <c r="P18" s="129">
        <v>50</v>
      </c>
      <c r="Q18" s="129"/>
      <c r="R18" s="129"/>
      <c r="S18" s="509">
        <f t="shared" ref="S18:S23" si="38">Q18*(R18-C18)*67.28/10^7</f>
        <v>0</v>
      </c>
      <c r="T18" s="129"/>
      <c r="U18" s="129"/>
      <c r="V18" s="129">
        <f t="shared" si="12"/>
        <v>0</v>
      </c>
      <c r="W18" s="509">
        <f t="shared" si="13"/>
        <v>0</v>
      </c>
      <c r="X18" s="129"/>
      <c r="Y18" s="129"/>
      <c r="Z18" s="129"/>
      <c r="AA18" s="509">
        <f t="shared" si="14"/>
        <v>0</v>
      </c>
      <c r="AB18" s="129"/>
      <c r="AC18" s="129"/>
      <c r="AD18" s="129"/>
      <c r="AE18" s="509">
        <f t="shared" si="29"/>
        <v>0</v>
      </c>
      <c r="AF18" s="129"/>
      <c r="AG18" s="129"/>
      <c r="AH18" s="129"/>
      <c r="AI18" s="509">
        <f t="shared" si="30"/>
        <v>0</v>
      </c>
      <c r="AJ18" s="129">
        <v>56</v>
      </c>
      <c r="AK18" s="129"/>
      <c r="AL18" s="129"/>
      <c r="AM18" s="509">
        <f t="shared" si="31"/>
        <v>0</v>
      </c>
      <c r="AN18" s="129"/>
      <c r="AO18" s="129"/>
      <c r="AP18" s="129"/>
      <c r="AQ18" s="509">
        <f t="shared" si="32"/>
        <v>0</v>
      </c>
      <c r="AR18" s="129"/>
      <c r="AS18" s="129"/>
      <c r="AT18" s="129"/>
      <c r="AU18" s="509">
        <f t="shared" si="33"/>
        <v>0</v>
      </c>
      <c r="AV18" s="129"/>
      <c r="AW18" s="129"/>
      <c r="AX18" s="129"/>
      <c r="AY18" s="509">
        <f t="shared" si="34"/>
        <v>0</v>
      </c>
      <c r="AZ18" s="23">
        <f t="shared" si="4"/>
        <v>0</v>
      </c>
      <c r="BA18" s="23">
        <f t="shared" si="4"/>
        <v>0</v>
      </c>
      <c r="BB18" s="509">
        <f t="shared" si="16"/>
        <v>0</v>
      </c>
      <c r="BC18" s="23">
        <f t="shared" si="17"/>
        <v>50</v>
      </c>
      <c r="BD18" s="257">
        <f t="shared" si="17"/>
        <v>0</v>
      </c>
      <c r="BE18" s="257">
        <f t="shared" si="18"/>
        <v>0</v>
      </c>
      <c r="BF18" s="257">
        <f t="shared" si="19"/>
        <v>56</v>
      </c>
      <c r="BG18" s="23">
        <f t="shared" si="19"/>
        <v>0</v>
      </c>
      <c r="BH18" s="257">
        <f t="shared" si="20"/>
        <v>0</v>
      </c>
      <c r="BI18" s="23">
        <f t="shared" si="21"/>
        <v>0</v>
      </c>
      <c r="BJ18" s="23">
        <f t="shared" si="21"/>
        <v>0</v>
      </c>
      <c r="BK18" s="257">
        <f t="shared" si="22"/>
        <v>0</v>
      </c>
      <c r="BL18" s="23">
        <f t="shared" si="23"/>
        <v>106</v>
      </c>
      <c r="BM18" s="23">
        <f t="shared" si="5"/>
        <v>0</v>
      </c>
      <c r="BN18" s="257">
        <f t="shared" si="5"/>
        <v>0</v>
      </c>
      <c r="BO18" s="466">
        <f t="shared" si="24"/>
        <v>0</v>
      </c>
      <c r="BP18" s="472"/>
      <c r="BQ18" s="23">
        <f t="shared" si="6"/>
        <v>50</v>
      </c>
      <c r="BR18" s="23">
        <f t="shared" si="7"/>
        <v>0</v>
      </c>
      <c r="BS18" s="466">
        <f t="shared" si="25"/>
        <v>0</v>
      </c>
      <c r="BT18" s="509">
        <f t="shared" si="9"/>
        <v>0</v>
      </c>
      <c r="BU18" s="466">
        <f t="shared" si="10"/>
        <v>0</v>
      </c>
    </row>
    <row r="19" spans="1:73" ht="12.6" customHeight="1">
      <c r="A19" s="254" t="s">
        <v>50</v>
      </c>
      <c r="B19" s="129">
        <f t="shared" si="0"/>
        <v>0</v>
      </c>
      <c r="C19" s="257"/>
      <c r="D19" s="129">
        <v>0</v>
      </c>
      <c r="E19" s="129"/>
      <c r="F19" s="129"/>
      <c r="G19" s="509">
        <f t="shared" si="35"/>
        <v>0</v>
      </c>
      <c r="H19" s="129"/>
      <c r="I19" s="129"/>
      <c r="J19" s="129"/>
      <c r="K19" s="509">
        <f t="shared" si="36"/>
        <v>0</v>
      </c>
      <c r="L19" s="129"/>
      <c r="M19" s="129"/>
      <c r="N19" s="129"/>
      <c r="O19" s="509">
        <f t="shared" si="28"/>
        <v>0</v>
      </c>
      <c r="P19" s="129"/>
      <c r="Q19" s="129"/>
      <c r="R19" s="129"/>
      <c r="S19" s="509">
        <f t="shared" si="38"/>
        <v>0</v>
      </c>
      <c r="T19" s="129"/>
      <c r="U19" s="129"/>
      <c r="V19" s="129">
        <f t="shared" si="12"/>
        <v>0</v>
      </c>
      <c r="W19" s="509">
        <f t="shared" si="13"/>
        <v>0</v>
      </c>
      <c r="X19" s="129"/>
      <c r="Y19" s="129"/>
      <c r="Z19" s="129"/>
      <c r="AA19" s="509">
        <f t="shared" si="14"/>
        <v>0</v>
      </c>
      <c r="AB19" s="129"/>
      <c r="AC19" s="129"/>
      <c r="AD19" s="129"/>
      <c r="AE19" s="509">
        <f t="shared" si="29"/>
        <v>0</v>
      </c>
      <c r="AF19" s="129"/>
      <c r="AG19" s="129"/>
      <c r="AH19" s="129"/>
      <c r="AI19" s="509">
        <f t="shared" si="30"/>
        <v>0</v>
      </c>
      <c r="AJ19" s="129"/>
      <c r="AK19" s="129"/>
      <c r="AL19" s="129"/>
      <c r="AM19" s="509">
        <f t="shared" si="31"/>
        <v>0</v>
      </c>
      <c r="AN19" s="129"/>
      <c r="AO19" s="129"/>
      <c r="AP19" s="129"/>
      <c r="AQ19" s="509">
        <f t="shared" si="32"/>
        <v>0</v>
      </c>
      <c r="AR19" s="129"/>
      <c r="AS19" s="129"/>
      <c r="AT19" s="129"/>
      <c r="AU19" s="509">
        <f t="shared" si="33"/>
        <v>0</v>
      </c>
      <c r="AV19" s="129"/>
      <c r="AW19" s="129"/>
      <c r="AX19" s="129"/>
      <c r="AY19" s="509">
        <f t="shared" si="34"/>
        <v>0</v>
      </c>
      <c r="AZ19" s="23">
        <f t="shared" si="4"/>
        <v>0</v>
      </c>
      <c r="BA19" s="23">
        <f t="shared" si="4"/>
        <v>0</v>
      </c>
      <c r="BB19" s="509">
        <f t="shared" si="16"/>
        <v>0</v>
      </c>
      <c r="BC19" s="23">
        <f t="shared" si="17"/>
        <v>0</v>
      </c>
      <c r="BD19" s="257">
        <f t="shared" si="17"/>
        <v>0</v>
      </c>
      <c r="BE19" s="257">
        <f t="shared" si="18"/>
        <v>0</v>
      </c>
      <c r="BF19" s="257">
        <f t="shared" si="19"/>
        <v>0</v>
      </c>
      <c r="BG19" s="23">
        <f t="shared" si="19"/>
        <v>0</v>
      </c>
      <c r="BH19" s="257">
        <f t="shared" si="20"/>
        <v>0</v>
      </c>
      <c r="BI19" s="23">
        <f t="shared" si="21"/>
        <v>0</v>
      </c>
      <c r="BJ19" s="23">
        <f t="shared" si="21"/>
        <v>0</v>
      </c>
      <c r="BK19" s="257">
        <f t="shared" si="22"/>
        <v>0</v>
      </c>
      <c r="BL19" s="23">
        <f t="shared" si="23"/>
        <v>0</v>
      </c>
      <c r="BM19" s="23">
        <f t="shared" si="5"/>
        <v>0</v>
      </c>
      <c r="BN19" s="257">
        <f t="shared" si="5"/>
        <v>0</v>
      </c>
      <c r="BO19" s="466">
        <f t="shared" si="24"/>
        <v>0</v>
      </c>
      <c r="BP19" s="472"/>
      <c r="BQ19" s="23">
        <f t="shared" si="6"/>
        <v>0</v>
      </c>
      <c r="BR19" s="23">
        <f t="shared" si="7"/>
        <v>0</v>
      </c>
      <c r="BS19" s="466">
        <f t="shared" si="25"/>
        <v>0</v>
      </c>
      <c r="BT19" s="509">
        <f t="shared" si="9"/>
        <v>0</v>
      </c>
      <c r="BU19" s="466">
        <f t="shared" si="10"/>
        <v>0</v>
      </c>
    </row>
    <row r="20" spans="1:73" ht="12.6" customHeight="1">
      <c r="A20" s="503" t="s">
        <v>84</v>
      </c>
      <c r="B20" s="129">
        <f t="shared" si="0"/>
        <v>0</v>
      </c>
      <c r="C20" s="257"/>
      <c r="D20" s="129">
        <v>0</v>
      </c>
      <c r="E20" s="129"/>
      <c r="F20" s="129"/>
      <c r="G20" s="509">
        <f t="shared" si="35"/>
        <v>0</v>
      </c>
      <c r="H20" s="129"/>
      <c r="I20" s="129"/>
      <c r="J20" s="129"/>
      <c r="K20" s="509">
        <f t="shared" si="36"/>
        <v>0</v>
      </c>
      <c r="L20" s="129"/>
      <c r="M20" s="129"/>
      <c r="N20" s="129"/>
      <c r="O20" s="509">
        <f t="shared" si="28"/>
        <v>0</v>
      </c>
      <c r="P20" s="129"/>
      <c r="Q20" s="129"/>
      <c r="R20" s="129"/>
      <c r="S20" s="509">
        <f t="shared" si="38"/>
        <v>0</v>
      </c>
      <c r="T20" s="129"/>
      <c r="U20" s="129"/>
      <c r="V20" s="129">
        <f t="shared" si="12"/>
        <v>0</v>
      </c>
      <c r="W20" s="509">
        <f t="shared" si="13"/>
        <v>0</v>
      </c>
      <c r="X20" s="129"/>
      <c r="Y20" s="129"/>
      <c r="Z20" s="129"/>
      <c r="AA20" s="509">
        <f t="shared" si="14"/>
        <v>0</v>
      </c>
      <c r="AB20" s="129"/>
      <c r="AC20" s="129"/>
      <c r="AD20" s="129"/>
      <c r="AE20" s="509">
        <f t="shared" si="29"/>
        <v>0</v>
      </c>
      <c r="AF20" s="129"/>
      <c r="AG20" s="129"/>
      <c r="AH20" s="129"/>
      <c r="AI20" s="509">
        <f t="shared" si="30"/>
        <v>0</v>
      </c>
      <c r="AJ20" s="129"/>
      <c r="AK20" s="129"/>
      <c r="AL20" s="129"/>
      <c r="AM20" s="509">
        <f t="shared" si="31"/>
        <v>0</v>
      </c>
      <c r="AN20" s="129"/>
      <c r="AO20" s="129"/>
      <c r="AP20" s="129"/>
      <c r="AQ20" s="509">
        <f t="shared" si="32"/>
        <v>0</v>
      </c>
      <c r="AR20" s="129"/>
      <c r="AS20" s="129"/>
      <c r="AT20" s="129"/>
      <c r="AU20" s="509">
        <f t="shared" si="33"/>
        <v>0</v>
      </c>
      <c r="AV20" s="129"/>
      <c r="AW20" s="129"/>
      <c r="AX20" s="129"/>
      <c r="AY20" s="509">
        <f t="shared" si="34"/>
        <v>0</v>
      </c>
      <c r="AZ20" s="23">
        <f t="shared" si="4"/>
        <v>0</v>
      </c>
      <c r="BA20" s="23">
        <f t="shared" si="4"/>
        <v>0</v>
      </c>
      <c r="BB20" s="509">
        <f t="shared" si="16"/>
        <v>0</v>
      </c>
      <c r="BC20" s="23">
        <f t="shared" si="17"/>
        <v>0</v>
      </c>
      <c r="BD20" s="257">
        <f t="shared" si="17"/>
        <v>0</v>
      </c>
      <c r="BE20" s="257">
        <f t="shared" si="18"/>
        <v>0</v>
      </c>
      <c r="BF20" s="257">
        <f t="shared" si="19"/>
        <v>0</v>
      </c>
      <c r="BG20" s="23">
        <f t="shared" si="19"/>
        <v>0</v>
      </c>
      <c r="BH20" s="257">
        <f t="shared" si="20"/>
        <v>0</v>
      </c>
      <c r="BI20" s="23">
        <f t="shared" si="21"/>
        <v>0</v>
      </c>
      <c r="BJ20" s="23">
        <f t="shared" si="21"/>
        <v>0</v>
      </c>
      <c r="BK20" s="257">
        <f t="shared" si="22"/>
        <v>0</v>
      </c>
      <c r="BL20" s="23">
        <f t="shared" si="23"/>
        <v>0</v>
      </c>
      <c r="BM20" s="23">
        <f t="shared" si="5"/>
        <v>0</v>
      </c>
      <c r="BN20" s="257">
        <f t="shared" si="5"/>
        <v>0</v>
      </c>
      <c r="BO20" s="466">
        <f t="shared" si="24"/>
        <v>0</v>
      </c>
      <c r="BP20" s="472"/>
      <c r="BQ20" s="23">
        <f t="shared" si="6"/>
        <v>0</v>
      </c>
      <c r="BR20" s="23">
        <f t="shared" si="7"/>
        <v>0</v>
      </c>
      <c r="BS20" s="466">
        <f t="shared" si="25"/>
        <v>0</v>
      </c>
      <c r="BT20" s="509">
        <f t="shared" si="9"/>
        <v>0</v>
      </c>
      <c r="BU20" s="466">
        <f t="shared" si="10"/>
        <v>0</v>
      </c>
    </row>
    <row r="21" spans="1:73" ht="12.6" customHeight="1">
      <c r="A21" s="254" t="s">
        <v>111</v>
      </c>
      <c r="B21" s="129">
        <f t="shared" si="0"/>
        <v>0</v>
      </c>
      <c r="C21" s="257"/>
      <c r="D21" s="129">
        <v>0</v>
      </c>
      <c r="E21" s="129"/>
      <c r="F21" s="129"/>
      <c r="G21" s="509">
        <f t="shared" si="35"/>
        <v>0</v>
      </c>
      <c r="H21" s="129"/>
      <c r="I21" s="129"/>
      <c r="J21" s="129"/>
      <c r="K21" s="509">
        <f t="shared" si="36"/>
        <v>0</v>
      </c>
      <c r="L21" s="129"/>
      <c r="M21" s="129"/>
      <c r="N21" s="129"/>
      <c r="O21" s="509">
        <f t="shared" si="28"/>
        <v>0</v>
      </c>
      <c r="P21" s="129"/>
      <c r="Q21" s="129"/>
      <c r="R21" s="129"/>
      <c r="S21" s="509">
        <f t="shared" si="38"/>
        <v>0</v>
      </c>
      <c r="T21" s="129"/>
      <c r="U21" s="129"/>
      <c r="V21" s="129">
        <f t="shared" si="12"/>
        <v>0</v>
      </c>
      <c r="W21" s="509">
        <f t="shared" si="13"/>
        <v>0</v>
      </c>
      <c r="X21" s="129"/>
      <c r="Y21" s="129"/>
      <c r="Z21" s="129"/>
      <c r="AA21" s="509">
        <f t="shared" si="14"/>
        <v>0</v>
      </c>
      <c r="AB21" s="129"/>
      <c r="AC21" s="129"/>
      <c r="AD21" s="129"/>
      <c r="AE21" s="509">
        <f t="shared" si="29"/>
        <v>0</v>
      </c>
      <c r="AF21" s="129"/>
      <c r="AG21" s="129"/>
      <c r="AH21" s="129"/>
      <c r="AI21" s="509">
        <f t="shared" si="30"/>
        <v>0</v>
      </c>
      <c r="AJ21" s="129"/>
      <c r="AK21" s="129"/>
      <c r="AL21" s="129"/>
      <c r="AM21" s="509">
        <f t="shared" si="31"/>
        <v>0</v>
      </c>
      <c r="AN21" s="129"/>
      <c r="AO21" s="129"/>
      <c r="AP21" s="129"/>
      <c r="AQ21" s="509">
        <f t="shared" si="32"/>
        <v>0</v>
      </c>
      <c r="AR21" s="129"/>
      <c r="AS21" s="129"/>
      <c r="AT21" s="129"/>
      <c r="AU21" s="509">
        <f t="shared" si="33"/>
        <v>0</v>
      </c>
      <c r="AV21" s="129"/>
      <c r="AW21" s="129"/>
      <c r="AX21" s="129"/>
      <c r="AY21" s="509">
        <f t="shared" si="34"/>
        <v>0</v>
      </c>
      <c r="AZ21" s="23">
        <f t="shared" si="4"/>
        <v>0</v>
      </c>
      <c r="BA21" s="23">
        <f t="shared" si="4"/>
        <v>0</v>
      </c>
      <c r="BB21" s="509">
        <f t="shared" si="16"/>
        <v>0</v>
      </c>
      <c r="BC21" s="23">
        <f t="shared" si="17"/>
        <v>0</v>
      </c>
      <c r="BD21" s="257">
        <f t="shared" si="17"/>
        <v>0</v>
      </c>
      <c r="BE21" s="257">
        <f t="shared" si="18"/>
        <v>0</v>
      </c>
      <c r="BF21" s="257">
        <f t="shared" si="19"/>
        <v>0</v>
      </c>
      <c r="BG21" s="23">
        <f t="shared" si="19"/>
        <v>0</v>
      </c>
      <c r="BH21" s="257">
        <f t="shared" si="20"/>
        <v>0</v>
      </c>
      <c r="BI21" s="23">
        <f t="shared" si="21"/>
        <v>0</v>
      </c>
      <c r="BJ21" s="23">
        <f t="shared" si="21"/>
        <v>0</v>
      </c>
      <c r="BK21" s="257">
        <f t="shared" si="22"/>
        <v>0</v>
      </c>
      <c r="BL21" s="23">
        <f t="shared" si="23"/>
        <v>0</v>
      </c>
      <c r="BM21" s="23">
        <f t="shared" si="5"/>
        <v>0</v>
      </c>
      <c r="BN21" s="257">
        <f t="shared" si="5"/>
        <v>0</v>
      </c>
      <c r="BO21" s="466">
        <f t="shared" si="24"/>
        <v>0</v>
      </c>
      <c r="BP21" s="472"/>
      <c r="BQ21" s="23">
        <f t="shared" si="6"/>
        <v>0</v>
      </c>
      <c r="BR21" s="23">
        <f t="shared" si="7"/>
        <v>0</v>
      </c>
      <c r="BS21" s="466">
        <f t="shared" si="25"/>
        <v>0</v>
      </c>
      <c r="BT21" s="509">
        <f t="shared" si="9"/>
        <v>0</v>
      </c>
      <c r="BU21" s="466">
        <f t="shared" si="10"/>
        <v>0</v>
      </c>
    </row>
    <row r="22" spans="1:73" ht="12.6" customHeight="1">
      <c r="A22" s="254" t="s">
        <v>106</v>
      </c>
      <c r="B22" s="129">
        <f t="shared" si="0"/>
        <v>0</v>
      </c>
      <c r="C22" s="257"/>
      <c r="D22" s="129">
        <v>0</v>
      </c>
      <c r="E22" s="129"/>
      <c r="F22" s="129"/>
      <c r="G22" s="509">
        <f t="shared" si="35"/>
        <v>0</v>
      </c>
      <c r="H22" s="129"/>
      <c r="I22" s="129"/>
      <c r="J22" s="129"/>
      <c r="K22" s="509">
        <f t="shared" si="36"/>
        <v>0</v>
      </c>
      <c r="L22" s="129"/>
      <c r="M22" s="129"/>
      <c r="N22" s="129"/>
      <c r="O22" s="509">
        <f t="shared" si="28"/>
        <v>0</v>
      </c>
      <c r="P22" s="129"/>
      <c r="Q22" s="129"/>
      <c r="R22" s="129"/>
      <c r="S22" s="509">
        <f t="shared" si="38"/>
        <v>0</v>
      </c>
      <c r="T22" s="129"/>
      <c r="U22" s="129"/>
      <c r="V22" s="129">
        <f>(T22*U22)/10^6</f>
        <v>0</v>
      </c>
      <c r="W22" s="509">
        <f t="shared" si="13"/>
        <v>0</v>
      </c>
      <c r="X22" s="129"/>
      <c r="Y22" s="129"/>
      <c r="Z22" s="129"/>
      <c r="AA22" s="509">
        <f t="shared" si="14"/>
        <v>0</v>
      </c>
      <c r="AB22" s="129"/>
      <c r="AC22" s="129"/>
      <c r="AD22" s="129"/>
      <c r="AE22" s="509">
        <f t="shared" si="29"/>
        <v>0</v>
      </c>
      <c r="AF22" s="129"/>
      <c r="AG22" s="129"/>
      <c r="AH22" s="129"/>
      <c r="AI22" s="509">
        <f t="shared" si="30"/>
        <v>0</v>
      </c>
      <c r="AJ22" s="129"/>
      <c r="AK22" s="129"/>
      <c r="AL22" s="129"/>
      <c r="AM22" s="509">
        <f t="shared" si="31"/>
        <v>0</v>
      </c>
      <c r="AN22" s="129"/>
      <c r="AO22" s="129"/>
      <c r="AP22" s="129"/>
      <c r="AQ22" s="509">
        <f t="shared" si="32"/>
        <v>0</v>
      </c>
      <c r="AR22" s="129"/>
      <c r="AS22" s="129"/>
      <c r="AT22" s="129"/>
      <c r="AU22" s="509">
        <f t="shared" si="33"/>
        <v>0</v>
      </c>
      <c r="AV22" s="129"/>
      <c r="AW22" s="129"/>
      <c r="AX22" s="129"/>
      <c r="AY22" s="509">
        <f t="shared" si="34"/>
        <v>0</v>
      </c>
      <c r="AZ22" s="23">
        <f t="shared" si="4"/>
        <v>0</v>
      </c>
      <c r="BA22" s="23">
        <f t="shared" si="4"/>
        <v>0</v>
      </c>
      <c r="BB22" s="509">
        <f t="shared" si="16"/>
        <v>0</v>
      </c>
      <c r="BC22" s="23">
        <f t="shared" si="17"/>
        <v>0</v>
      </c>
      <c r="BD22" s="257">
        <f t="shared" si="17"/>
        <v>0</v>
      </c>
      <c r="BE22" s="257">
        <f t="shared" si="18"/>
        <v>0</v>
      </c>
      <c r="BF22" s="257">
        <f t="shared" si="19"/>
        <v>0</v>
      </c>
      <c r="BG22" s="23">
        <f t="shared" si="19"/>
        <v>0</v>
      </c>
      <c r="BH22" s="257">
        <f t="shared" si="20"/>
        <v>0</v>
      </c>
      <c r="BI22" s="23">
        <f t="shared" si="21"/>
        <v>0</v>
      </c>
      <c r="BJ22" s="23">
        <f t="shared" si="21"/>
        <v>0</v>
      </c>
      <c r="BK22" s="257">
        <f t="shared" si="22"/>
        <v>0</v>
      </c>
      <c r="BL22" s="23">
        <f t="shared" si="23"/>
        <v>0</v>
      </c>
      <c r="BM22" s="23">
        <f t="shared" si="23"/>
        <v>0</v>
      </c>
      <c r="BN22" s="257">
        <f t="shared" si="23"/>
        <v>0</v>
      </c>
      <c r="BO22" s="466">
        <f t="shared" si="24"/>
        <v>0</v>
      </c>
      <c r="BP22" s="472"/>
      <c r="BQ22" s="23">
        <f t="shared" si="6"/>
        <v>0</v>
      </c>
      <c r="BR22" s="23">
        <f t="shared" si="7"/>
        <v>0</v>
      </c>
      <c r="BS22" s="466">
        <f t="shared" si="25"/>
        <v>0</v>
      </c>
      <c r="BT22" s="509">
        <f t="shared" si="9"/>
        <v>0</v>
      </c>
      <c r="BU22" s="466">
        <f t="shared" si="10"/>
        <v>0</v>
      </c>
    </row>
    <row r="23" spans="1:73" ht="12.6" customHeight="1">
      <c r="A23" s="503" t="s">
        <v>243</v>
      </c>
      <c r="B23" s="129">
        <f t="shared" si="0"/>
        <v>0</v>
      </c>
      <c r="C23" s="257">
        <v>143.1</v>
      </c>
      <c r="D23" s="129">
        <v>0</v>
      </c>
      <c r="E23" s="129"/>
      <c r="F23" s="129"/>
      <c r="G23" s="509">
        <f t="shared" si="35"/>
        <v>0</v>
      </c>
      <c r="H23" s="129"/>
      <c r="I23" s="129"/>
      <c r="J23" s="129"/>
      <c r="K23" s="509">
        <f t="shared" si="36"/>
        <v>0</v>
      </c>
      <c r="L23" s="129"/>
      <c r="M23" s="129"/>
      <c r="N23" s="129"/>
      <c r="O23" s="509">
        <f t="shared" si="28"/>
        <v>0</v>
      </c>
      <c r="P23" s="129"/>
      <c r="Q23" s="129">
        <v>10</v>
      </c>
      <c r="R23" s="129">
        <v>1894</v>
      </c>
      <c r="S23" s="509">
        <f t="shared" si="38"/>
        <v>0.117800552</v>
      </c>
      <c r="T23" s="129"/>
      <c r="U23" s="129">
        <v>8</v>
      </c>
      <c r="V23" s="129">
        <v>1711</v>
      </c>
      <c r="W23" s="509">
        <f t="shared" si="13"/>
        <v>8.3951637600000018E-2</v>
      </c>
      <c r="X23" s="129"/>
      <c r="Y23" s="129"/>
      <c r="Z23" s="129"/>
      <c r="AA23" s="509">
        <f t="shared" si="14"/>
        <v>0</v>
      </c>
      <c r="AB23" s="129"/>
      <c r="AC23" s="129"/>
      <c r="AD23" s="129"/>
      <c r="AE23" s="509">
        <f t="shared" si="29"/>
        <v>0</v>
      </c>
      <c r="AF23" s="129"/>
      <c r="AG23" s="129"/>
      <c r="AH23" s="129"/>
      <c r="AI23" s="509">
        <f t="shared" si="30"/>
        <v>0</v>
      </c>
      <c r="AJ23" s="129"/>
      <c r="AK23" s="129"/>
      <c r="AL23" s="129"/>
      <c r="AM23" s="509">
        <f t="shared" si="31"/>
        <v>0</v>
      </c>
      <c r="AN23" s="129"/>
      <c r="AO23" s="129"/>
      <c r="AP23" s="129"/>
      <c r="AQ23" s="509">
        <f t="shared" si="32"/>
        <v>0</v>
      </c>
      <c r="AR23" s="129"/>
      <c r="AS23" s="129"/>
      <c r="AT23" s="129"/>
      <c r="AU23" s="509">
        <f t="shared" si="33"/>
        <v>0</v>
      </c>
      <c r="AV23" s="129"/>
      <c r="AW23" s="129"/>
      <c r="AX23" s="129"/>
      <c r="AY23" s="509">
        <f t="shared" si="34"/>
        <v>0</v>
      </c>
      <c r="AZ23" s="23">
        <f t="shared" si="4"/>
        <v>0</v>
      </c>
      <c r="BA23" s="23">
        <f t="shared" si="4"/>
        <v>0</v>
      </c>
      <c r="BB23" s="509">
        <f t="shared" si="16"/>
        <v>0</v>
      </c>
      <c r="BC23" s="23">
        <f t="shared" si="17"/>
        <v>0</v>
      </c>
      <c r="BD23" s="257">
        <f t="shared" si="17"/>
        <v>18</v>
      </c>
      <c r="BE23" s="257">
        <f t="shared" si="18"/>
        <v>0.20175218960000002</v>
      </c>
      <c r="BF23" s="257">
        <f t="shared" si="19"/>
        <v>0</v>
      </c>
      <c r="BG23" s="23">
        <f t="shared" si="19"/>
        <v>0</v>
      </c>
      <c r="BH23" s="257">
        <f t="shared" si="20"/>
        <v>0</v>
      </c>
      <c r="BI23" s="23">
        <f t="shared" si="21"/>
        <v>0</v>
      </c>
      <c r="BJ23" s="23">
        <f t="shared" si="21"/>
        <v>0</v>
      </c>
      <c r="BK23" s="257">
        <f t="shared" si="22"/>
        <v>0</v>
      </c>
      <c r="BL23" s="23">
        <f t="shared" si="23"/>
        <v>0</v>
      </c>
      <c r="BM23" s="23">
        <f t="shared" si="23"/>
        <v>18</v>
      </c>
      <c r="BN23" s="257">
        <f t="shared" si="23"/>
        <v>0.20175218960000002</v>
      </c>
      <c r="BO23" s="466">
        <f t="shared" si="24"/>
        <v>0</v>
      </c>
      <c r="BP23" s="472"/>
      <c r="BQ23" s="23">
        <f t="shared" si="6"/>
        <v>0</v>
      </c>
      <c r="BR23" s="23">
        <f t="shared" si="7"/>
        <v>18</v>
      </c>
      <c r="BS23" s="466">
        <f t="shared" si="25"/>
        <v>0</v>
      </c>
      <c r="BT23" s="509">
        <f t="shared" si="9"/>
        <v>0.20175218960000002</v>
      </c>
      <c r="BU23" s="466">
        <f t="shared" si="10"/>
        <v>0</v>
      </c>
    </row>
    <row r="24" spans="1:73" ht="12.6" customHeight="1">
      <c r="A24" s="482" t="s">
        <v>73</v>
      </c>
      <c r="B24" s="457">
        <f>SUM(B6:B23)</f>
        <v>5401</v>
      </c>
      <c r="C24" s="458"/>
      <c r="D24" s="457">
        <f>SUM(D6:D23)</f>
        <v>145</v>
      </c>
      <c r="E24" s="457">
        <f>SUM(E6:E23)</f>
        <v>175</v>
      </c>
      <c r="F24" s="457"/>
      <c r="G24" s="511">
        <f>SUM(G6:G23)</f>
        <v>1.1184953429</v>
      </c>
      <c r="H24" s="457">
        <f>SUM(H6:H23)</f>
        <v>150</v>
      </c>
      <c r="I24" s="457">
        <f>SUM(I6:I23)</f>
        <v>80</v>
      </c>
      <c r="J24" s="457"/>
      <c r="K24" s="511">
        <f>SUM(K6:K23)</f>
        <v>0.582598752</v>
      </c>
      <c r="L24" s="457">
        <f>SUM(L6:L23)</f>
        <v>570</v>
      </c>
      <c r="M24" s="457">
        <f>SUM(M6:M23)</f>
        <v>74</v>
      </c>
      <c r="N24" s="457"/>
      <c r="O24" s="511">
        <f>SUM(O6:O23)</f>
        <v>0.35381610080000003</v>
      </c>
      <c r="P24" s="457">
        <f>SUM(P6:P23)</f>
        <v>650</v>
      </c>
      <c r="Q24" s="457">
        <f>SUM(Q6:Q23)</f>
        <v>78</v>
      </c>
      <c r="R24" s="457"/>
      <c r="S24" s="511">
        <f>SUM(S6:S23)</f>
        <v>0.59230015280000003</v>
      </c>
      <c r="T24" s="457">
        <f>SUM(T6:T23)</f>
        <v>420</v>
      </c>
      <c r="U24" s="457">
        <f>SUM(U6:U23)</f>
        <v>107</v>
      </c>
      <c r="V24" s="457"/>
      <c r="W24" s="511">
        <f>SUM(W6:W23)</f>
        <v>0.79457622750000012</v>
      </c>
      <c r="X24" s="457">
        <f>SUM(X6:X23)</f>
        <v>550</v>
      </c>
      <c r="Y24" s="457">
        <f>SUM(Y6:Y23)</f>
        <v>60</v>
      </c>
      <c r="Z24" s="457"/>
      <c r="AA24" s="511">
        <f>SUM(AA6:AA23)</f>
        <v>0.51271738830000002</v>
      </c>
      <c r="AB24" s="457">
        <f>SUM(AB6:AB23)</f>
        <v>565</v>
      </c>
      <c r="AC24" s="457">
        <f>SUM(AC6:AC23)</f>
        <v>76</v>
      </c>
      <c r="AD24" s="457"/>
      <c r="AE24" s="511">
        <f>SUM(AE6:AE23)</f>
        <v>0.64012095005340286</v>
      </c>
      <c r="AF24" s="457">
        <f>SUM(AF6:AF23)</f>
        <v>465</v>
      </c>
      <c r="AG24" s="457">
        <f>SUM(AG6:AG23)</f>
        <v>0</v>
      </c>
      <c r="AH24" s="457"/>
      <c r="AI24" s="511">
        <f>SUM(AI6:AI23)</f>
        <v>0</v>
      </c>
      <c r="AJ24" s="457">
        <f>SUM(AJ6:AJ23)</f>
        <v>611</v>
      </c>
      <c r="AK24" s="457">
        <f>SUM(AK6:AK23)</f>
        <v>20</v>
      </c>
      <c r="AL24" s="457"/>
      <c r="AM24" s="511">
        <f>SUM(AM6:AM23)</f>
        <v>0.17463252385634406</v>
      </c>
      <c r="AN24" s="457">
        <f>SUM(AN6:AN23)</f>
        <v>515</v>
      </c>
      <c r="AO24" s="457">
        <f>SUM(AO6:AO23)</f>
        <v>75</v>
      </c>
      <c r="AP24" s="457"/>
      <c r="AQ24" s="511">
        <f>SUM(AQ6:AQ23)</f>
        <v>0.42207451884915492</v>
      </c>
      <c r="AR24" s="457">
        <f>SUM(AR6:AR23)</f>
        <v>455</v>
      </c>
      <c r="AS24" s="457">
        <f>SUM(AS6:AS23)</f>
        <v>94</v>
      </c>
      <c r="AT24" s="457"/>
      <c r="AU24" s="511">
        <f>SUM(AU6:AU23)</f>
        <v>0.45527041435152882</v>
      </c>
      <c r="AV24" s="457">
        <f>SUM(AV6:AV23)</f>
        <v>305</v>
      </c>
      <c r="AW24" s="457">
        <f>SUM(AW6:AW23)</f>
        <v>0</v>
      </c>
      <c r="AX24" s="457"/>
      <c r="AY24" s="511">
        <f>SUM(AY6:AY23)</f>
        <v>0</v>
      </c>
      <c r="AZ24" s="457">
        <f t="shared" ref="AZ24:BN24" si="39">SUM(AZ6:AZ23)</f>
        <v>865</v>
      </c>
      <c r="BA24" s="458">
        <f t="shared" si="39"/>
        <v>329</v>
      </c>
      <c r="BB24" s="511">
        <f t="shared" si="39"/>
        <v>2.0549101957000002</v>
      </c>
      <c r="BC24" s="457">
        <f t="shared" si="39"/>
        <v>1620</v>
      </c>
      <c r="BD24" s="458">
        <f t="shared" si="39"/>
        <v>245</v>
      </c>
      <c r="BE24" s="457">
        <f t="shared" si="39"/>
        <v>1.8995937686000004</v>
      </c>
      <c r="BF24" s="457">
        <f t="shared" si="39"/>
        <v>1641</v>
      </c>
      <c r="BG24" s="457">
        <f t="shared" si="39"/>
        <v>96</v>
      </c>
      <c r="BH24" s="458">
        <f t="shared" si="39"/>
        <v>0.81475347390974695</v>
      </c>
      <c r="BI24" s="457">
        <f t="shared" si="39"/>
        <v>1275</v>
      </c>
      <c r="BJ24" s="457">
        <f t="shared" si="39"/>
        <v>169</v>
      </c>
      <c r="BK24" s="458">
        <f t="shared" si="39"/>
        <v>0.87734493320068374</v>
      </c>
      <c r="BL24" s="457">
        <f t="shared" si="39"/>
        <v>5401</v>
      </c>
      <c r="BM24" s="457">
        <f t="shared" si="39"/>
        <v>839</v>
      </c>
      <c r="BN24" s="457">
        <f t="shared" si="39"/>
        <v>5.646602371410431</v>
      </c>
      <c r="BO24" s="525">
        <f>IFERROR(BM24/BL24,0)</f>
        <v>0.15534160340677652</v>
      </c>
      <c r="BP24" s="472"/>
      <c r="BQ24" s="457">
        <f t="shared" ref="BQ24:BR24" si="40">SUM(BQ6:BQ23)</f>
        <v>2485</v>
      </c>
      <c r="BR24" s="457">
        <f t="shared" si="40"/>
        <v>574</v>
      </c>
      <c r="BS24" s="467">
        <f t="shared" si="8"/>
        <v>0.23098591549295774</v>
      </c>
      <c r="BT24" s="511">
        <f t="shared" ref="BT24" si="41">SUM(BT6:BT23)</f>
        <v>3.9545039643000002</v>
      </c>
      <c r="BU24" s="525">
        <f t="shared" si="10"/>
        <v>0.1062766154415849</v>
      </c>
    </row>
    <row r="25" spans="1:73" s="31" customFormat="1" ht="12.6" customHeight="1">
      <c r="A25" s="504"/>
      <c r="B25" s="459"/>
      <c r="C25" s="460"/>
      <c r="D25" s="459"/>
      <c r="E25" s="459"/>
      <c r="F25" s="459"/>
      <c r="G25" s="512"/>
      <c r="H25" s="459"/>
      <c r="I25" s="459"/>
      <c r="J25" s="459"/>
      <c r="K25" s="512"/>
      <c r="L25" s="459"/>
      <c r="M25" s="459"/>
      <c r="N25" s="459"/>
      <c r="O25" s="512"/>
      <c r="P25" s="459"/>
      <c r="Q25" s="459"/>
      <c r="R25" s="459"/>
      <c r="S25" s="512"/>
      <c r="T25" s="459"/>
      <c r="U25" s="459"/>
      <c r="V25" s="459"/>
      <c r="W25" s="512"/>
      <c r="X25" s="459"/>
      <c r="Y25" s="459"/>
      <c r="Z25" s="459"/>
      <c r="AA25" s="512"/>
      <c r="AB25" s="459"/>
      <c r="AC25" s="459"/>
      <c r="AD25" s="459"/>
      <c r="AE25" s="512"/>
      <c r="AF25" s="459"/>
      <c r="AG25" s="459"/>
      <c r="AH25" s="459"/>
      <c r="AI25" s="512"/>
      <c r="AJ25" s="459"/>
      <c r="AK25" s="459"/>
      <c r="AL25" s="459"/>
      <c r="AM25" s="512"/>
      <c r="AN25" s="459"/>
      <c r="AO25" s="459"/>
      <c r="AP25" s="459"/>
      <c r="AQ25" s="512"/>
      <c r="AR25" s="459"/>
      <c r="AS25" s="459"/>
      <c r="AT25" s="459"/>
      <c r="AU25" s="512"/>
      <c r="AV25" s="459"/>
      <c r="AW25" s="459"/>
      <c r="AX25" s="459"/>
      <c r="AY25" s="512"/>
      <c r="AZ25" s="459"/>
      <c r="BA25" s="460"/>
      <c r="BB25" s="512"/>
      <c r="BC25" s="459"/>
      <c r="BD25" s="460"/>
      <c r="BE25" s="460"/>
      <c r="BF25" s="460"/>
      <c r="BG25" s="459"/>
      <c r="BH25" s="460"/>
      <c r="BI25" s="459"/>
      <c r="BJ25" s="459"/>
      <c r="BK25" s="460"/>
      <c r="BL25" s="459"/>
      <c r="BM25" s="459"/>
      <c r="BN25" s="460"/>
      <c r="BO25" s="526">
        <f t="shared" ref="BO25:BO80" si="42">IFERROR(BL25/BK25,0)</f>
        <v>0</v>
      </c>
      <c r="BP25" s="473"/>
      <c r="BQ25" s="522"/>
      <c r="BR25" s="492"/>
      <c r="BS25" s="468">
        <f t="shared" si="8"/>
        <v>0</v>
      </c>
      <c r="BT25" s="528"/>
      <c r="BU25" s="526">
        <f t="shared" si="10"/>
        <v>0</v>
      </c>
    </row>
    <row r="26" spans="1:73" ht="12.6" customHeight="1">
      <c r="A26" s="254" t="s">
        <v>33</v>
      </c>
      <c r="B26" s="129">
        <f t="shared" ref="B26:B53" si="43">D26+H26+L26+P26+T26+X26+AB26+AF26+AJ26+AN26+AR26+AV26</f>
        <v>572</v>
      </c>
      <c r="C26" s="257">
        <v>48.428571428571431</v>
      </c>
      <c r="D26" s="129"/>
      <c r="E26" s="129"/>
      <c r="F26" s="129"/>
      <c r="G26" s="509">
        <f t="shared" ref="G26:G53" si="44">E26*(F26-C26)*66.47/10^7</f>
        <v>0</v>
      </c>
      <c r="H26" s="129">
        <v>40</v>
      </c>
      <c r="I26" s="129"/>
      <c r="J26" s="129"/>
      <c r="K26" s="509">
        <f t="shared" ref="K26:K53" si="45">I26*(J26-C26)*66.91/10^7</f>
        <v>0</v>
      </c>
      <c r="L26" s="129">
        <v>60</v>
      </c>
      <c r="M26" s="129">
        <v>20</v>
      </c>
      <c r="N26" s="129">
        <v>5230</v>
      </c>
      <c r="O26" s="509">
        <f t="shared" ref="O26:O53" si="46">M26*(N26-C26)*67.28/10^7</f>
        <v>0.69723225142857148</v>
      </c>
      <c r="P26" s="129">
        <v>60</v>
      </c>
      <c r="Q26" s="129"/>
      <c r="R26" s="129"/>
      <c r="S26" s="509">
        <f>Q26*(R26-C26)*67.28/10^7</f>
        <v>0</v>
      </c>
      <c r="T26" s="129">
        <v>52</v>
      </c>
      <c r="U26" s="129">
        <v>20</v>
      </c>
      <c r="V26" s="129">
        <v>5205</v>
      </c>
      <c r="W26" s="509">
        <f t="shared" ref="W26:W53" si="47">U26*(V26-C26)*66.93/10^7</f>
        <v>0.69025865142857146</v>
      </c>
      <c r="X26" s="129">
        <v>40</v>
      </c>
      <c r="Y26" s="129">
        <v>158</v>
      </c>
      <c r="Z26" s="129">
        <v>4960</v>
      </c>
      <c r="AA26" s="509">
        <f t="shared" ref="AA26:AA53" si="48">Y26*(Z26-C26)*66.69/10^7</f>
        <v>5.1753326374285713</v>
      </c>
      <c r="AB26" s="129">
        <v>60</v>
      </c>
      <c r="AC26" s="129">
        <v>100</v>
      </c>
      <c r="AD26" s="129">
        <v>4965</v>
      </c>
      <c r="AE26" s="509">
        <f t="shared" ref="AE26:AE53" si="49">AC26*(AD26-G26)*66.73/10^7</f>
        <v>3.3131445000000004</v>
      </c>
      <c r="AF26" s="129">
        <v>60</v>
      </c>
      <c r="AG26" s="129">
        <v>40</v>
      </c>
      <c r="AH26" s="129">
        <v>4850</v>
      </c>
      <c r="AI26" s="509">
        <f t="shared" ref="AI26:AI53" si="50">AG26*(AH26-K26)*67.58/10^7</f>
        <v>1.3110520000000001</v>
      </c>
      <c r="AJ26" s="129">
        <v>40</v>
      </c>
      <c r="AK26" s="129">
        <v>20</v>
      </c>
      <c r="AL26" s="129">
        <v>4970</v>
      </c>
      <c r="AM26" s="509">
        <f t="shared" ref="AM26:AM53" si="51">AK26*(AL26-O26)*67.91/10^7</f>
        <v>0.674930701915611</v>
      </c>
      <c r="AN26" s="129">
        <v>60</v>
      </c>
      <c r="AO26" s="129"/>
      <c r="AP26" s="129"/>
      <c r="AQ26" s="509">
        <f t="shared" ref="AQ26:AQ53" si="52">AO26*(AP26-S26)*68.01/10^7</f>
        <v>0</v>
      </c>
      <c r="AR26" s="129">
        <v>60</v>
      </c>
      <c r="AS26" s="129">
        <v>20</v>
      </c>
      <c r="AT26" s="129">
        <v>4740</v>
      </c>
      <c r="AU26" s="509">
        <f t="shared" ref="AU26:AU53" si="53">AS26*(AT26-W26)*67.01/10^7</f>
        <v>0.63516229153553549</v>
      </c>
      <c r="AV26" s="129">
        <v>40</v>
      </c>
      <c r="AW26" s="129"/>
      <c r="AX26" s="129"/>
      <c r="AY26" s="509">
        <f t="shared" ref="AY26:AY53" si="54">AW26*(AX26-AA26)*66.69/10^7</f>
        <v>0</v>
      </c>
      <c r="AZ26" s="23">
        <f t="shared" ref="AZ26:BA53" si="55">+D26+H26+L26</f>
        <v>100</v>
      </c>
      <c r="BA26" s="23">
        <f t="shared" si="55"/>
        <v>20</v>
      </c>
      <c r="BB26" s="509">
        <f t="shared" ref="BB26:BB53" si="56">+G26+K26+O26</f>
        <v>0.69723225142857148</v>
      </c>
      <c r="BC26" s="23">
        <f t="shared" ref="BC26:BD53" si="57">+P26+T26+X26</f>
        <v>152</v>
      </c>
      <c r="BD26" s="257">
        <f t="shared" si="57"/>
        <v>178</v>
      </c>
      <c r="BE26" s="257">
        <f t="shared" ref="BE26:BE53" si="58">S26+W26+AA26</f>
        <v>5.8655912888571429</v>
      </c>
      <c r="BF26" s="257">
        <f t="shared" ref="BF26:BG53" si="59">AB26+AF26+AJ26</f>
        <v>160</v>
      </c>
      <c r="BG26" s="23">
        <f t="shared" si="59"/>
        <v>160</v>
      </c>
      <c r="BH26" s="257">
        <f t="shared" ref="BH26:BH53" si="60">AE26+AI26+AM26</f>
        <v>5.2991272019156108</v>
      </c>
      <c r="BI26" s="23">
        <f t="shared" ref="BI26:BJ53" si="61">+AN26+AR26+AV26</f>
        <v>160</v>
      </c>
      <c r="BJ26" s="23">
        <f t="shared" si="61"/>
        <v>20</v>
      </c>
      <c r="BK26" s="257">
        <f t="shared" ref="BK26:BK53" si="62">AQ26+AU26+AY26</f>
        <v>0.63516229153553549</v>
      </c>
      <c r="BL26" s="23">
        <f t="shared" ref="BL26:BN53" si="63">AZ26+BC26+BF26+BI26</f>
        <v>572</v>
      </c>
      <c r="BM26" s="23">
        <f t="shared" si="63"/>
        <v>378</v>
      </c>
      <c r="BN26" s="257">
        <f t="shared" si="63"/>
        <v>12.497113033736863</v>
      </c>
      <c r="BO26" s="466">
        <f t="shared" ref="BO26:BO53" si="64">IFERROR(BM26/BL26,0)</f>
        <v>0.66083916083916083</v>
      </c>
      <c r="BP26" s="472"/>
      <c r="BQ26" s="23">
        <f t="shared" ref="BQ26:BQ53" si="65">D26+H26+L26+P26+T26+X26</f>
        <v>252</v>
      </c>
      <c r="BR26" s="23">
        <f t="shared" ref="BR26:BR53" si="66">E26+I26+M26+Q26+U26+Y26</f>
        <v>198</v>
      </c>
      <c r="BS26" s="466">
        <f t="shared" ref="BS26:BS53" si="67">IFERROR(BR26/BQ26,0)</f>
        <v>0.7857142857142857</v>
      </c>
      <c r="BT26" s="509">
        <f t="shared" ref="BT26:BT53" si="68">G26+K26+O26+S26+W26+AA26</f>
        <v>6.5628235402857147</v>
      </c>
      <c r="BU26" s="466">
        <f t="shared" si="10"/>
        <v>0.34615384615384615</v>
      </c>
    </row>
    <row r="27" spans="1:73" ht="12.6" customHeight="1">
      <c r="A27" s="254" t="s">
        <v>34</v>
      </c>
      <c r="B27" s="129">
        <f t="shared" si="43"/>
        <v>1900</v>
      </c>
      <c r="C27" s="257">
        <v>66.828571428571422</v>
      </c>
      <c r="D27" s="129">
        <v>160</v>
      </c>
      <c r="E27" s="129">
        <v>119</v>
      </c>
      <c r="F27" s="129">
        <v>3897</v>
      </c>
      <c r="G27" s="509">
        <f t="shared" si="44"/>
        <v>3.0296387887999998</v>
      </c>
      <c r="H27" s="129">
        <v>160</v>
      </c>
      <c r="I27" s="129">
        <v>139</v>
      </c>
      <c r="J27" s="129">
        <v>3967</v>
      </c>
      <c r="K27" s="509">
        <f t="shared" si="45"/>
        <v>3.627350536971429</v>
      </c>
      <c r="L27" s="129">
        <v>160</v>
      </c>
      <c r="M27" s="129">
        <v>119</v>
      </c>
      <c r="N27" s="129">
        <v>4480</v>
      </c>
      <c r="O27" s="509">
        <f t="shared" si="46"/>
        <v>3.5333262672000005</v>
      </c>
      <c r="P27" s="129">
        <v>160</v>
      </c>
      <c r="Q27" s="129">
        <v>138</v>
      </c>
      <c r="R27" s="129">
        <v>3895</v>
      </c>
      <c r="S27" s="509">
        <f>Q27*(R27-C27)*67.28/10^7</f>
        <v>3.5543193572571434</v>
      </c>
      <c r="T27" s="129">
        <v>160</v>
      </c>
      <c r="U27" s="129">
        <v>60</v>
      </c>
      <c r="V27" s="129">
        <v>4226</v>
      </c>
      <c r="W27" s="509">
        <f t="shared" si="47"/>
        <v>1.6702400622857145</v>
      </c>
      <c r="X27" s="129">
        <v>160</v>
      </c>
      <c r="Y27" s="129">
        <v>278</v>
      </c>
      <c r="Z27" s="129">
        <v>4175</v>
      </c>
      <c r="AA27" s="509">
        <f t="shared" si="48"/>
        <v>7.6164758814857159</v>
      </c>
      <c r="AB27" s="129">
        <v>160</v>
      </c>
      <c r="AC27" s="129">
        <v>159</v>
      </c>
      <c r="AD27" s="129">
        <v>3984</v>
      </c>
      <c r="AE27" s="509">
        <f t="shared" si="49"/>
        <v>4.2238374200376114</v>
      </c>
      <c r="AF27" s="129">
        <v>160</v>
      </c>
      <c r="AG27" s="129">
        <v>40</v>
      </c>
      <c r="AH27" s="129">
        <v>3930</v>
      </c>
      <c r="AI27" s="509">
        <f t="shared" si="50"/>
        <v>1.061377054602846</v>
      </c>
      <c r="AJ27" s="129">
        <v>160</v>
      </c>
      <c r="AK27" s="129">
        <v>99</v>
      </c>
      <c r="AL27" s="129">
        <v>3833</v>
      </c>
      <c r="AM27" s="509">
        <f t="shared" si="51"/>
        <v>2.5745849099506248</v>
      </c>
      <c r="AN27" s="129">
        <v>160</v>
      </c>
      <c r="AO27" s="129">
        <v>318</v>
      </c>
      <c r="AP27" s="129">
        <v>3730</v>
      </c>
      <c r="AQ27" s="509">
        <f t="shared" si="52"/>
        <v>8.0592511495483112</v>
      </c>
      <c r="AR27" s="129">
        <v>160</v>
      </c>
      <c r="AS27" s="129">
        <v>277</v>
      </c>
      <c r="AT27" s="129">
        <v>3783</v>
      </c>
      <c r="AU27" s="509">
        <f t="shared" si="53"/>
        <v>7.018817329811907</v>
      </c>
      <c r="AV27" s="129">
        <v>140</v>
      </c>
      <c r="AW27" s="129"/>
      <c r="AX27" s="129"/>
      <c r="AY27" s="509">
        <f t="shared" si="54"/>
        <v>0</v>
      </c>
      <c r="AZ27" s="23">
        <f t="shared" si="55"/>
        <v>480</v>
      </c>
      <c r="BA27" s="23">
        <f t="shared" si="55"/>
        <v>377</v>
      </c>
      <c r="BB27" s="509">
        <f t="shared" si="56"/>
        <v>10.19031559297143</v>
      </c>
      <c r="BC27" s="23">
        <f t="shared" si="57"/>
        <v>480</v>
      </c>
      <c r="BD27" s="257">
        <f t="shared" si="57"/>
        <v>476</v>
      </c>
      <c r="BE27" s="257">
        <f t="shared" si="58"/>
        <v>12.841035301028574</v>
      </c>
      <c r="BF27" s="257">
        <f t="shared" si="59"/>
        <v>480</v>
      </c>
      <c r="BG27" s="23">
        <f t="shared" si="59"/>
        <v>298</v>
      </c>
      <c r="BH27" s="257">
        <f t="shared" si="60"/>
        <v>7.8597993845910823</v>
      </c>
      <c r="BI27" s="23">
        <f t="shared" si="61"/>
        <v>460</v>
      </c>
      <c r="BJ27" s="23">
        <f t="shared" si="61"/>
        <v>595</v>
      </c>
      <c r="BK27" s="257">
        <f t="shared" si="62"/>
        <v>15.078068479360219</v>
      </c>
      <c r="BL27" s="23">
        <f t="shared" si="63"/>
        <v>1900</v>
      </c>
      <c r="BM27" s="23">
        <f t="shared" si="63"/>
        <v>1746</v>
      </c>
      <c r="BN27" s="257">
        <f t="shared" si="63"/>
        <v>45.96921875795131</v>
      </c>
      <c r="BO27" s="466">
        <f t="shared" si="64"/>
        <v>0.91894736842105262</v>
      </c>
      <c r="BP27" s="472"/>
      <c r="BQ27" s="23">
        <f t="shared" si="65"/>
        <v>960</v>
      </c>
      <c r="BR27" s="23">
        <f t="shared" si="66"/>
        <v>853</v>
      </c>
      <c r="BS27" s="466">
        <f t="shared" si="67"/>
        <v>0.88854166666666667</v>
      </c>
      <c r="BT27" s="509">
        <f t="shared" si="68"/>
        <v>23.031350894000003</v>
      </c>
      <c r="BU27" s="466">
        <f t="shared" si="10"/>
        <v>0.44894736842105265</v>
      </c>
    </row>
    <row r="28" spans="1:73" ht="12.6" customHeight="1">
      <c r="A28" s="254" t="s">
        <v>62</v>
      </c>
      <c r="B28" s="129">
        <f t="shared" si="43"/>
        <v>0</v>
      </c>
      <c r="C28" s="257">
        <v>0</v>
      </c>
      <c r="D28" s="129">
        <v>0</v>
      </c>
      <c r="E28" s="129"/>
      <c r="F28" s="129"/>
      <c r="G28" s="509">
        <f t="shared" si="44"/>
        <v>0</v>
      </c>
      <c r="H28" s="129"/>
      <c r="I28" s="129"/>
      <c r="J28" s="129"/>
      <c r="K28" s="509">
        <f t="shared" si="45"/>
        <v>0</v>
      </c>
      <c r="L28" s="129"/>
      <c r="M28" s="129"/>
      <c r="N28" s="129"/>
      <c r="O28" s="509">
        <f t="shared" si="46"/>
        <v>0</v>
      </c>
      <c r="P28" s="129"/>
      <c r="Q28" s="129"/>
      <c r="R28" s="129"/>
      <c r="S28" s="509">
        <f>Q28*(R28-C28)*67.28/10^7</f>
        <v>0</v>
      </c>
      <c r="T28" s="129"/>
      <c r="U28" s="129"/>
      <c r="V28" s="129">
        <f t="shared" ref="V28:V52" si="69">(T28*U28)/10^6</f>
        <v>0</v>
      </c>
      <c r="W28" s="509">
        <f t="shared" si="47"/>
        <v>0</v>
      </c>
      <c r="X28" s="129"/>
      <c r="Y28" s="129"/>
      <c r="Z28" s="129"/>
      <c r="AA28" s="509">
        <f t="shared" si="48"/>
        <v>0</v>
      </c>
      <c r="AB28" s="129"/>
      <c r="AC28" s="129"/>
      <c r="AD28" s="129"/>
      <c r="AE28" s="509">
        <f t="shared" si="49"/>
        <v>0</v>
      </c>
      <c r="AF28" s="129"/>
      <c r="AG28" s="129"/>
      <c r="AH28" s="129"/>
      <c r="AI28" s="509">
        <f t="shared" si="50"/>
        <v>0</v>
      </c>
      <c r="AJ28" s="129"/>
      <c r="AK28" s="129"/>
      <c r="AL28" s="129"/>
      <c r="AM28" s="509">
        <f t="shared" si="51"/>
        <v>0</v>
      </c>
      <c r="AN28" s="129"/>
      <c r="AO28" s="129"/>
      <c r="AP28" s="129"/>
      <c r="AQ28" s="509">
        <f t="shared" si="52"/>
        <v>0</v>
      </c>
      <c r="AR28" s="129"/>
      <c r="AS28" s="129"/>
      <c r="AT28" s="129"/>
      <c r="AU28" s="509">
        <f t="shared" si="53"/>
        <v>0</v>
      </c>
      <c r="AV28" s="129"/>
      <c r="AW28" s="129"/>
      <c r="AX28" s="129"/>
      <c r="AY28" s="509">
        <f t="shared" si="54"/>
        <v>0</v>
      </c>
      <c r="AZ28" s="23">
        <f t="shared" si="55"/>
        <v>0</v>
      </c>
      <c r="BA28" s="23">
        <f t="shared" si="55"/>
        <v>0</v>
      </c>
      <c r="BB28" s="509">
        <f t="shared" si="56"/>
        <v>0</v>
      </c>
      <c r="BC28" s="23">
        <f t="shared" si="57"/>
        <v>0</v>
      </c>
      <c r="BD28" s="257">
        <f t="shared" si="57"/>
        <v>0</v>
      </c>
      <c r="BE28" s="257">
        <f t="shared" si="58"/>
        <v>0</v>
      </c>
      <c r="BF28" s="257">
        <f t="shared" si="59"/>
        <v>0</v>
      </c>
      <c r="BG28" s="23">
        <f t="shared" si="59"/>
        <v>0</v>
      </c>
      <c r="BH28" s="257">
        <f t="shared" si="60"/>
        <v>0</v>
      </c>
      <c r="BI28" s="23">
        <f t="shared" si="61"/>
        <v>0</v>
      </c>
      <c r="BJ28" s="23">
        <f t="shared" si="61"/>
        <v>0</v>
      </c>
      <c r="BK28" s="257">
        <f t="shared" si="62"/>
        <v>0</v>
      </c>
      <c r="BL28" s="23">
        <f t="shared" si="63"/>
        <v>0</v>
      </c>
      <c r="BM28" s="23">
        <f t="shared" si="63"/>
        <v>0</v>
      </c>
      <c r="BN28" s="257">
        <f t="shared" si="63"/>
        <v>0</v>
      </c>
      <c r="BO28" s="466">
        <f t="shared" si="64"/>
        <v>0</v>
      </c>
      <c r="BP28" s="472"/>
      <c r="BQ28" s="23">
        <f t="shared" si="65"/>
        <v>0</v>
      </c>
      <c r="BR28" s="23">
        <f t="shared" si="66"/>
        <v>0</v>
      </c>
      <c r="BS28" s="466">
        <f t="shared" si="67"/>
        <v>0</v>
      </c>
      <c r="BT28" s="509">
        <f t="shared" si="68"/>
        <v>0</v>
      </c>
      <c r="BU28" s="466">
        <f t="shared" si="10"/>
        <v>0</v>
      </c>
    </row>
    <row r="29" spans="1:73" ht="12.6" customHeight="1">
      <c r="A29" s="254" t="s">
        <v>32</v>
      </c>
      <c r="B29" s="129">
        <f t="shared" si="43"/>
        <v>0</v>
      </c>
      <c r="C29" s="257">
        <v>48.428571428571431</v>
      </c>
      <c r="D29" s="129">
        <v>0</v>
      </c>
      <c r="E29" s="129"/>
      <c r="F29" s="129"/>
      <c r="G29" s="509">
        <f t="shared" si="44"/>
        <v>0</v>
      </c>
      <c r="H29" s="129"/>
      <c r="I29" s="129"/>
      <c r="J29" s="129"/>
      <c r="K29" s="509">
        <f t="shared" si="45"/>
        <v>0</v>
      </c>
      <c r="L29" s="129"/>
      <c r="M29" s="129"/>
      <c r="N29" s="129"/>
      <c r="O29" s="509">
        <f t="shared" si="46"/>
        <v>0</v>
      </c>
      <c r="P29" s="129"/>
      <c r="Q29" s="129"/>
      <c r="R29" s="129"/>
      <c r="S29" s="509">
        <f>Q29*(R29-C29)*67.28/10^7</f>
        <v>0</v>
      </c>
      <c r="T29" s="129"/>
      <c r="U29" s="129"/>
      <c r="V29" s="129">
        <f t="shared" si="69"/>
        <v>0</v>
      </c>
      <c r="W29" s="509">
        <f t="shared" si="47"/>
        <v>0</v>
      </c>
      <c r="X29" s="129"/>
      <c r="Y29" s="129"/>
      <c r="Z29" s="129"/>
      <c r="AA29" s="509">
        <f t="shared" si="48"/>
        <v>0</v>
      </c>
      <c r="AB29" s="129"/>
      <c r="AC29" s="129"/>
      <c r="AD29" s="129"/>
      <c r="AE29" s="509">
        <f t="shared" si="49"/>
        <v>0</v>
      </c>
      <c r="AF29" s="129"/>
      <c r="AG29" s="129"/>
      <c r="AH29" s="129"/>
      <c r="AI29" s="509">
        <f t="shared" si="50"/>
        <v>0</v>
      </c>
      <c r="AJ29" s="129"/>
      <c r="AK29" s="129"/>
      <c r="AL29" s="129"/>
      <c r="AM29" s="509">
        <f t="shared" si="51"/>
        <v>0</v>
      </c>
      <c r="AN29" s="129"/>
      <c r="AO29" s="129"/>
      <c r="AP29" s="129"/>
      <c r="AQ29" s="509">
        <f t="shared" si="52"/>
        <v>0</v>
      </c>
      <c r="AR29" s="129"/>
      <c r="AS29" s="129"/>
      <c r="AT29" s="129"/>
      <c r="AU29" s="509">
        <f t="shared" si="53"/>
        <v>0</v>
      </c>
      <c r="AV29" s="129"/>
      <c r="AW29" s="129"/>
      <c r="AX29" s="129"/>
      <c r="AY29" s="509">
        <f t="shared" si="54"/>
        <v>0</v>
      </c>
      <c r="AZ29" s="23">
        <f t="shared" si="55"/>
        <v>0</v>
      </c>
      <c r="BA29" s="23">
        <f t="shared" si="55"/>
        <v>0</v>
      </c>
      <c r="BB29" s="509">
        <f t="shared" si="56"/>
        <v>0</v>
      </c>
      <c r="BC29" s="23">
        <f t="shared" si="57"/>
        <v>0</v>
      </c>
      <c r="BD29" s="257">
        <f t="shared" si="57"/>
        <v>0</v>
      </c>
      <c r="BE29" s="257">
        <f t="shared" si="58"/>
        <v>0</v>
      </c>
      <c r="BF29" s="257">
        <f t="shared" si="59"/>
        <v>0</v>
      </c>
      <c r="BG29" s="23">
        <f t="shared" si="59"/>
        <v>0</v>
      </c>
      <c r="BH29" s="257">
        <f t="shared" si="60"/>
        <v>0</v>
      </c>
      <c r="BI29" s="23">
        <f t="shared" si="61"/>
        <v>0</v>
      </c>
      <c r="BJ29" s="23">
        <f t="shared" si="61"/>
        <v>0</v>
      </c>
      <c r="BK29" s="257">
        <f t="shared" si="62"/>
        <v>0</v>
      </c>
      <c r="BL29" s="23">
        <f t="shared" si="63"/>
        <v>0</v>
      </c>
      <c r="BM29" s="23">
        <f t="shared" si="63"/>
        <v>0</v>
      </c>
      <c r="BN29" s="257">
        <f t="shared" si="63"/>
        <v>0</v>
      </c>
      <c r="BO29" s="466">
        <f t="shared" si="64"/>
        <v>0</v>
      </c>
      <c r="BP29" s="472"/>
      <c r="BQ29" s="23">
        <f t="shared" si="65"/>
        <v>0</v>
      </c>
      <c r="BR29" s="23">
        <f t="shared" si="66"/>
        <v>0</v>
      </c>
      <c r="BS29" s="466">
        <f t="shared" si="67"/>
        <v>0</v>
      </c>
      <c r="BT29" s="509">
        <f t="shared" si="68"/>
        <v>0</v>
      </c>
      <c r="BU29" s="466">
        <f t="shared" si="10"/>
        <v>0</v>
      </c>
    </row>
    <row r="30" spans="1:73" ht="12.6" customHeight="1">
      <c r="A30" s="254" t="s">
        <v>31</v>
      </c>
      <c r="B30" s="129">
        <f t="shared" si="43"/>
        <v>613</v>
      </c>
      <c r="C30" s="257">
        <v>66.828571428571422</v>
      </c>
      <c r="D30" s="129">
        <v>40</v>
      </c>
      <c r="E30" s="129">
        <v>80</v>
      </c>
      <c r="F30" s="129">
        <v>3014</v>
      </c>
      <c r="G30" s="509">
        <f t="shared" si="44"/>
        <v>1.5671878788571429</v>
      </c>
      <c r="H30" s="129">
        <v>60</v>
      </c>
      <c r="I30" s="129"/>
      <c r="J30" s="129"/>
      <c r="K30" s="509">
        <f t="shared" si="45"/>
        <v>0</v>
      </c>
      <c r="L30" s="129">
        <v>33</v>
      </c>
      <c r="M30" s="129"/>
      <c r="N30" s="129"/>
      <c r="O30" s="509">
        <f t="shared" si="46"/>
        <v>0</v>
      </c>
      <c r="P30" s="129">
        <v>60</v>
      </c>
      <c r="Q30" s="129">
        <v>98</v>
      </c>
      <c r="R30" s="129">
        <v>3039</v>
      </c>
      <c r="S30" s="509">
        <f>Q30*(R30-C30)*67.28/10^7</f>
        <v>1.9596833984000004</v>
      </c>
      <c r="T30" s="129">
        <v>60</v>
      </c>
      <c r="U30" s="129">
        <v>78</v>
      </c>
      <c r="V30" s="129">
        <v>3368</v>
      </c>
      <c r="W30" s="509">
        <f t="shared" si="47"/>
        <v>1.7233897489714287</v>
      </c>
      <c r="X30" s="129">
        <v>40</v>
      </c>
      <c r="Y30" s="129">
        <v>98</v>
      </c>
      <c r="Z30" s="129">
        <v>3053</v>
      </c>
      <c r="AA30" s="509">
        <f t="shared" si="48"/>
        <v>1.9516481712000002</v>
      </c>
      <c r="AB30" s="129">
        <v>60</v>
      </c>
      <c r="AC30" s="129">
        <v>98</v>
      </c>
      <c r="AD30" s="129">
        <v>3060</v>
      </c>
      <c r="AE30" s="509">
        <f t="shared" si="49"/>
        <v>2.0000743712178699</v>
      </c>
      <c r="AF30" s="129">
        <v>60</v>
      </c>
      <c r="AG30" s="129"/>
      <c r="AH30" s="129"/>
      <c r="AI30" s="509">
        <f t="shared" si="50"/>
        <v>0</v>
      </c>
      <c r="AJ30" s="129">
        <v>40</v>
      </c>
      <c r="AK30" s="129"/>
      <c r="AL30" s="129"/>
      <c r="AM30" s="509">
        <f t="shared" si="51"/>
        <v>0</v>
      </c>
      <c r="AN30" s="129">
        <v>60</v>
      </c>
      <c r="AO30" s="129">
        <v>40</v>
      </c>
      <c r="AP30" s="129">
        <v>3049</v>
      </c>
      <c r="AQ30" s="509">
        <f t="shared" si="52"/>
        <v>0.82891684772829932</v>
      </c>
      <c r="AR30" s="129">
        <v>60</v>
      </c>
      <c r="AS30" s="129"/>
      <c r="AT30" s="129"/>
      <c r="AU30" s="509">
        <f t="shared" si="53"/>
        <v>0</v>
      </c>
      <c r="AV30" s="129">
        <v>40</v>
      </c>
      <c r="AW30" s="129"/>
      <c r="AX30" s="129"/>
      <c r="AY30" s="509">
        <f t="shared" si="54"/>
        <v>0</v>
      </c>
      <c r="AZ30" s="23">
        <f t="shared" si="55"/>
        <v>133</v>
      </c>
      <c r="BA30" s="23">
        <f t="shared" si="55"/>
        <v>80</v>
      </c>
      <c r="BB30" s="509">
        <f t="shared" si="56"/>
        <v>1.5671878788571429</v>
      </c>
      <c r="BC30" s="23">
        <f t="shared" si="57"/>
        <v>160</v>
      </c>
      <c r="BD30" s="257">
        <f t="shared" si="57"/>
        <v>274</v>
      </c>
      <c r="BE30" s="257">
        <f t="shared" si="58"/>
        <v>5.6347213185714295</v>
      </c>
      <c r="BF30" s="257">
        <f t="shared" si="59"/>
        <v>160</v>
      </c>
      <c r="BG30" s="23">
        <f t="shared" si="59"/>
        <v>98</v>
      </c>
      <c r="BH30" s="257">
        <f t="shared" si="60"/>
        <v>2.0000743712178699</v>
      </c>
      <c r="BI30" s="23">
        <f t="shared" si="61"/>
        <v>160</v>
      </c>
      <c r="BJ30" s="23">
        <f t="shared" si="61"/>
        <v>40</v>
      </c>
      <c r="BK30" s="257">
        <f t="shared" si="62"/>
        <v>0.82891684772829932</v>
      </c>
      <c r="BL30" s="23">
        <f t="shared" si="63"/>
        <v>613</v>
      </c>
      <c r="BM30" s="23">
        <f t="shared" si="63"/>
        <v>492</v>
      </c>
      <c r="BN30" s="257">
        <f t="shared" si="63"/>
        <v>10.030900416374742</v>
      </c>
      <c r="BO30" s="466">
        <f t="shared" si="64"/>
        <v>0.80261011419249595</v>
      </c>
      <c r="BP30" s="472"/>
      <c r="BQ30" s="23">
        <f t="shared" si="65"/>
        <v>293</v>
      </c>
      <c r="BR30" s="23">
        <f t="shared" si="66"/>
        <v>354</v>
      </c>
      <c r="BS30" s="466">
        <f t="shared" si="67"/>
        <v>1.2081911262798635</v>
      </c>
      <c r="BT30" s="509">
        <f t="shared" si="68"/>
        <v>7.2019091974285727</v>
      </c>
      <c r="BU30" s="466">
        <f t="shared" si="10"/>
        <v>0.57748776508972266</v>
      </c>
    </row>
    <row r="31" spans="1:73" ht="12.6" customHeight="1">
      <c r="A31" s="254" t="s">
        <v>35</v>
      </c>
      <c r="B31" s="129">
        <f t="shared" si="43"/>
        <v>0</v>
      </c>
      <c r="C31" s="257"/>
      <c r="D31" s="129">
        <v>0</v>
      </c>
      <c r="E31" s="129"/>
      <c r="F31" s="129"/>
      <c r="G31" s="509">
        <f t="shared" si="44"/>
        <v>0</v>
      </c>
      <c r="H31" s="129"/>
      <c r="I31" s="129"/>
      <c r="J31" s="129"/>
      <c r="K31" s="509">
        <f t="shared" si="45"/>
        <v>0</v>
      </c>
      <c r="L31" s="129"/>
      <c r="M31" s="129"/>
      <c r="N31" s="129"/>
      <c r="O31" s="509">
        <f t="shared" si="46"/>
        <v>0</v>
      </c>
      <c r="P31" s="129"/>
      <c r="Q31" s="129"/>
      <c r="R31" s="129"/>
      <c r="S31" s="509">
        <f t="shared" ref="S31:S53" si="70">Q31*(R31-C31)*67.28/10^7</f>
        <v>0</v>
      </c>
      <c r="T31" s="129"/>
      <c r="U31" s="129"/>
      <c r="V31" s="129">
        <f t="shared" si="69"/>
        <v>0</v>
      </c>
      <c r="W31" s="509">
        <f t="shared" si="47"/>
        <v>0</v>
      </c>
      <c r="X31" s="129"/>
      <c r="Y31" s="129"/>
      <c r="Z31" s="129"/>
      <c r="AA31" s="509">
        <f t="shared" si="48"/>
        <v>0</v>
      </c>
      <c r="AB31" s="129"/>
      <c r="AC31" s="129"/>
      <c r="AD31" s="129"/>
      <c r="AE31" s="509">
        <f t="shared" si="49"/>
        <v>0</v>
      </c>
      <c r="AF31" s="129"/>
      <c r="AG31" s="129"/>
      <c r="AH31" s="129"/>
      <c r="AI31" s="509">
        <f t="shared" si="50"/>
        <v>0</v>
      </c>
      <c r="AJ31" s="129"/>
      <c r="AK31" s="129"/>
      <c r="AL31" s="129"/>
      <c r="AM31" s="509">
        <f t="shared" si="51"/>
        <v>0</v>
      </c>
      <c r="AN31" s="129"/>
      <c r="AO31" s="129"/>
      <c r="AP31" s="129"/>
      <c r="AQ31" s="509">
        <f t="shared" si="52"/>
        <v>0</v>
      </c>
      <c r="AR31" s="129"/>
      <c r="AS31" s="129"/>
      <c r="AT31" s="129"/>
      <c r="AU31" s="509">
        <f t="shared" si="53"/>
        <v>0</v>
      </c>
      <c r="AV31" s="129"/>
      <c r="AW31" s="129"/>
      <c r="AX31" s="129"/>
      <c r="AY31" s="509">
        <f t="shared" si="54"/>
        <v>0</v>
      </c>
      <c r="AZ31" s="23">
        <f t="shared" si="55"/>
        <v>0</v>
      </c>
      <c r="BA31" s="23">
        <f t="shared" si="55"/>
        <v>0</v>
      </c>
      <c r="BB31" s="509">
        <f t="shared" si="56"/>
        <v>0</v>
      </c>
      <c r="BC31" s="23">
        <f t="shared" si="57"/>
        <v>0</v>
      </c>
      <c r="BD31" s="257">
        <f t="shared" si="57"/>
        <v>0</v>
      </c>
      <c r="BE31" s="257">
        <f t="shared" si="58"/>
        <v>0</v>
      </c>
      <c r="BF31" s="257">
        <f t="shared" si="59"/>
        <v>0</v>
      </c>
      <c r="BG31" s="23">
        <f t="shared" si="59"/>
        <v>0</v>
      </c>
      <c r="BH31" s="257">
        <f t="shared" si="60"/>
        <v>0</v>
      </c>
      <c r="BI31" s="23">
        <f t="shared" si="61"/>
        <v>0</v>
      </c>
      <c r="BJ31" s="23">
        <f t="shared" si="61"/>
        <v>0</v>
      </c>
      <c r="BK31" s="257">
        <f t="shared" si="62"/>
        <v>0</v>
      </c>
      <c r="BL31" s="23">
        <f t="shared" si="63"/>
        <v>0</v>
      </c>
      <c r="BM31" s="23">
        <f t="shared" si="63"/>
        <v>0</v>
      </c>
      <c r="BN31" s="257">
        <f t="shared" si="63"/>
        <v>0</v>
      </c>
      <c r="BO31" s="466">
        <f t="shared" si="64"/>
        <v>0</v>
      </c>
      <c r="BP31" s="472"/>
      <c r="BQ31" s="23">
        <f t="shared" si="65"/>
        <v>0</v>
      </c>
      <c r="BR31" s="23">
        <f t="shared" si="66"/>
        <v>0</v>
      </c>
      <c r="BS31" s="466">
        <f t="shared" si="67"/>
        <v>0</v>
      </c>
      <c r="BT31" s="509">
        <f t="shared" si="68"/>
        <v>0</v>
      </c>
      <c r="BU31" s="466">
        <f t="shared" si="10"/>
        <v>0</v>
      </c>
    </row>
    <row r="32" spans="1:73" ht="12.6" customHeight="1">
      <c r="A32" s="254" t="s">
        <v>83</v>
      </c>
      <c r="B32" s="129">
        <f t="shared" si="43"/>
        <v>0</v>
      </c>
      <c r="C32" s="257">
        <v>57.985714285714288</v>
      </c>
      <c r="D32" s="129">
        <v>0</v>
      </c>
      <c r="E32" s="129"/>
      <c r="F32" s="129"/>
      <c r="G32" s="509">
        <f t="shared" si="44"/>
        <v>0</v>
      </c>
      <c r="H32" s="129"/>
      <c r="I32" s="129"/>
      <c r="J32" s="129"/>
      <c r="K32" s="509">
        <f t="shared" si="45"/>
        <v>0</v>
      </c>
      <c r="L32" s="129"/>
      <c r="M32" s="129"/>
      <c r="N32" s="129"/>
      <c r="O32" s="509">
        <f t="shared" si="46"/>
        <v>0</v>
      </c>
      <c r="P32" s="129"/>
      <c r="Q32" s="129"/>
      <c r="R32" s="129"/>
      <c r="S32" s="509">
        <f t="shared" si="70"/>
        <v>0</v>
      </c>
      <c r="T32" s="129"/>
      <c r="U32" s="129"/>
      <c r="V32" s="129">
        <f t="shared" si="69"/>
        <v>0</v>
      </c>
      <c r="W32" s="509">
        <f t="shared" si="47"/>
        <v>0</v>
      </c>
      <c r="X32" s="129"/>
      <c r="Y32" s="129"/>
      <c r="Z32" s="129"/>
      <c r="AA32" s="509">
        <f t="shared" si="48"/>
        <v>0</v>
      </c>
      <c r="AB32" s="129"/>
      <c r="AC32" s="129"/>
      <c r="AD32" s="129"/>
      <c r="AE32" s="509">
        <f t="shared" si="49"/>
        <v>0</v>
      </c>
      <c r="AF32" s="129"/>
      <c r="AG32" s="129"/>
      <c r="AH32" s="129"/>
      <c r="AI32" s="509">
        <f t="shared" si="50"/>
        <v>0</v>
      </c>
      <c r="AJ32" s="129"/>
      <c r="AK32" s="129"/>
      <c r="AL32" s="129"/>
      <c r="AM32" s="509">
        <f t="shared" si="51"/>
        <v>0</v>
      </c>
      <c r="AN32" s="129"/>
      <c r="AO32" s="129"/>
      <c r="AP32" s="129"/>
      <c r="AQ32" s="509">
        <f t="shared" si="52"/>
        <v>0</v>
      </c>
      <c r="AR32" s="129"/>
      <c r="AS32" s="129"/>
      <c r="AT32" s="129"/>
      <c r="AU32" s="509">
        <f t="shared" si="53"/>
        <v>0</v>
      </c>
      <c r="AV32" s="129"/>
      <c r="AW32" s="129"/>
      <c r="AX32" s="129"/>
      <c r="AY32" s="509">
        <f t="shared" si="54"/>
        <v>0</v>
      </c>
      <c r="AZ32" s="23">
        <f t="shared" si="55"/>
        <v>0</v>
      </c>
      <c r="BA32" s="23">
        <f t="shared" si="55"/>
        <v>0</v>
      </c>
      <c r="BB32" s="509">
        <f t="shared" si="56"/>
        <v>0</v>
      </c>
      <c r="BC32" s="23">
        <f t="shared" si="57"/>
        <v>0</v>
      </c>
      <c r="BD32" s="257">
        <f t="shared" si="57"/>
        <v>0</v>
      </c>
      <c r="BE32" s="257">
        <f t="shared" si="58"/>
        <v>0</v>
      </c>
      <c r="BF32" s="257">
        <f t="shared" si="59"/>
        <v>0</v>
      </c>
      <c r="BG32" s="23">
        <f t="shared" si="59"/>
        <v>0</v>
      </c>
      <c r="BH32" s="257">
        <f t="shared" si="60"/>
        <v>0</v>
      </c>
      <c r="BI32" s="23">
        <f t="shared" si="61"/>
        <v>0</v>
      </c>
      <c r="BJ32" s="23">
        <f t="shared" si="61"/>
        <v>0</v>
      </c>
      <c r="BK32" s="257">
        <f t="shared" si="62"/>
        <v>0</v>
      </c>
      <c r="BL32" s="23">
        <f t="shared" si="63"/>
        <v>0</v>
      </c>
      <c r="BM32" s="23">
        <f t="shared" si="63"/>
        <v>0</v>
      </c>
      <c r="BN32" s="257">
        <f t="shared" si="63"/>
        <v>0</v>
      </c>
      <c r="BO32" s="466">
        <f t="shared" si="64"/>
        <v>0</v>
      </c>
      <c r="BP32" s="472"/>
      <c r="BQ32" s="23">
        <f t="shared" si="65"/>
        <v>0</v>
      </c>
      <c r="BR32" s="23">
        <f t="shared" si="66"/>
        <v>0</v>
      </c>
      <c r="BS32" s="466">
        <f t="shared" si="67"/>
        <v>0</v>
      </c>
      <c r="BT32" s="509">
        <f t="shared" si="68"/>
        <v>0</v>
      </c>
      <c r="BU32" s="466">
        <f t="shared" si="10"/>
        <v>0</v>
      </c>
    </row>
    <row r="33" spans="1:73" ht="12.6" customHeight="1">
      <c r="A33" s="254" t="s">
        <v>37</v>
      </c>
      <c r="B33" s="129">
        <f t="shared" si="43"/>
        <v>0</v>
      </c>
      <c r="C33" s="257"/>
      <c r="D33" s="129">
        <v>0</v>
      </c>
      <c r="E33" s="129"/>
      <c r="F33" s="129"/>
      <c r="G33" s="509">
        <f t="shared" si="44"/>
        <v>0</v>
      </c>
      <c r="H33" s="129"/>
      <c r="I33" s="129"/>
      <c r="J33" s="129"/>
      <c r="K33" s="509">
        <f t="shared" si="45"/>
        <v>0</v>
      </c>
      <c r="L33" s="129"/>
      <c r="M33" s="129"/>
      <c r="N33" s="129"/>
      <c r="O33" s="509">
        <f t="shared" si="46"/>
        <v>0</v>
      </c>
      <c r="P33" s="129"/>
      <c r="Q33" s="129"/>
      <c r="R33" s="129"/>
      <c r="S33" s="509">
        <f t="shared" si="70"/>
        <v>0</v>
      </c>
      <c r="T33" s="129"/>
      <c r="U33" s="129"/>
      <c r="V33" s="129">
        <f t="shared" si="69"/>
        <v>0</v>
      </c>
      <c r="W33" s="509">
        <f t="shared" si="47"/>
        <v>0</v>
      </c>
      <c r="X33" s="129"/>
      <c r="Y33" s="129"/>
      <c r="Z33" s="129"/>
      <c r="AA33" s="509">
        <f t="shared" si="48"/>
        <v>0</v>
      </c>
      <c r="AB33" s="129"/>
      <c r="AC33" s="129"/>
      <c r="AD33" s="129"/>
      <c r="AE33" s="509">
        <f t="shared" si="49"/>
        <v>0</v>
      </c>
      <c r="AF33" s="129"/>
      <c r="AG33" s="129"/>
      <c r="AH33" s="129"/>
      <c r="AI33" s="509">
        <f t="shared" si="50"/>
        <v>0</v>
      </c>
      <c r="AJ33" s="129"/>
      <c r="AK33" s="129"/>
      <c r="AL33" s="129"/>
      <c r="AM33" s="509">
        <f t="shared" si="51"/>
        <v>0</v>
      </c>
      <c r="AN33" s="129"/>
      <c r="AO33" s="129"/>
      <c r="AP33" s="129"/>
      <c r="AQ33" s="509">
        <f t="shared" si="52"/>
        <v>0</v>
      </c>
      <c r="AR33" s="129"/>
      <c r="AS33" s="129"/>
      <c r="AT33" s="129"/>
      <c r="AU33" s="509">
        <f t="shared" si="53"/>
        <v>0</v>
      </c>
      <c r="AV33" s="129"/>
      <c r="AW33" s="129"/>
      <c r="AX33" s="129"/>
      <c r="AY33" s="509">
        <f t="shared" si="54"/>
        <v>0</v>
      </c>
      <c r="AZ33" s="23">
        <f t="shared" si="55"/>
        <v>0</v>
      </c>
      <c r="BA33" s="23">
        <f t="shared" si="55"/>
        <v>0</v>
      </c>
      <c r="BB33" s="509">
        <f t="shared" si="56"/>
        <v>0</v>
      </c>
      <c r="BC33" s="23">
        <f t="shared" si="57"/>
        <v>0</v>
      </c>
      <c r="BD33" s="257">
        <f t="shared" si="57"/>
        <v>0</v>
      </c>
      <c r="BE33" s="257">
        <f t="shared" si="58"/>
        <v>0</v>
      </c>
      <c r="BF33" s="257">
        <f t="shared" si="59"/>
        <v>0</v>
      </c>
      <c r="BG33" s="23">
        <f t="shared" si="59"/>
        <v>0</v>
      </c>
      <c r="BH33" s="257">
        <f t="shared" si="60"/>
        <v>0</v>
      </c>
      <c r="BI33" s="23">
        <f t="shared" si="61"/>
        <v>0</v>
      </c>
      <c r="BJ33" s="23">
        <f t="shared" si="61"/>
        <v>0</v>
      </c>
      <c r="BK33" s="257">
        <f t="shared" si="62"/>
        <v>0</v>
      </c>
      <c r="BL33" s="23">
        <f t="shared" si="63"/>
        <v>0</v>
      </c>
      <c r="BM33" s="23">
        <f t="shared" si="63"/>
        <v>0</v>
      </c>
      <c r="BN33" s="257">
        <f t="shared" si="63"/>
        <v>0</v>
      </c>
      <c r="BO33" s="466">
        <f t="shared" si="64"/>
        <v>0</v>
      </c>
      <c r="BP33" s="472"/>
      <c r="BQ33" s="23">
        <f t="shared" si="65"/>
        <v>0</v>
      </c>
      <c r="BR33" s="23">
        <f t="shared" si="66"/>
        <v>0</v>
      </c>
      <c r="BS33" s="466">
        <f t="shared" si="67"/>
        <v>0</v>
      </c>
      <c r="BT33" s="509">
        <f t="shared" si="68"/>
        <v>0</v>
      </c>
      <c r="BU33" s="466">
        <f t="shared" si="10"/>
        <v>0</v>
      </c>
    </row>
    <row r="34" spans="1:73" ht="12.6" customHeight="1">
      <c r="A34" s="254" t="s">
        <v>38</v>
      </c>
      <c r="B34" s="129">
        <f t="shared" si="43"/>
        <v>0</v>
      </c>
      <c r="C34" s="257"/>
      <c r="D34" s="129">
        <v>0</v>
      </c>
      <c r="E34" s="129"/>
      <c r="F34" s="129"/>
      <c r="G34" s="509">
        <f t="shared" si="44"/>
        <v>0</v>
      </c>
      <c r="H34" s="129"/>
      <c r="I34" s="129"/>
      <c r="J34" s="129"/>
      <c r="K34" s="509">
        <f t="shared" si="45"/>
        <v>0</v>
      </c>
      <c r="L34" s="129"/>
      <c r="M34" s="129"/>
      <c r="N34" s="129"/>
      <c r="O34" s="509">
        <f t="shared" si="46"/>
        <v>0</v>
      </c>
      <c r="P34" s="129"/>
      <c r="Q34" s="129"/>
      <c r="R34" s="129"/>
      <c r="S34" s="509">
        <f t="shared" si="70"/>
        <v>0</v>
      </c>
      <c r="T34" s="129"/>
      <c r="U34" s="129"/>
      <c r="V34" s="129">
        <f t="shared" si="69"/>
        <v>0</v>
      </c>
      <c r="W34" s="509">
        <f t="shared" si="47"/>
        <v>0</v>
      </c>
      <c r="X34" s="129"/>
      <c r="Y34" s="129"/>
      <c r="Z34" s="129"/>
      <c r="AA34" s="509">
        <f t="shared" si="48"/>
        <v>0</v>
      </c>
      <c r="AB34" s="129"/>
      <c r="AC34" s="129"/>
      <c r="AD34" s="129"/>
      <c r="AE34" s="509">
        <f t="shared" si="49"/>
        <v>0</v>
      </c>
      <c r="AF34" s="129"/>
      <c r="AG34" s="129"/>
      <c r="AH34" s="129"/>
      <c r="AI34" s="509">
        <f t="shared" si="50"/>
        <v>0</v>
      </c>
      <c r="AJ34" s="129"/>
      <c r="AK34" s="129"/>
      <c r="AL34" s="129"/>
      <c r="AM34" s="509">
        <f t="shared" si="51"/>
        <v>0</v>
      </c>
      <c r="AN34" s="129"/>
      <c r="AO34" s="129"/>
      <c r="AP34" s="129"/>
      <c r="AQ34" s="509">
        <f t="shared" si="52"/>
        <v>0</v>
      </c>
      <c r="AR34" s="129"/>
      <c r="AS34" s="129"/>
      <c r="AT34" s="129"/>
      <c r="AU34" s="509">
        <f t="shared" si="53"/>
        <v>0</v>
      </c>
      <c r="AV34" s="129"/>
      <c r="AW34" s="129"/>
      <c r="AX34" s="129"/>
      <c r="AY34" s="509">
        <f t="shared" si="54"/>
        <v>0</v>
      </c>
      <c r="AZ34" s="23">
        <f t="shared" si="55"/>
        <v>0</v>
      </c>
      <c r="BA34" s="23">
        <f t="shared" si="55"/>
        <v>0</v>
      </c>
      <c r="BB34" s="509">
        <f t="shared" si="56"/>
        <v>0</v>
      </c>
      <c r="BC34" s="23">
        <f t="shared" si="57"/>
        <v>0</v>
      </c>
      <c r="BD34" s="257">
        <f t="shared" si="57"/>
        <v>0</v>
      </c>
      <c r="BE34" s="257">
        <f t="shared" si="58"/>
        <v>0</v>
      </c>
      <c r="BF34" s="257">
        <f t="shared" si="59"/>
        <v>0</v>
      </c>
      <c r="BG34" s="23">
        <f t="shared" si="59"/>
        <v>0</v>
      </c>
      <c r="BH34" s="257">
        <f t="shared" si="60"/>
        <v>0</v>
      </c>
      <c r="BI34" s="23">
        <f t="shared" si="61"/>
        <v>0</v>
      </c>
      <c r="BJ34" s="23">
        <f t="shared" si="61"/>
        <v>0</v>
      </c>
      <c r="BK34" s="257">
        <f t="shared" si="62"/>
        <v>0</v>
      </c>
      <c r="BL34" s="23">
        <f t="shared" si="63"/>
        <v>0</v>
      </c>
      <c r="BM34" s="23">
        <f t="shared" si="63"/>
        <v>0</v>
      </c>
      <c r="BN34" s="257">
        <f t="shared" si="63"/>
        <v>0</v>
      </c>
      <c r="BO34" s="466">
        <f t="shared" si="64"/>
        <v>0</v>
      </c>
      <c r="BP34" s="472"/>
      <c r="BQ34" s="23">
        <f t="shared" si="65"/>
        <v>0</v>
      </c>
      <c r="BR34" s="23">
        <f t="shared" si="66"/>
        <v>0</v>
      </c>
      <c r="BS34" s="466">
        <f t="shared" si="67"/>
        <v>0</v>
      </c>
      <c r="BT34" s="509">
        <f t="shared" si="68"/>
        <v>0</v>
      </c>
      <c r="BU34" s="466">
        <f t="shared" si="10"/>
        <v>0</v>
      </c>
    </row>
    <row r="35" spans="1:73" ht="12.6" customHeight="1">
      <c r="A35" s="254" t="s">
        <v>39</v>
      </c>
      <c r="B35" s="129">
        <f t="shared" si="43"/>
        <v>0</v>
      </c>
      <c r="C35" s="257"/>
      <c r="D35" s="129">
        <v>0</v>
      </c>
      <c r="E35" s="129"/>
      <c r="F35" s="129"/>
      <c r="G35" s="509">
        <f t="shared" si="44"/>
        <v>0</v>
      </c>
      <c r="H35" s="129"/>
      <c r="I35" s="129"/>
      <c r="J35" s="129"/>
      <c r="K35" s="509">
        <f t="shared" si="45"/>
        <v>0</v>
      </c>
      <c r="L35" s="129"/>
      <c r="M35" s="129"/>
      <c r="N35" s="129"/>
      <c r="O35" s="509">
        <f t="shared" si="46"/>
        <v>0</v>
      </c>
      <c r="P35" s="129"/>
      <c r="Q35" s="129"/>
      <c r="R35" s="129"/>
      <c r="S35" s="509">
        <f t="shared" si="70"/>
        <v>0</v>
      </c>
      <c r="T35" s="129"/>
      <c r="U35" s="129"/>
      <c r="V35" s="129">
        <f t="shared" si="69"/>
        <v>0</v>
      </c>
      <c r="W35" s="509">
        <f t="shared" si="47"/>
        <v>0</v>
      </c>
      <c r="X35" s="129"/>
      <c r="Y35" s="129"/>
      <c r="Z35" s="129"/>
      <c r="AA35" s="509">
        <f t="shared" si="48"/>
        <v>0</v>
      </c>
      <c r="AB35" s="129"/>
      <c r="AC35" s="129"/>
      <c r="AD35" s="129"/>
      <c r="AE35" s="509">
        <f t="shared" si="49"/>
        <v>0</v>
      </c>
      <c r="AF35" s="129"/>
      <c r="AG35" s="129"/>
      <c r="AH35" s="129"/>
      <c r="AI35" s="509">
        <f t="shared" si="50"/>
        <v>0</v>
      </c>
      <c r="AJ35" s="129"/>
      <c r="AK35" s="129"/>
      <c r="AL35" s="129"/>
      <c r="AM35" s="509">
        <f t="shared" si="51"/>
        <v>0</v>
      </c>
      <c r="AN35" s="129"/>
      <c r="AO35" s="129"/>
      <c r="AP35" s="129"/>
      <c r="AQ35" s="509">
        <f t="shared" si="52"/>
        <v>0</v>
      </c>
      <c r="AR35" s="129"/>
      <c r="AS35" s="129"/>
      <c r="AT35" s="129"/>
      <c r="AU35" s="509">
        <f t="shared" si="53"/>
        <v>0</v>
      </c>
      <c r="AV35" s="129"/>
      <c r="AW35" s="129"/>
      <c r="AX35" s="129"/>
      <c r="AY35" s="509">
        <f t="shared" si="54"/>
        <v>0</v>
      </c>
      <c r="AZ35" s="23">
        <f t="shared" si="55"/>
        <v>0</v>
      </c>
      <c r="BA35" s="23">
        <f t="shared" si="55"/>
        <v>0</v>
      </c>
      <c r="BB35" s="509">
        <f t="shared" si="56"/>
        <v>0</v>
      </c>
      <c r="BC35" s="23">
        <f t="shared" si="57"/>
        <v>0</v>
      </c>
      <c r="BD35" s="257">
        <f t="shared" si="57"/>
        <v>0</v>
      </c>
      <c r="BE35" s="257">
        <f t="shared" si="58"/>
        <v>0</v>
      </c>
      <c r="BF35" s="257">
        <f t="shared" si="59"/>
        <v>0</v>
      </c>
      <c r="BG35" s="23">
        <f t="shared" si="59"/>
        <v>0</v>
      </c>
      <c r="BH35" s="257">
        <f t="shared" si="60"/>
        <v>0</v>
      </c>
      <c r="BI35" s="23">
        <f t="shared" si="61"/>
        <v>0</v>
      </c>
      <c r="BJ35" s="23">
        <f t="shared" si="61"/>
        <v>0</v>
      </c>
      <c r="BK35" s="257">
        <f t="shared" si="62"/>
        <v>0</v>
      </c>
      <c r="BL35" s="23">
        <f t="shared" si="63"/>
        <v>0</v>
      </c>
      <c r="BM35" s="23">
        <f t="shared" si="63"/>
        <v>0</v>
      </c>
      <c r="BN35" s="257">
        <f t="shared" si="63"/>
        <v>0</v>
      </c>
      <c r="BO35" s="466">
        <f t="shared" si="64"/>
        <v>0</v>
      </c>
      <c r="BP35" s="472"/>
      <c r="BQ35" s="23">
        <f t="shared" si="65"/>
        <v>0</v>
      </c>
      <c r="BR35" s="23">
        <f t="shared" si="66"/>
        <v>0</v>
      </c>
      <c r="BS35" s="466">
        <f t="shared" si="67"/>
        <v>0</v>
      </c>
      <c r="BT35" s="509">
        <f t="shared" si="68"/>
        <v>0</v>
      </c>
      <c r="BU35" s="466">
        <f t="shared" si="10"/>
        <v>0</v>
      </c>
    </row>
    <row r="36" spans="1:73" ht="12.6" customHeight="1">
      <c r="A36" s="254" t="s">
        <v>11</v>
      </c>
      <c r="B36" s="129">
        <f t="shared" si="43"/>
        <v>0</v>
      </c>
      <c r="C36" s="257">
        <v>18.399999999999999</v>
      </c>
      <c r="D36" s="129">
        <v>0</v>
      </c>
      <c r="E36" s="129"/>
      <c r="F36" s="129"/>
      <c r="G36" s="509">
        <f t="shared" si="44"/>
        <v>0</v>
      </c>
      <c r="H36" s="129"/>
      <c r="I36" s="129"/>
      <c r="J36" s="129"/>
      <c r="K36" s="509">
        <f t="shared" si="45"/>
        <v>0</v>
      </c>
      <c r="L36" s="129"/>
      <c r="M36" s="129"/>
      <c r="N36" s="129"/>
      <c r="O36" s="509">
        <f t="shared" si="46"/>
        <v>0</v>
      </c>
      <c r="P36" s="129"/>
      <c r="Q36" s="129"/>
      <c r="R36" s="129"/>
      <c r="S36" s="509">
        <f t="shared" si="70"/>
        <v>0</v>
      </c>
      <c r="T36" s="129"/>
      <c r="U36" s="129"/>
      <c r="V36" s="129">
        <f t="shared" si="69"/>
        <v>0</v>
      </c>
      <c r="W36" s="509">
        <f t="shared" si="47"/>
        <v>0</v>
      </c>
      <c r="X36" s="129"/>
      <c r="Y36" s="129"/>
      <c r="Z36" s="129"/>
      <c r="AA36" s="509">
        <f t="shared" si="48"/>
        <v>0</v>
      </c>
      <c r="AB36" s="129"/>
      <c r="AC36" s="129"/>
      <c r="AD36" s="129"/>
      <c r="AE36" s="509">
        <f t="shared" si="49"/>
        <v>0</v>
      </c>
      <c r="AF36" s="129"/>
      <c r="AG36" s="129"/>
      <c r="AH36" s="129"/>
      <c r="AI36" s="509">
        <f t="shared" si="50"/>
        <v>0</v>
      </c>
      <c r="AJ36" s="129"/>
      <c r="AK36" s="129"/>
      <c r="AL36" s="129"/>
      <c r="AM36" s="509">
        <f t="shared" si="51"/>
        <v>0</v>
      </c>
      <c r="AN36" s="129"/>
      <c r="AO36" s="129"/>
      <c r="AP36" s="129"/>
      <c r="AQ36" s="509">
        <f t="shared" si="52"/>
        <v>0</v>
      </c>
      <c r="AR36" s="129"/>
      <c r="AS36" s="129"/>
      <c r="AT36" s="129"/>
      <c r="AU36" s="509">
        <f t="shared" si="53"/>
        <v>0</v>
      </c>
      <c r="AV36" s="129"/>
      <c r="AW36" s="129"/>
      <c r="AX36" s="129"/>
      <c r="AY36" s="509">
        <f t="shared" si="54"/>
        <v>0</v>
      </c>
      <c r="AZ36" s="23">
        <f t="shared" si="55"/>
        <v>0</v>
      </c>
      <c r="BA36" s="23">
        <f t="shared" si="55"/>
        <v>0</v>
      </c>
      <c r="BB36" s="509">
        <f t="shared" si="56"/>
        <v>0</v>
      </c>
      <c r="BC36" s="23">
        <f t="shared" si="57"/>
        <v>0</v>
      </c>
      <c r="BD36" s="257">
        <f t="shared" si="57"/>
        <v>0</v>
      </c>
      <c r="BE36" s="257">
        <f t="shared" si="58"/>
        <v>0</v>
      </c>
      <c r="BF36" s="257">
        <f t="shared" si="59"/>
        <v>0</v>
      </c>
      <c r="BG36" s="23">
        <f t="shared" si="59"/>
        <v>0</v>
      </c>
      <c r="BH36" s="257">
        <f t="shared" si="60"/>
        <v>0</v>
      </c>
      <c r="BI36" s="23">
        <f t="shared" si="61"/>
        <v>0</v>
      </c>
      <c r="BJ36" s="23">
        <f t="shared" si="61"/>
        <v>0</v>
      </c>
      <c r="BK36" s="257">
        <f t="shared" si="62"/>
        <v>0</v>
      </c>
      <c r="BL36" s="23">
        <f t="shared" si="63"/>
        <v>0</v>
      </c>
      <c r="BM36" s="23">
        <f t="shared" si="63"/>
        <v>0</v>
      </c>
      <c r="BN36" s="257">
        <f t="shared" si="63"/>
        <v>0</v>
      </c>
      <c r="BO36" s="466">
        <f t="shared" si="64"/>
        <v>0</v>
      </c>
      <c r="BP36" s="472"/>
      <c r="BQ36" s="23">
        <f t="shared" si="65"/>
        <v>0</v>
      </c>
      <c r="BR36" s="23">
        <f t="shared" si="66"/>
        <v>0</v>
      </c>
      <c r="BS36" s="466">
        <f t="shared" si="67"/>
        <v>0</v>
      </c>
      <c r="BT36" s="509">
        <f t="shared" si="68"/>
        <v>0</v>
      </c>
      <c r="BU36" s="466">
        <f t="shared" si="10"/>
        <v>0</v>
      </c>
    </row>
    <row r="37" spans="1:73" ht="12.6" customHeight="1">
      <c r="A37" s="254" t="s">
        <v>87</v>
      </c>
      <c r="B37" s="129">
        <f t="shared" si="43"/>
        <v>0</v>
      </c>
      <c r="C37" s="257"/>
      <c r="D37" s="129">
        <v>0</v>
      </c>
      <c r="E37" s="129"/>
      <c r="F37" s="129"/>
      <c r="G37" s="509">
        <f t="shared" si="44"/>
        <v>0</v>
      </c>
      <c r="H37" s="129"/>
      <c r="I37" s="129"/>
      <c r="J37" s="129"/>
      <c r="K37" s="509">
        <f t="shared" si="45"/>
        <v>0</v>
      </c>
      <c r="L37" s="129"/>
      <c r="M37" s="129"/>
      <c r="N37" s="129"/>
      <c r="O37" s="509">
        <f t="shared" si="46"/>
        <v>0</v>
      </c>
      <c r="P37" s="129"/>
      <c r="Q37" s="129"/>
      <c r="R37" s="129"/>
      <c r="S37" s="509">
        <f t="shared" si="70"/>
        <v>0</v>
      </c>
      <c r="T37" s="129"/>
      <c r="U37" s="129"/>
      <c r="V37" s="129">
        <f t="shared" si="69"/>
        <v>0</v>
      </c>
      <c r="W37" s="509">
        <f t="shared" si="47"/>
        <v>0</v>
      </c>
      <c r="X37" s="129"/>
      <c r="Y37" s="129"/>
      <c r="Z37" s="129"/>
      <c r="AA37" s="509">
        <f t="shared" si="48"/>
        <v>0</v>
      </c>
      <c r="AB37" s="129"/>
      <c r="AC37" s="129"/>
      <c r="AD37" s="129"/>
      <c r="AE37" s="509">
        <f t="shared" si="49"/>
        <v>0</v>
      </c>
      <c r="AF37" s="129"/>
      <c r="AG37" s="129"/>
      <c r="AH37" s="129"/>
      <c r="AI37" s="509">
        <f t="shared" si="50"/>
        <v>0</v>
      </c>
      <c r="AJ37" s="129"/>
      <c r="AK37" s="129"/>
      <c r="AL37" s="129"/>
      <c r="AM37" s="509">
        <f t="shared" si="51"/>
        <v>0</v>
      </c>
      <c r="AN37" s="129"/>
      <c r="AO37" s="129"/>
      <c r="AP37" s="129"/>
      <c r="AQ37" s="509">
        <f t="shared" si="52"/>
        <v>0</v>
      </c>
      <c r="AR37" s="129"/>
      <c r="AS37" s="129"/>
      <c r="AT37" s="129"/>
      <c r="AU37" s="509">
        <f t="shared" si="53"/>
        <v>0</v>
      </c>
      <c r="AV37" s="129"/>
      <c r="AW37" s="129"/>
      <c r="AX37" s="129"/>
      <c r="AY37" s="509">
        <f t="shared" si="54"/>
        <v>0</v>
      </c>
      <c r="AZ37" s="23">
        <f t="shared" si="55"/>
        <v>0</v>
      </c>
      <c r="BA37" s="23">
        <f t="shared" si="55"/>
        <v>0</v>
      </c>
      <c r="BB37" s="509">
        <f t="shared" si="56"/>
        <v>0</v>
      </c>
      <c r="BC37" s="23">
        <f t="shared" si="57"/>
        <v>0</v>
      </c>
      <c r="BD37" s="257">
        <f t="shared" si="57"/>
        <v>0</v>
      </c>
      <c r="BE37" s="257">
        <f t="shared" si="58"/>
        <v>0</v>
      </c>
      <c r="BF37" s="257">
        <f t="shared" si="59"/>
        <v>0</v>
      </c>
      <c r="BG37" s="23">
        <f t="shared" si="59"/>
        <v>0</v>
      </c>
      <c r="BH37" s="257">
        <f t="shared" si="60"/>
        <v>0</v>
      </c>
      <c r="BI37" s="23">
        <f t="shared" si="61"/>
        <v>0</v>
      </c>
      <c r="BJ37" s="23">
        <f t="shared" si="61"/>
        <v>0</v>
      </c>
      <c r="BK37" s="257">
        <f t="shared" si="62"/>
        <v>0</v>
      </c>
      <c r="BL37" s="23">
        <f t="shared" si="63"/>
        <v>0</v>
      </c>
      <c r="BM37" s="23">
        <f t="shared" si="63"/>
        <v>0</v>
      </c>
      <c r="BN37" s="257">
        <f t="shared" si="63"/>
        <v>0</v>
      </c>
      <c r="BO37" s="466">
        <f t="shared" si="64"/>
        <v>0</v>
      </c>
      <c r="BP37" s="472"/>
      <c r="BQ37" s="23">
        <f t="shared" si="65"/>
        <v>0</v>
      </c>
      <c r="BR37" s="23">
        <f t="shared" si="66"/>
        <v>0</v>
      </c>
      <c r="BS37" s="466">
        <f t="shared" si="67"/>
        <v>0</v>
      </c>
      <c r="BT37" s="509">
        <f t="shared" si="68"/>
        <v>0</v>
      </c>
      <c r="BU37" s="466">
        <f t="shared" si="10"/>
        <v>0</v>
      </c>
    </row>
    <row r="38" spans="1:73" ht="12.6" customHeight="1">
      <c r="A38" s="254" t="s">
        <v>86</v>
      </c>
      <c r="B38" s="129">
        <f t="shared" si="43"/>
        <v>0</v>
      </c>
      <c r="C38" s="257"/>
      <c r="D38" s="129">
        <v>0</v>
      </c>
      <c r="E38" s="129"/>
      <c r="F38" s="129"/>
      <c r="G38" s="509">
        <f t="shared" si="44"/>
        <v>0</v>
      </c>
      <c r="H38" s="129"/>
      <c r="I38" s="129">
        <v>20</v>
      </c>
      <c r="J38" s="129">
        <v>1071</v>
      </c>
      <c r="K38" s="509">
        <f t="shared" si="45"/>
        <v>0.14332122</v>
      </c>
      <c r="L38" s="129"/>
      <c r="M38" s="129"/>
      <c r="N38" s="129"/>
      <c r="O38" s="509">
        <f t="shared" si="46"/>
        <v>0</v>
      </c>
      <c r="P38" s="129"/>
      <c r="Q38" s="129"/>
      <c r="R38" s="129"/>
      <c r="S38" s="509">
        <f t="shared" si="70"/>
        <v>0</v>
      </c>
      <c r="T38" s="129"/>
      <c r="U38" s="129"/>
      <c r="V38" s="129">
        <f>(T38*U38)/10^6</f>
        <v>0</v>
      </c>
      <c r="W38" s="509">
        <f t="shared" si="47"/>
        <v>0</v>
      </c>
      <c r="X38" s="129"/>
      <c r="Y38" s="129"/>
      <c r="Z38" s="129"/>
      <c r="AA38" s="509">
        <f t="shared" si="48"/>
        <v>0</v>
      </c>
      <c r="AB38" s="129"/>
      <c r="AC38" s="129"/>
      <c r="AD38" s="129"/>
      <c r="AE38" s="509">
        <f t="shared" si="49"/>
        <v>0</v>
      </c>
      <c r="AF38" s="129"/>
      <c r="AG38" s="129"/>
      <c r="AH38" s="129"/>
      <c r="AI38" s="509">
        <f t="shared" si="50"/>
        <v>0</v>
      </c>
      <c r="AJ38" s="129"/>
      <c r="AK38" s="129"/>
      <c r="AL38" s="129"/>
      <c r="AM38" s="509">
        <f t="shared" si="51"/>
        <v>0</v>
      </c>
      <c r="AN38" s="129"/>
      <c r="AO38" s="129"/>
      <c r="AP38" s="129"/>
      <c r="AQ38" s="509">
        <f t="shared" si="52"/>
        <v>0</v>
      </c>
      <c r="AR38" s="129"/>
      <c r="AS38" s="129"/>
      <c r="AT38" s="129"/>
      <c r="AU38" s="509">
        <f t="shared" si="53"/>
        <v>0</v>
      </c>
      <c r="AV38" s="129"/>
      <c r="AW38" s="129"/>
      <c r="AX38" s="129"/>
      <c r="AY38" s="509">
        <f t="shared" si="54"/>
        <v>0</v>
      </c>
      <c r="AZ38" s="23">
        <f t="shared" si="55"/>
        <v>0</v>
      </c>
      <c r="BA38" s="23">
        <f t="shared" si="55"/>
        <v>20</v>
      </c>
      <c r="BB38" s="509">
        <f t="shared" si="56"/>
        <v>0.14332122</v>
      </c>
      <c r="BC38" s="23">
        <f t="shared" si="57"/>
        <v>0</v>
      </c>
      <c r="BD38" s="257">
        <f t="shared" si="57"/>
        <v>0</v>
      </c>
      <c r="BE38" s="257">
        <f t="shared" si="58"/>
        <v>0</v>
      </c>
      <c r="BF38" s="257">
        <f t="shared" si="59"/>
        <v>0</v>
      </c>
      <c r="BG38" s="23">
        <f t="shared" si="59"/>
        <v>0</v>
      </c>
      <c r="BH38" s="257">
        <f t="shared" si="60"/>
        <v>0</v>
      </c>
      <c r="BI38" s="23">
        <f t="shared" si="61"/>
        <v>0</v>
      </c>
      <c r="BJ38" s="23">
        <f t="shared" si="61"/>
        <v>0</v>
      </c>
      <c r="BK38" s="257">
        <f t="shared" si="62"/>
        <v>0</v>
      </c>
      <c r="BL38" s="23">
        <f t="shared" si="63"/>
        <v>0</v>
      </c>
      <c r="BM38" s="23">
        <f t="shared" si="63"/>
        <v>20</v>
      </c>
      <c r="BN38" s="257">
        <f t="shared" si="63"/>
        <v>0.14332122</v>
      </c>
      <c r="BO38" s="466">
        <f t="shared" si="64"/>
        <v>0</v>
      </c>
      <c r="BP38" s="472"/>
      <c r="BQ38" s="23">
        <f t="shared" si="65"/>
        <v>0</v>
      </c>
      <c r="BR38" s="23">
        <f t="shared" si="66"/>
        <v>20</v>
      </c>
      <c r="BS38" s="466">
        <f t="shared" si="67"/>
        <v>0</v>
      </c>
      <c r="BT38" s="509">
        <f t="shared" si="68"/>
        <v>0.14332122</v>
      </c>
      <c r="BU38" s="466">
        <f t="shared" ref="BU38:BU69" si="71">IFERROR(BR38/B38,0)</f>
        <v>0</v>
      </c>
    </row>
    <row r="39" spans="1:73" ht="12.6" customHeight="1">
      <c r="A39" s="254" t="s">
        <v>107</v>
      </c>
      <c r="B39" s="129">
        <f t="shared" si="43"/>
        <v>0</v>
      </c>
      <c r="C39" s="257"/>
      <c r="D39" s="129">
        <v>0</v>
      </c>
      <c r="E39" s="129"/>
      <c r="F39" s="129"/>
      <c r="G39" s="509">
        <f t="shared" si="44"/>
        <v>0</v>
      </c>
      <c r="H39" s="129"/>
      <c r="I39" s="129"/>
      <c r="J39" s="129"/>
      <c r="K39" s="509">
        <f t="shared" si="45"/>
        <v>0</v>
      </c>
      <c r="L39" s="129"/>
      <c r="M39" s="129"/>
      <c r="N39" s="129"/>
      <c r="O39" s="509">
        <f t="shared" si="46"/>
        <v>0</v>
      </c>
      <c r="P39" s="129"/>
      <c r="Q39" s="129"/>
      <c r="R39" s="129"/>
      <c r="S39" s="509">
        <f t="shared" si="70"/>
        <v>0</v>
      </c>
      <c r="T39" s="129"/>
      <c r="U39" s="129"/>
      <c r="V39" s="129">
        <f>(T39*U39)/10^6</f>
        <v>0</v>
      </c>
      <c r="W39" s="509">
        <f t="shared" si="47"/>
        <v>0</v>
      </c>
      <c r="X39" s="129"/>
      <c r="Y39" s="129"/>
      <c r="Z39" s="129"/>
      <c r="AA39" s="509">
        <f t="shared" si="48"/>
        <v>0</v>
      </c>
      <c r="AB39" s="129"/>
      <c r="AC39" s="129"/>
      <c r="AD39" s="129"/>
      <c r="AE39" s="509">
        <f t="shared" si="49"/>
        <v>0</v>
      </c>
      <c r="AF39" s="129"/>
      <c r="AG39" s="129"/>
      <c r="AH39" s="129"/>
      <c r="AI39" s="509">
        <f t="shared" si="50"/>
        <v>0</v>
      </c>
      <c r="AJ39" s="129"/>
      <c r="AK39" s="129"/>
      <c r="AL39" s="129"/>
      <c r="AM39" s="509">
        <f t="shared" si="51"/>
        <v>0</v>
      </c>
      <c r="AN39" s="129"/>
      <c r="AO39" s="129"/>
      <c r="AP39" s="129"/>
      <c r="AQ39" s="509">
        <f t="shared" si="52"/>
        <v>0</v>
      </c>
      <c r="AR39" s="129"/>
      <c r="AS39" s="129"/>
      <c r="AT39" s="129"/>
      <c r="AU39" s="509">
        <f t="shared" si="53"/>
        <v>0</v>
      </c>
      <c r="AV39" s="129"/>
      <c r="AW39" s="129"/>
      <c r="AX39" s="129"/>
      <c r="AY39" s="509">
        <f t="shared" si="54"/>
        <v>0</v>
      </c>
      <c r="AZ39" s="23">
        <f t="shared" si="55"/>
        <v>0</v>
      </c>
      <c r="BA39" s="23">
        <f t="shared" si="55"/>
        <v>0</v>
      </c>
      <c r="BB39" s="509">
        <f t="shared" si="56"/>
        <v>0</v>
      </c>
      <c r="BC39" s="23">
        <f t="shared" si="57"/>
        <v>0</v>
      </c>
      <c r="BD39" s="257">
        <f t="shared" si="57"/>
        <v>0</v>
      </c>
      <c r="BE39" s="257">
        <f t="shared" si="58"/>
        <v>0</v>
      </c>
      <c r="BF39" s="257">
        <f t="shared" si="59"/>
        <v>0</v>
      </c>
      <c r="BG39" s="23">
        <f t="shared" si="59"/>
        <v>0</v>
      </c>
      <c r="BH39" s="257">
        <f t="shared" si="60"/>
        <v>0</v>
      </c>
      <c r="BI39" s="23">
        <f t="shared" si="61"/>
        <v>0</v>
      </c>
      <c r="BJ39" s="23">
        <f t="shared" si="61"/>
        <v>0</v>
      </c>
      <c r="BK39" s="257">
        <f t="shared" si="62"/>
        <v>0</v>
      </c>
      <c r="BL39" s="23">
        <f t="shared" si="63"/>
        <v>0</v>
      </c>
      <c r="BM39" s="23">
        <f t="shared" si="63"/>
        <v>0</v>
      </c>
      <c r="BN39" s="257">
        <f t="shared" si="63"/>
        <v>0</v>
      </c>
      <c r="BO39" s="466">
        <f t="shared" si="64"/>
        <v>0</v>
      </c>
      <c r="BP39" s="472"/>
      <c r="BQ39" s="23">
        <f t="shared" si="65"/>
        <v>0</v>
      </c>
      <c r="BR39" s="23">
        <f t="shared" si="66"/>
        <v>0</v>
      </c>
      <c r="BS39" s="466">
        <f t="shared" si="67"/>
        <v>0</v>
      </c>
      <c r="BT39" s="509">
        <f t="shared" si="68"/>
        <v>0</v>
      </c>
      <c r="BU39" s="466">
        <f t="shared" si="71"/>
        <v>0</v>
      </c>
    </row>
    <row r="40" spans="1:73" ht="12.6" customHeight="1">
      <c r="A40" s="254" t="s">
        <v>40</v>
      </c>
      <c r="B40" s="129">
        <f t="shared" si="43"/>
        <v>0</v>
      </c>
      <c r="C40" s="257"/>
      <c r="D40" s="129">
        <v>0</v>
      </c>
      <c r="E40" s="129"/>
      <c r="F40" s="129"/>
      <c r="G40" s="509">
        <f t="shared" si="44"/>
        <v>0</v>
      </c>
      <c r="H40" s="129"/>
      <c r="I40" s="129"/>
      <c r="J40" s="129"/>
      <c r="K40" s="509">
        <f t="shared" si="45"/>
        <v>0</v>
      </c>
      <c r="L40" s="129"/>
      <c r="M40" s="129"/>
      <c r="N40" s="129"/>
      <c r="O40" s="509">
        <f t="shared" si="46"/>
        <v>0</v>
      </c>
      <c r="P40" s="129"/>
      <c r="Q40" s="129"/>
      <c r="R40" s="129"/>
      <c r="S40" s="509">
        <f t="shared" si="70"/>
        <v>0</v>
      </c>
      <c r="T40" s="129"/>
      <c r="U40" s="129">
        <v>14</v>
      </c>
      <c r="V40" s="129">
        <v>3098</v>
      </c>
      <c r="W40" s="509">
        <f>U40*(V40-2196)*66.93/10^7</f>
        <v>8.4519204000000001E-2</v>
      </c>
      <c r="X40" s="129"/>
      <c r="Y40" s="129"/>
      <c r="Z40" s="129"/>
      <c r="AA40" s="509">
        <f t="shared" si="48"/>
        <v>0</v>
      </c>
      <c r="AB40" s="129"/>
      <c r="AC40" s="129"/>
      <c r="AD40" s="129"/>
      <c r="AE40" s="509">
        <f t="shared" si="49"/>
        <v>0</v>
      </c>
      <c r="AF40" s="129"/>
      <c r="AG40" s="129"/>
      <c r="AH40" s="129"/>
      <c r="AI40" s="509">
        <f t="shared" si="50"/>
        <v>0</v>
      </c>
      <c r="AJ40" s="129"/>
      <c r="AK40" s="129"/>
      <c r="AL40" s="129"/>
      <c r="AM40" s="509">
        <f t="shared" si="51"/>
        <v>0</v>
      </c>
      <c r="AN40" s="129"/>
      <c r="AO40" s="129"/>
      <c r="AP40" s="129"/>
      <c r="AQ40" s="509">
        <f t="shared" si="52"/>
        <v>0</v>
      </c>
      <c r="AR40" s="129"/>
      <c r="AS40" s="129"/>
      <c r="AT40" s="129"/>
      <c r="AU40" s="509">
        <f t="shared" si="53"/>
        <v>0</v>
      </c>
      <c r="AV40" s="129"/>
      <c r="AW40" s="129"/>
      <c r="AX40" s="129"/>
      <c r="AY40" s="509">
        <f t="shared" si="54"/>
        <v>0</v>
      </c>
      <c r="AZ40" s="23">
        <f t="shared" si="55"/>
        <v>0</v>
      </c>
      <c r="BA40" s="23">
        <f t="shared" si="55"/>
        <v>0</v>
      </c>
      <c r="BB40" s="509">
        <f t="shared" si="56"/>
        <v>0</v>
      </c>
      <c r="BC40" s="23">
        <f t="shared" si="57"/>
        <v>0</v>
      </c>
      <c r="BD40" s="257">
        <f t="shared" si="57"/>
        <v>14</v>
      </c>
      <c r="BE40" s="257">
        <f t="shared" si="58"/>
        <v>8.4519204000000001E-2</v>
      </c>
      <c r="BF40" s="257">
        <f t="shared" si="59"/>
        <v>0</v>
      </c>
      <c r="BG40" s="23">
        <f t="shared" si="59"/>
        <v>0</v>
      </c>
      <c r="BH40" s="257">
        <f t="shared" si="60"/>
        <v>0</v>
      </c>
      <c r="BI40" s="23">
        <f t="shared" si="61"/>
        <v>0</v>
      </c>
      <c r="BJ40" s="23">
        <f t="shared" si="61"/>
        <v>0</v>
      </c>
      <c r="BK40" s="257">
        <f t="shared" si="62"/>
        <v>0</v>
      </c>
      <c r="BL40" s="23">
        <f t="shared" si="63"/>
        <v>0</v>
      </c>
      <c r="BM40" s="23">
        <f t="shared" si="63"/>
        <v>14</v>
      </c>
      <c r="BN40" s="257">
        <f t="shared" si="63"/>
        <v>8.4519204000000001E-2</v>
      </c>
      <c r="BO40" s="466">
        <f t="shared" si="64"/>
        <v>0</v>
      </c>
      <c r="BP40" s="472"/>
      <c r="BQ40" s="23">
        <f t="shared" si="65"/>
        <v>0</v>
      </c>
      <c r="BR40" s="23">
        <f t="shared" si="66"/>
        <v>14</v>
      </c>
      <c r="BS40" s="466">
        <f t="shared" si="67"/>
        <v>0</v>
      </c>
      <c r="BT40" s="509">
        <f t="shared" si="68"/>
        <v>8.4519204000000001E-2</v>
      </c>
      <c r="BU40" s="466">
        <f t="shared" si="71"/>
        <v>0</v>
      </c>
    </row>
    <row r="41" spans="1:73" ht="12.6" customHeight="1">
      <c r="A41" s="254" t="s">
        <v>30</v>
      </c>
      <c r="B41" s="129">
        <f t="shared" si="43"/>
        <v>0</v>
      </c>
      <c r="C41" s="257"/>
      <c r="D41" s="129">
        <v>0</v>
      </c>
      <c r="E41" s="129"/>
      <c r="F41" s="129"/>
      <c r="G41" s="509">
        <f t="shared" si="44"/>
        <v>0</v>
      </c>
      <c r="H41" s="129"/>
      <c r="I41" s="129"/>
      <c r="J41" s="129"/>
      <c r="K41" s="509">
        <f t="shared" si="45"/>
        <v>0</v>
      </c>
      <c r="L41" s="129"/>
      <c r="M41" s="129"/>
      <c r="N41" s="129"/>
      <c r="O41" s="509">
        <f t="shared" si="46"/>
        <v>0</v>
      </c>
      <c r="P41" s="129"/>
      <c r="Q41" s="129"/>
      <c r="R41" s="129"/>
      <c r="S41" s="509">
        <f t="shared" si="70"/>
        <v>0</v>
      </c>
      <c r="T41" s="129"/>
      <c r="U41" s="129"/>
      <c r="V41" s="129">
        <f t="shared" si="69"/>
        <v>0</v>
      </c>
      <c r="W41" s="509">
        <f t="shared" si="47"/>
        <v>0</v>
      </c>
      <c r="X41" s="129"/>
      <c r="Y41" s="129"/>
      <c r="Z41" s="129"/>
      <c r="AA41" s="509">
        <f t="shared" si="48"/>
        <v>0</v>
      </c>
      <c r="AB41" s="129"/>
      <c r="AC41" s="129"/>
      <c r="AD41" s="129"/>
      <c r="AE41" s="509">
        <f t="shared" si="49"/>
        <v>0</v>
      </c>
      <c r="AF41" s="129"/>
      <c r="AG41" s="129"/>
      <c r="AH41" s="129"/>
      <c r="AI41" s="509">
        <f t="shared" si="50"/>
        <v>0</v>
      </c>
      <c r="AJ41" s="129"/>
      <c r="AK41" s="129"/>
      <c r="AL41" s="129"/>
      <c r="AM41" s="509">
        <f t="shared" si="51"/>
        <v>0</v>
      </c>
      <c r="AN41" s="129"/>
      <c r="AO41" s="129"/>
      <c r="AP41" s="129"/>
      <c r="AQ41" s="509">
        <f t="shared" si="52"/>
        <v>0</v>
      </c>
      <c r="AR41" s="129"/>
      <c r="AS41" s="129"/>
      <c r="AT41" s="129"/>
      <c r="AU41" s="509">
        <f t="shared" si="53"/>
        <v>0</v>
      </c>
      <c r="AV41" s="129"/>
      <c r="AW41" s="129"/>
      <c r="AX41" s="129"/>
      <c r="AY41" s="509">
        <f t="shared" si="54"/>
        <v>0</v>
      </c>
      <c r="AZ41" s="23">
        <f t="shared" si="55"/>
        <v>0</v>
      </c>
      <c r="BA41" s="23">
        <f t="shared" si="55"/>
        <v>0</v>
      </c>
      <c r="BB41" s="509">
        <f t="shared" si="56"/>
        <v>0</v>
      </c>
      <c r="BC41" s="23">
        <f t="shared" si="57"/>
        <v>0</v>
      </c>
      <c r="BD41" s="257">
        <f t="shared" si="57"/>
        <v>0</v>
      </c>
      <c r="BE41" s="257">
        <f t="shared" si="58"/>
        <v>0</v>
      </c>
      <c r="BF41" s="257">
        <f t="shared" si="59"/>
        <v>0</v>
      </c>
      <c r="BG41" s="23">
        <f t="shared" si="59"/>
        <v>0</v>
      </c>
      <c r="BH41" s="257">
        <f t="shared" si="60"/>
        <v>0</v>
      </c>
      <c r="BI41" s="23">
        <f t="shared" si="61"/>
        <v>0</v>
      </c>
      <c r="BJ41" s="23">
        <f t="shared" si="61"/>
        <v>0</v>
      </c>
      <c r="BK41" s="257">
        <f t="shared" si="62"/>
        <v>0</v>
      </c>
      <c r="BL41" s="23">
        <f t="shared" si="63"/>
        <v>0</v>
      </c>
      <c r="BM41" s="23">
        <f t="shared" si="63"/>
        <v>0</v>
      </c>
      <c r="BN41" s="257">
        <f t="shared" si="63"/>
        <v>0</v>
      </c>
      <c r="BO41" s="466">
        <f t="shared" si="64"/>
        <v>0</v>
      </c>
      <c r="BP41" s="472"/>
      <c r="BQ41" s="23">
        <f t="shared" si="65"/>
        <v>0</v>
      </c>
      <c r="BR41" s="23">
        <f t="shared" si="66"/>
        <v>0</v>
      </c>
      <c r="BS41" s="466">
        <f t="shared" si="67"/>
        <v>0</v>
      </c>
      <c r="BT41" s="509">
        <f t="shared" si="68"/>
        <v>0</v>
      </c>
      <c r="BU41" s="466">
        <f t="shared" si="71"/>
        <v>0</v>
      </c>
    </row>
    <row r="42" spans="1:73" ht="12.6" customHeight="1">
      <c r="A42" s="254" t="s">
        <v>120</v>
      </c>
      <c r="B42" s="129">
        <f t="shared" si="43"/>
        <v>0</v>
      </c>
      <c r="C42" s="257"/>
      <c r="D42" s="129">
        <v>0</v>
      </c>
      <c r="E42" s="129"/>
      <c r="F42" s="129"/>
      <c r="G42" s="509">
        <f t="shared" si="44"/>
        <v>0</v>
      </c>
      <c r="H42" s="129"/>
      <c r="I42" s="129"/>
      <c r="J42" s="129"/>
      <c r="K42" s="509">
        <f t="shared" si="45"/>
        <v>0</v>
      </c>
      <c r="L42" s="129"/>
      <c r="M42" s="129"/>
      <c r="N42" s="129"/>
      <c r="O42" s="509">
        <f t="shared" si="46"/>
        <v>0</v>
      </c>
      <c r="P42" s="129"/>
      <c r="Q42" s="129"/>
      <c r="R42" s="129"/>
      <c r="S42" s="509">
        <f t="shared" si="70"/>
        <v>0</v>
      </c>
      <c r="T42" s="129"/>
      <c r="U42" s="129"/>
      <c r="V42" s="129">
        <f t="shared" si="69"/>
        <v>0</v>
      </c>
      <c r="W42" s="509">
        <f t="shared" si="47"/>
        <v>0</v>
      </c>
      <c r="X42" s="129"/>
      <c r="Y42" s="129"/>
      <c r="Z42" s="129"/>
      <c r="AA42" s="509">
        <f t="shared" si="48"/>
        <v>0</v>
      </c>
      <c r="AB42" s="129"/>
      <c r="AC42" s="129"/>
      <c r="AD42" s="129"/>
      <c r="AE42" s="509">
        <f t="shared" si="49"/>
        <v>0</v>
      </c>
      <c r="AF42" s="129"/>
      <c r="AG42" s="129"/>
      <c r="AH42" s="129"/>
      <c r="AI42" s="509">
        <f t="shared" si="50"/>
        <v>0</v>
      </c>
      <c r="AJ42" s="129"/>
      <c r="AK42" s="129"/>
      <c r="AL42" s="129"/>
      <c r="AM42" s="509">
        <f t="shared" si="51"/>
        <v>0</v>
      </c>
      <c r="AN42" s="129"/>
      <c r="AO42" s="129"/>
      <c r="AP42" s="129"/>
      <c r="AQ42" s="509">
        <f t="shared" si="52"/>
        <v>0</v>
      </c>
      <c r="AR42" s="129"/>
      <c r="AS42" s="129"/>
      <c r="AT42" s="129"/>
      <c r="AU42" s="509">
        <f t="shared" si="53"/>
        <v>0</v>
      </c>
      <c r="AV42" s="129"/>
      <c r="AW42" s="129"/>
      <c r="AX42" s="129"/>
      <c r="AY42" s="509">
        <f t="shared" si="54"/>
        <v>0</v>
      </c>
      <c r="AZ42" s="23">
        <f t="shared" si="55"/>
        <v>0</v>
      </c>
      <c r="BA42" s="23">
        <f t="shared" si="55"/>
        <v>0</v>
      </c>
      <c r="BB42" s="509">
        <f t="shared" si="56"/>
        <v>0</v>
      </c>
      <c r="BC42" s="23">
        <f t="shared" si="57"/>
        <v>0</v>
      </c>
      <c r="BD42" s="257">
        <f t="shared" si="57"/>
        <v>0</v>
      </c>
      <c r="BE42" s="257">
        <f t="shared" si="58"/>
        <v>0</v>
      </c>
      <c r="BF42" s="257">
        <f t="shared" si="59"/>
        <v>0</v>
      </c>
      <c r="BG42" s="23">
        <f t="shared" si="59"/>
        <v>0</v>
      </c>
      <c r="BH42" s="257">
        <f t="shared" si="60"/>
        <v>0</v>
      </c>
      <c r="BI42" s="23">
        <f t="shared" si="61"/>
        <v>0</v>
      </c>
      <c r="BJ42" s="23">
        <f t="shared" si="61"/>
        <v>0</v>
      </c>
      <c r="BK42" s="257">
        <f t="shared" si="62"/>
        <v>0</v>
      </c>
      <c r="BL42" s="23">
        <f t="shared" si="63"/>
        <v>0</v>
      </c>
      <c r="BM42" s="23">
        <f t="shared" si="63"/>
        <v>0</v>
      </c>
      <c r="BN42" s="257">
        <f t="shared" si="63"/>
        <v>0</v>
      </c>
      <c r="BO42" s="466">
        <f t="shared" si="64"/>
        <v>0</v>
      </c>
      <c r="BP42" s="472"/>
      <c r="BQ42" s="23">
        <f t="shared" si="65"/>
        <v>0</v>
      </c>
      <c r="BR42" s="23">
        <f t="shared" si="66"/>
        <v>0</v>
      </c>
      <c r="BS42" s="466">
        <f t="shared" si="67"/>
        <v>0</v>
      </c>
      <c r="BT42" s="509">
        <f t="shared" si="68"/>
        <v>0</v>
      </c>
      <c r="BU42" s="466">
        <f t="shared" si="71"/>
        <v>0</v>
      </c>
    </row>
    <row r="43" spans="1:73" ht="12.6" customHeight="1">
      <c r="A43" s="254" t="s">
        <v>36</v>
      </c>
      <c r="B43" s="129">
        <f t="shared" si="43"/>
        <v>0</v>
      </c>
      <c r="C43" s="257"/>
      <c r="D43" s="129">
        <v>0</v>
      </c>
      <c r="E43" s="129"/>
      <c r="F43" s="129"/>
      <c r="G43" s="509">
        <f t="shared" si="44"/>
        <v>0</v>
      </c>
      <c r="H43" s="129"/>
      <c r="I43" s="129"/>
      <c r="J43" s="129"/>
      <c r="K43" s="509">
        <f t="shared" si="45"/>
        <v>0</v>
      </c>
      <c r="L43" s="129"/>
      <c r="M43" s="129"/>
      <c r="N43" s="129"/>
      <c r="O43" s="509">
        <f t="shared" si="46"/>
        <v>0</v>
      </c>
      <c r="P43" s="129"/>
      <c r="Q43" s="129"/>
      <c r="R43" s="129"/>
      <c r="S43" s="509">
        <f t="shared" si="70"/>
        <v>0</v>
      </c>
      <c r="T43" s="129"/>
      <c r="U43" s="129"/>
      <c r="V43" s="129">
        <f t="shared" si="69"/>
        <v>0</v>
      </c>
      <c r="W43" s="509">
        <f t="shared" si="47"/>
        <v>0</v>
      </c>
      <c r="X43" s="129"/>
      <c r="Y43" s="129"/>
      <c r="Z43" s="129"/>
      <c r="AA43" s="509">
        <f t="shared" si="48"/>
        <v>0</v>
      </c>
      <c r="AB43" s="129"/>
      <c r="AC43" s="129"/>
      <c r="AD43" s="129"/>
      <c r="AE43" s="509">
        <f t="shared" si="49"/>
        <v>0</v>
      </c>
      <c r="AF43" s="129"/>
      <c r="AG43" s="129"/>
      <c r="AH43" s="129"/>
      <c r="AI43" s="509">
        <f t="shared" si="50"/>
        <v>0</v>
      </c>
      <c r="AJ43" s="129"/>
      <c r="AK43" s="129"/>
      <c r="AL43" s="129"/>
      <c r="AM43" s="509">
        <f t="shared" si="51"/>
        <v>0</v>
      </c>
      <c r="AN43" s="129"/>
      <c r="AO43" s="129"/>
      <c r="AP43" s="129"/>
      <c r="AQ43" s="509">
        <f t="shared" si="52"/>
        <v>0</v>
      </c>
      <c r="AR43" s="129"/>
      <c r="AS43" s="129"/>
      <c r="AT43" s="129"/>
      <c r="AU43" s="509">
        <f t="shared" si="53"/>
        <v>0</v>
      </c>
      <c r="AV43" s="129"/>
      <c r="AW43" s="129"/>
      <c r="AX43" s="129"/>
      <c r="AY43" s="509">
        <f t="shared" si="54"/>
        <v>0</v>
      </c>
      <c r="AZ43" s="23">
        <f t="shared" si="55"/>
        <v>0</v>
      </c>
      <c r="BA43" s="23">
        <f t="shared" si="55"/>
        <v>0</v>
      </c>
      <c r="BB43" s="509">
        <f t="shared" si="56"/>
        <v>0</v>
      </c>
      <c r="BC43" s="23">
        <f t="shared" si="57"/>
        <v>0</v>
      </c>
      <c r="BD43" s="257">
        <f t="shared" si="57"/>
        <v>0</v>
      </c>
      <c r="BE43" s="257">
        <f t="shared" si="58"/>
        <v>0</v>
      </c>
      <c r="BF43" s="257">
        <f t="shared" si="59"/>
        <v>0</v>
      </c>
      <c r="BG43" s="23">
        <f t="shared" si="59"/>
        <v>0</v>
      </c>
      <c r="BH43" s="257">
        <f t="shared" si="60"/>
        <v>0</v>
      </c>
      <c r="BI43" s="23">
        <f t="shared" si="61"/>
        <v>0</v>
      </c>
      <c r="BJ43" s="23">
        <f t="shared" si="61"/>
        <v>0</v>
      </c>
      <c r="BK43" s="257">
        <f t="shared" si="62"/>
        <v>0</v>
      </c>
      <c r="BL43" s="23">
        <f t="shared" si="63"/>
        <v>0</v>
      </c>
      <c r="BM43" s="23">
        <f t="shared" si="63"/>
        <v>0</v>
      </c>
      <c r="BN43" s="257">
        <f t="shared" si="63"/>
        <v>0</v>
      </c>
      <c r="BO43" s="466">
        <f t="shared" si="64"/>
        <v>0</v>
      </c>
      <c r="BP43" s="472"/>
      <c r="BQ43" s="23">
        <f t="shared" si="65"/>
        <v>0</v>
      </c>
      <c r="BR43" s="23">
        <f t="shared" si="66"/>
        <v>0</v>
      </c>
      <c r="BS43" s="466">
        <f t="shared" si="67"/>
        <v>0</v>
      </c>
      <c r="BT43" s="509">
        <f t="shared" si="68"/>
        <v>0</v>
      </c>
      <c r="BU43" s="466">
        <f t="shared" si="71"/>
        <v>0</v>
      </c>
    </row>
    <row r="44" spans="1:73" ht="12.6" customHeight="1">
      <c r="A44" s="254" t="s">
        <v>53</v>
      </c>
      <c r="B44" s="129">
        <f t="shared" si="43"/>
        <v>0</v>
      </c>
      <c r="C44" s="257"/>
      <c r="D44" s="129">
        <v>0</v>
      </c>
      <c r="E44" s="129"/>
      <c r="F44" s="129"/>
      <c r="G44" s="509">
        <f t="shared" si="44"/>
        <v>0</v>
      </c>
      <c r="H44" s="129"/>
      <c r="I44" s="129"/>
      <c r="J44" s="129"/>
      <c r="K44" s="509">
        <f t="shared" si="45"/>
        <v>0</v>
      </c>
      <c r="L44" s="129"/>
      <c r="M44" s="129"/>
      <c r="N44" s="129"/>
      <c r="O44" s="509">
        <f t="shared" si="46"/>
        <v>0</v>
      </c>
      <c r="P44" s="129"/>
      <c r="Q44" s="129"/>
      <c r="R44" s="129"/>
      <c r="S44" s="509">
        <f t="shared" si="70"/>
        <v>0</v>
      </c>
      <c r="T44" s="129"/>
      <c r="U44" s="129"/>
      <c r="V44" s="129">
        <f t="shared" si="69"/>
        <v>0</v>
      </c>
      <c r="W44" s="509">
        <f t="shared" si="47"/>
        <v>0</v>
      </c>
      <c r="X44" s="129"/>
      <c r="Y44" s="129"/>
      <c r="Z44" s="129"/>
      <c r="AA44" s="509">
        <f t="shared" si="48"/>
        <v>0</v>
      </c>
      <c r="AB44" s="129"/>
      <c r="AC44" s="129"/>
      <c r="AD44" s="129"/>
      <c r="AE44" s="509">
        <f t="shared" si="49"/>
        <v>0</v>
      </c>
      <c r="AF44" s="129"/>
      <c r="AG44" s="129"/>
      <c r="AH44" s="129"/>
      <c r="AI44" s="509">
        <f t="shared" si="50"/>
        <v>0</v>
      </c>
      <c r="AJ44" s="129"/>
      <c r="AK44" s="129"/>
      <c r="AL44" s="129"/>
      <c r="AM44" s="509">
        <f t="shared" si="51"/>
        <v>0</v>
      </c>
      <c r="AN44" s="129"/>
      <c r="AO44" s="129"/>
      <c r="AP44" s="129"/>
      <c r="AQ44" s="509">
        <f t="shared" si="52"/>
        <v>0</v>
      </c>
      <c r="AR44" s="129"/>
      <c r="AS44" s="129"/>
      <c r="AT44" s="129"/>
      <c r="AU44" s="509">
        <f t="shared" si="53"/>
        <v>0</v>
      </c>
      <c r="AV44" s="129"/>
      <c r="AW44" s="129"/>
      <c r="AX44" s="129"/>
      <c r="AY44" s="509">
        <f t="shared" si="54"/>
        <v>0</v>
      </c>
      <c r="AZ44" s="23">
        <f t="shared" si="55"/>
        <v>0</v>
      </c>
      <c r="BA44" s="23">
        <f t="shared" si="55"/>
        <v>0</v>
      </c>
      <c r="BB44" s="509">
        <f t="shared" si="56"/>
        <v>0</v>
      </c>
      <c r="BC44" s="23">
        <f t="shared" si="57"/>
        <v>0</v>
      </c>
      <c r="BD44" s="257">
        <f t="shared" si="57"/>
        <v>0</v>
      </c>
      <c r="BE44" s="257">
        <f t="shared" si="58"/>
        <v>0</v>
      </c>
      <c r="BF44" s="257">
        <f t="shared" si="59"/>
        <v>0</v>
      </c>
      <c r="BG44" s="23">
        <f t="shared" si="59"/>
        <v>0</v>
      </c>
      <c r="BH44" s="257">
        <f t="shared" si="60"/>
        <v>0</v>
      </c>
      <c r="BI44" s="23">
        <f t="shared" si="61"/>
        <v>0</v>
      </c>
      <c r="BJ44" s="23">
        <f t="shared" si="61"/>
        <v>0</v>
      </c>
      <c r="BK44" s="257">
        <f t="shared" si="62"/>
        <v>0</v>
      </c>
      <c r="BL44" s="23">
        <f t="shared" si="63"/>
        <v>0</v>
      </c>
      <c r="BM44" s="23">
        <f t="shared" si="63"/>
        <v>0</v>
      </c>
      <c r="BN44" s="257">
        <f t="shared" si="63"/>
        <v>0</v>
      </c>
      <c r="BO44" s="466">
        <f t="shared" si="64"/>
        <v>0</v>
      </c>
      <c r="BP44" s="472"/>
      <c r="BQ44" s="23">
        <f t="shared" si="65"/>
        <v>0</v>
      </c>
      <c r="BR44" s="23">
        <f t="shared" si="66"/>
        <v>0</v>
      </c>
      <c r="BS44" s="466">
        <f t="shared" si="67"/>
        <v>0</v>
      </c>
      <c r="BT44" s="509">
        <f t="shared" si="68"/>
        <v>0</v>
      </c>
      <c r="BU44" s="466">
        <f t="shared" si="71"/>
        <v>0</v>
      </c>
    </row>
    <row r="45" spans="1:73" ht="12.6" customHeight="1">
      <c r="A45" s="505" t="s">
        <v>124</v>
      </c>
      <c r="B45" s="129">
        <f t="shared" si="43"/>
        <v>0</v>
      </c>
      <c r="C45" s="257">
        <v>62.214285714285715</v>
      </c>
      <c r="D45" s="129">
        <v>0</v>
      </c>
      <c r="E45" s="129"/>
      <c r="F45" s="129"/>
      <c r="G45" s="509">
        <f t="shared" si="44"/>
        <v>0</v>
      </c>
      <c r="H45" s="129"/>
      <c r="I45" s="129"/>
      <c r="J45" s="129"/>
      <c r="K45" s="509">
        <f t="shared" si="45"/>
        <v>0</v>
      </c>
      <c r="L45" s="129"/>
      <c r="M45" s="129"/>
      <c r="N45" s="129"/>
      <c r="O45" s="509">
        <f t="shared" si="46"/>
        <v>0</v>
      </c>
      <c r="P45" s="129"/>
      <c r="Q45" s="129"/>
      <c r="R45" s="129"/>
      <c r="S45" s="509">
        <f t="shared" si="70"/>
        <v>0</v>
      </c>
      <c r="T45" s="129"/>
      <c r="U45" s="129"/>
      <c r="V45" s="129">
        <f t="shared" si="69"/>
        <v>0</v>
      </c>
      <c r="W45" s="509">
        <f t="shared" si="47"/>
        <v>0</v>
      </c>
      <c r="X45" s="129"/>
      <c r="Y45" s="129"/>
      <c r="Z45" s="129"/>
      <c r="AA45" s="509">
        <f t="shared" si="48"/>
        <v>0</v>
      </c>
      <c r="AB45" s="129"/>
      <c r="AC45" s="129"/>
      <c r="AD45" s="129"/>
      <c r="AE45" s="509">
        <f t="shared" si="49"/>
        <v>0</v>
      </c>
      <c r="AF45" s="129"/>
      <c r="AG45" s="129"/>
      <c r="AH45" s="129"/>
      <c r="AI45" s="509">
        <f t="shared" si="50"/>
        <v>0</v>
      </c>
      <c r="AJ45" s="129"/>
      <c r="AK45" s="129"/>
      <c r="AL45" s="129"/>
      <c r="AM45" s="509">
        <f t="shared" si="51"/>
        <v>0</v>
      </c>
      <c r="AN45" s="129"/>
      <c r="AO45" s="129"/>
      <c r="AP45" s="129"/>
      <c r="AQ45" s="509">
        <f t="shared" si="52"/>
        <v>0</v>
      </c>
      <c r="AR45" s="129"/>
      <c r="AS45" s="129"/>
      <c r="AT45" s="129"/>
      <c r="AU45" s="509">
        <f t="shared" si="53"/>
        <v>0</v>
      </c>
      <c r="AV45" s="129"/>
      <c r="AW45" s="129"/>
      <c r="AX45" s="129"/>
      <c r="AY45" s="509">
        <f t="shared" si="54"/>
        <v>0</v>
      </c>
      <c r="AZ45" s="23">
        <f t="shared" si="55"/>
        <v>0</v>
      </c>
      <c r="BA45" s="23">
        <f t="shared" si="55"/>
        <v>0</v>
      </c>
      <c r="BB45" s="509">
        <f t="shared" si="56"/>
        <v>0</v>
      </c>
      <c r="BC45" s="23">
        <f t="shared" si="57"/>
        <v>0</v>
      </c>
      <c r="BD45" s="257">
        <f t="shared" si="57"/>
        <v>0</v>
      </c>
      <c r="BE45" s="257">
        <f t="shared" si="58"/>
        <v>0</v>
      </c>
      <c r="BF45" s="257">
        <f t="shared" si="59"/>
        <v>0</v>
      </c>
      <c r="BG45" s="23">
        <f t="shared" si="59"/>
        <v>0</v>
      </c>
      <c r="BH45" s="257">
        <f t="shared" si="60"/>
        <v>0</v>
      </c>
      <c r="BI45" s="23">
        <f t="shared" si="61"/>
        <v>0</v>
      </c>
      <c r="BJ45" s="23">
        <f t="shared" si="61"/>
        <v>0</v>
      </c>
      <c r="BK45" s="257">
        <f t="shared" si="62"/>
        <v>0</v>
      </c>
      <c r="BL45" s="23">
        <f t="shared" si="63"/>
        <v>0</v>
      </c>
      <c r="BM45" s="23">
        <f t="shared" si="63"/>
        <v>0</v>
      </c>
      <c r="BN45" s="257">
        <f t="shared" si="63"/>
        <v>0</v>
      </c>
      <c r="BO45" s="466">
        <f t="shared" si="64"/>
        <v>0</v>
      </c>
      <c r="BP45" s="472"/>
      <c r="BQ45" s="23">
        <f t="shared" si="65"/>
        <v>0</v>
      </c>
      <c r="BR45" s="23">
        <f t="shared" si="66"/>
        <v>0</v>
      </c>
      <c r="BS45" s="466">
        <f t="shared" si="67"/>
        <v>0</v>
      </c>
      <c r="BT45" s="509">
        <f t="shared" si="68"/>
        <v>0</v>
      </c>
      <c r="BU45" s="466">
        <f t="shared" si="71"/>
        <v>0</v>
      </c>
    </row>
    <row r="46" spans="1:73" ht="12.6" customHeight="1">
      <c r="A46" s="506" t="s">
        <v>63</v>
      </c>
      <c r="B46" s="129">
        <f t="shared" si="43"/>
        <v>0</v>
      </c>
      <c r="C46" s="257"/>
      <c r="D46" s="129">
        <v>0</v>
      </c>
      <c r="E46" s="129"/>
      <c r="F46" s="129"/>
      <c r="G46" s="509">
        <f t="shared" si="44"/>
        <v>0</v>
      </c>
      <c r="H46" s="129"/>
      <c r="I46" s="129"/>
      <c r="J46" s="129"/>
      <c r="K46" s="509">
        <f t="shared" si="45"/>
        <v>0</v>
      </c>
      <c r="L46" s="129"/>
      <c r="M46" s="129"/>
      <c r="N46" s="129"/>
      <c r="O46" s="509">
        <f t="shared" si="46"/>
        <v>0</v>
      </c>
      <c r="P46" s="129"/>
      <c r="Q46" s="129"/>
      <c r="R46" s="129"/>
      <c r="S46" s="509">
        <f t="shared" si="70"/>
        <v>0</v>
      </c>
      <c r="T46" s="129"/>
      <c r="U46" s="129"/>
      <c r="V46" s="129">
        <f t="shared" si="69"/>
        <v>0</v>
      </c>
      <c r="W46" s="509">
        <f t="shared" si="47"/>
        <v>0</v>
      </c>
      <c r="X46" s="129"/>
      <c r="Y46" s="129"/>
      <c r="Z46" s="129"/>
      <c r="AA46" s="509">
        <f t="shared" si="48"/>
        <v>0</v>
      </c>
      <c r="AB46" s="129"/>
      <c r="AC46" s="129"/>
      <c r="AD46" s="129"/>
      <c r="AE46" s="509">
        <f t="shared" si="49"/>
        <v>0</v>
      </c>
      <c r="AF46" s="129"/>
      <c r="AG46" s="129"/>
      <c r="AH46" s="129"/>
      <c r="AI46" s="509">
        <f t="shared" si="50"/>
        <v>0</v>
      </c>
      <c r="AJ46" s="129"/>
      <c r="AK46" s="129"/>
      <c r="AL46" s="129"/>
      <c r="AM46" s="509">
        <f t="shared" si="51"/>
        <v>0</v>
      </c>
      <c r="AN46" s="129"/>
      <c r="AO46" s="129"/>
      <c r="AP46" s="129"/>
      <c r="AQ46" s="509">
        <f t="shared" si="52"/>
        <v>0</v>
      </c>
      <c r="AR46" s="129"/>
      <c r="AS46" s="129"/>
      <c r="AT46" s="129"/>
      <c r="AU46" s="509">
        <f t="shared" si="53"/>
        <v>0</v>
      </c>
      <c r="AV46" s="129"/>
      <c r="AW46" s="129"/>
      <c r="AX46" s="129"/>
      <c r="AY46" s="509">
        <f t="shared" si="54"/>
        <v>0</v>
      </c>
      <c r="AZ46" s="23">
        <f t="shared" si="55"/>
        <v>0</v>
      </c>
      <c r="BA46" s="23">
        <f t="shared" si="55"/>
        <v>0</v>
      </c>
      <c r="BB46" s="509">
        <f t="shared" si="56"/>
        <v>0</v>
      </c>
      <c r="BC46" s="23">
        <f t="shared" si="57"/>
        <v>0</v>
      </c>
      <c r="BD46" s="257">
        <f t="shared" si="57"/>
        <v>0</v>
      </c>
      <c r="BE46" s="257">
        <f t="shared" si="58"/>
        <v>0</v>
      </c>
      <c r="BF46" s="257">
        <f t="shared" si="59"/>
        <v>0</v>
      </c>
      <c r="BG46" s="23">
        <f t="shared" si="59"/>
        <v>0</v>
      </c>
      <c r="BH46" s="257">
        <f t="shared" si="60"/>
        <v>0</v>
      </c>
      <c r="BI46" s="23">
        <f t="shared" si="61"/>
        <v>0</v>
      </c>
      <c r="BJ46" s="23">
        <f t="shared" si="61"/>
        <v>0</v>
      </c>
      <c r="BK46" s="257">
        <f t="shared" si="62"/>
        <v>0</v>
      </c>
      <c r="BL46" s="23">
        <f t="shared" si="63"/>
        <v>0</v>
      </c>
      <c r="BM46" s="23">
        <f t="shared" si="63"/>
        <v>0</v>
      </c>
      <c r="BN46" s="257">
        <f t="shared" si="63"/>
        <v>0</v>
      </c>
      <c r="BO46" s="466">
        <f t="shared" si="64"/>
        <v>0</v>
      </c>
      <c r="BP46" s="472"/>
      <c r="BQ46" s="23">
        <f t="shared" si="65"/>
        <v>0</v>
      </c>
      <c r="BR46" s="23">
        <f t="shared" si="66"/>
        <v>0</v>
      </c>
      <c r="BS46" s="466">
        <f t="shared" si="67"/>
        <v>0</v>
      </c>
      <c r="BT46" s="509">
        <f t="shared" si="68"/>
        <v>0</v>
      </c>
      <c r="BU46" s="466">
        <f t="shared" si="71"/>
        <v>0</v>
      </c>
    </row>
    <row r="47" spans="1:73" ht="12.6" customHeight="1">
      <c r="A47" s="506" t="s">
        <v>41</v>
      </c>
      <c r="B47" s="129">
        <f t="shared" si="43"/>
        <v>0</v>
      </c>
      <c r="C47" s="257"/>
      <c r="D47" s="129">
        <v>0</v>
      </c>
      <c r="E47" s="129"/>
      <c r="F47" s="129"/>
      <c r="G47" s="509">
        <f t="shared" si="44"/>
        <v>0</v>
      </c>
      <c r="H47" s="129"/>
      <c r="I47" s="129"/>
      <c r="J47" s="129"/>
      <c r="K47" s="509">
        <f t="shared" si="45"/>
        <v>0</v>
      </c>
      <c r="L47" s="129"/>
      <c r="M47" s="129"/>
      <c r="N47" s="129"/>
      <c r="O47" s="509">
        <f t="shared" si="46"/>
        <v>0</v>
      </c>
      <c r="P47" s="129"/>
      <c r="Q47" s="129"/>
      <c r="R47" s="129"/>
      <c r="S47" s="509">
        <f t="shared" si="70"/>
        <v>0</v>
      </c>
      <c r="T47" s="129"/>
      <c r="U47" s="129"/>
      <c r="V47" s="129">
        <f t="shared" si="69"/>
        <v>0</v>
      </c>
      <c r="W47" s="509">
        <f t="shared" si="47"/>
        <v>0</v>
      </c>
      <c r="X47" s="129"/>
      <c r="Y47" s="129"/>
      <c r="Z47" s="129"/>
      <c r="AA47" s="509">
        <f t="shared" si="48"/>
        <v>0</v>
      </c>
      <c r="AB47" s="129"/>
      <c r="AC47" s="129"/>
      <c r="AD47" s="129"/>
      <c r="AE47" s="509">
        <f t="shared" si="49"/>
        <v>0</v>
      </c>
      <c r="AF47" s="129"/>
      <c r="AG47" s="129"/>
      <c r="AH47" s="129"/>
      <c r="AI47" s="509">
        <f t="shared" si="50"/>
        <v>0</v>
      </c>
      <c r="AJ47" s="129"/>
      <c r="AK47" s="129"/>
      <c r="AL47" s="129"/>
      <c r="AM47" s="509">
        <f t="shared" si="51"/>
        <v>0</v>
      </c>
      <c r="AN47" s="129"/>
      <c r="AO47" s="129"/>
      <c r="AP47" s="129"/>
      <c r="AQ47" s="509">
        <f t="shared" si="52"/>
        <v>0</v>
      </c>
      <c r="AR47" s="129"/>
      <c r="AS47" s="129"/>
      <c r="AT47" s="129"/>
      <c r="AU47" s="509">
        <f t="shared" si="53"/>
        <v>0</v>
      </c>
      <c r="AV47" s="129"/>
      <c r="AW47" s="129"/>
      <c r="AX47" s="129"/>
      <c r="AY47" s="509">
        <f t="shared" si="54"/>
        <v>0</v>
      </c>
      <c r="AZ47" s="23">
        <f t="shared" si="55"/>
        <v>0</v>
      </c>
      <c r="BA47" s="23">
        <f t="shared" si="55"/>
        <v>0</v>
      </c>
      <c r="BB47" s="509">
        <f t="shared" si="56"/>
        <v>0</v>
      </c>
      <c r="BC47" s="23">
        <f t="shared" si="57"/>
        <v>0</v>
      </c>
      <c r="BD47" s="257">
        <f t="shared" si="57"/>
        <v>0</v>
      </c>
      <c r="BE47" s="257">
        <f t="shared" si="58"/>
        <v>0</v>
      </c>
      <c r="BF47" s="257">
        <f t="shared" si="59"/>
        <v>0</v>
      </c>
      <c r="BG47" s="23">
        <f t="shared" si="59"/>
        <v>0</v>
      </c>
      <c r="BH47" s="257">
        <f t="shared" si="60"/>
        <v>0</v>
      </c>
      <c r="BI47" s="23">
        <f t="shared" si="61"/>
        <v>0</v>
      </c>
      <c r="BJ47" s="23">
        <f t="shared" si="61"/>
        <v>0</v>
      </c>
      <c r="BK47" s="257">
        <f t="shared" si="62"/>
        <v>0</v>
      </c>
      <c r="BL47" s="23">
        <f t="shared" si="63"/>
        <v>0</v>
      </c>
      <c r="BM47" s="23">
        <f t="shared" si="63"/>
        <v>0</v>
      </c>
      <c r="BN47" s="257">
        <f t="shared" si="63"/>
        <v>0</v>
      </c>
      <c r="BO47" s="466">
        <f t="shared" si="64"/>
        <v>0</v>
      </c>
      <c r="BP47" s="472"/>
      <c r="BQ47" s="23">
        <f t="shared" si="65"/>
        <v>0</v>
      </c>
      <c r="BR47" s="23">
        <f t="shared" si="66"/>
        <v>0</v>
      </c>
      <c r="BS47" s="466">
        <f t="shared" si="67"/>
        <v>0</v>
      </c>
      <c r="BT47" s="509">
        <f t="shared" si="68"/>
        <v>0</v>
      </c>
      <c r="BU47" s="466">
        <f t="shared" si="71"/>
        <v>0</v>
      </c>
    </row>
    <row r="48" spans="1:73" ht="12.6" customHeight="1">
      <c r="A48" s="506" t="s">
        <v>52</v>
      </c>
      <c r="B48" s="129">
        <f t="shared" si="43"/>
        <v>0</v>
      </c>
      <c r="C48" s="257"/>
      <c r="D48" s="129">
        <v>0</v>
      </c>
      <c r="E48" s="129"/>
      <c r="F48" s="129"/>
      <c r="G48" s="509">
        <f t="shared" si="44"/>
        <v>0</v>
      </c>
      <c r="H48" s="129"/>
      <c r="I48" s="129"/>
      <c r="J48" s="129"/>
      <c r="K48" s="509">
        <f t="shared" si="45"/>
        <v>0</v>
      </c>
      <c r="L48" s="129"/>
      <c r="M48" s="129"/>
      <c r="N48" s="129"/>
      <c r="O48" s="509">
        <f t="shared" si="46"/>
        <v>0</v>
      </c>
      <c r="P48" s="129"/>
      <c r="Q48" s="129"/>
      <c r="R48" s="129"/>
      <c r="S48" s="509">
        <f t="shared" si="70"/>
        <v>0</v>
      </c>
      <c r="T48" s="129"/>
      <c r="U48" s="129"/>
      <c r="V48" s="129">
        <f t="shared" si="69"/>
        <v>0</v>
      </c>
      <c r="W48" s="509">
        <f t="shared" si="47"/>
        <v>0</v>
      </c>
      <c r="X48" s="129"/>
      <c r="Y48" s="129"/>
      <c r="Z48" s="129"/>
      <c r="AA48" s="509">
        <f t="shared" si="48"/>
        <v>0</v>
      </c>
      <c r="AB48" s="129"/>
      <c r="AC48" s="129"/>
      <c r="AD48" s="129"/>
      <c r="AE48" s="509">
        <f t="shared" si="49"/>
        <v>0</v>
      </c>
      <c r="AF48" s="129"/>
      <c r="AG48" s="129"/>
      <c r="AH48" s="129"/>
      <c r="AI48" s="509">
        <f t="shared" si="50"/>
        <v>0</v>
      </c>
      <c r="AJ48" s="129"/>
      <c r="AK48" s="129"/>
      <c r="AL48" s="129"/>
      <c r="AM48" s="509">
        <f t="shared" si="51"/>
        <v>0</v>
      </c>
      <c r="AN48" s="129"/>
      <c r="AO48" s="129"/>
      <c r="AP48" s="129"/>
      <c r="AQ48" s="509">
        <f t="shared" si="52"/>
        <v>0</v>
      </c>
      <c r="AR48" s="129"/>
      <c r="AS48" s="129"/>
      <c r="AT48" s="129"/>
      <c r="AU48" s="509">
        <f t="shared" si="53"/>
        <v>0</v>
      </c>
      <c r="AV48" s="129"/>
      <c r="AW48" s="129"/>
      <c r="AX48" s="129"/>
      <c r="AY48" s="509">
        <f t="shared" si="54"/>
        <v>0</v>
      </c>
      <c r="AZ48" s="23">
        <f t="shared" si="55"/>
        <v>0</v>
      </c>
      <c r="BA48" s="23">
        <f t="shared" si="55"/>
        <v>0</v>
      </c>
      <c r="BB48" s="509">
        <f t="shared" si="56"/>
        <v>0</v>
      </c>
      <c r="BC48" s="23">
        <f t="shared" si="57"/>
        <v>0</v>
      </c>
      <c r="BD48" s="257">
        <f t="shared" si="57"/>
        <v>0</v>
      </c>
      <c r="BE48" s="257">
        <f t="shared" si="58"/>
        <v>0</v>
      </c>
      <c r="BF48" s="257">
        <f t="shared" si="59"/>
        <v>0</v>
      </c>
      <c r="BG48" s="23">
        <f t="shared" si="59"/>
        <v>0</v>
      </c>
      <c r="BH48" s="257">
        <f t="shared" si="60"/>
        <v>0</v>
      </c>
      <c r="BI48" s="23">
        <f t="shared" si="61"/>
        <v>0</v>
      </c>
      <c r="BJ48" s="23">
        <f t="shared" si="61"/>
        <v>0</v>
      </c>
      <c r="BK48" s="257">
        <f t="shared" si="62"/>
        <v>0</v>
      </c>
      <c r="BL48" s="23">
        <f t="shared" si="63"/>
        <v>0</v>
      </c>
      <c r="BM48" s="23">
        <f t="shared" si="63"/>
        <v>0</v>
      </c>
      <c r="BN48" s="257">
        <f t="shared" si="63"/>
        <v>0</v>
      </c>
      <c r="BO48" s="466">
        <f t="shared" si="64"/>
        <v>0</v>
      </c>
      <c r="BP48" s="472"/>
      <c r="BQ48" s="23">
        <f t="shared" si="65"/>
        <v>0</v>
      </c>
      <c r="BR48" s="23">
        <f t="shared" si="66"/>
        <v>0</v>
      </c>
      <c r="BS48" s="466">
        <f t="shared" si="67"/>
        <v>0</v>
      </c>
      <c r="BT48" s="509">
        <f t="shared" si="68"/>
        <v>0</v>
      </c>
      <c r="BU48" s="466">
        <f t="shared" si="71"/>
        <v>0</v>
      </c>
    </row>
    <row r="49" spans="1:73" ht="12.6" customHeight="1">
      <c r="A49" s="506" t="s">
        <v>42</v>
      </c>
      <c r="B49" s="129">
        <f t="shared" si="43"/>
        <v>0</v>
      </c>
      <c r="C49" s="257"/>
      <c r="D49" s="129">
        <v>0</v>
      </c>
      <c r="E49" s="129"/>
      <c r="F49" s="129"/>
      <c r="G49" s="509">
        <f t="shared" si="44"/>
        <v>0</v>
      </c>
      <c r="H49" s="129"/>
      <c r="I49" s="129"/>
      <c r="J49" s="129"/>
      <c r="K49" s="509">
        <f t="shared" si="45"/>
        <v>0</v>
      </c>
      <c r="L49" s="129"/>
      <c r="M49" s="129"/>
      <c r="N49" s="129"/>
      <c r="O49" s="509">
        <f t="shared" si="46"/>
        <v>0</v>
      </c>
      <c r="P49" s="129"/>
      <c r="Q49" s="129"/>
      <c r="R49" s="129"/>
      <c r="S49" s="509">
        <f t="shared" si="70"/>
        <v>0</v>
      </c>
      <c r="T49" s="129"/>
      <c r="U49" s="129"/>
      <c r="V49" s="129">
        <f t="shared" si="69"/>
        <v>0</v>
      </c>
      <c r="W49" s="509">
        <f t="shared" si="47"/>
        <v>0</v>
      </c>
      <c r="X49" s="129"/>
      <c r="Y49" s="129"/>
      <c r="Z49" s="129"/>
      <c r="AA49" s="509">
        <f t="shared" si="48"/>
        <v>0</v>
      </c>
      <c r="AB49" s="129"/>
      <c r="AC49" s="129"/>
      <c r="AD49" s="129"/>
      <c r="AE49" s="509">
        <f t="shared" si="49"/>
        <v>0</v>
      </c>
      <c r="AF49" s="129"/>
      <c r="AG49" s="129"/>
      <c r="AH49" s="129"/>
      <c r="AI49" s="509">
        <f t="shared" si="50"/>
        <v>0</v>
      </c>
      <c r="AJ49" s="129"/>
      <c r="AK49" s="129"/>
      <c r="AL49" s="129"/>
      <c r="AM49" s="509">
        <f t="shared" si="51"/>
        <v>0</v>
      </c>
      <c r="AN49" s="129"/>
      <c r="AO49" s="129"/>
      <c r="AP49" s="129"/>
      <c r="AQ49" s="509">
        <f t="shared" si="52"/>
        <v>0</v>
      </c>
      <c r="AR49" s="129"/>
      <c r="AS49" s="129"/>
      <c r="AT49" s="129"/>
      <c r="AU49" s="509">
        <f t="shared" si="53"/>
        <v>0</v>
      </c>
      <c r="AV49" s="129"/>
      <c r="AW49" s="129"/>
      <c r="AX49" s="129"/>
      <c r="AY49" s="509">
        <f t="shared" si="54"/>
        <v>0</v>
      </c>
      <c r="AZ49" s="23">
        <f t="shared" si="55"/>
        <v>0</v>
      </c>
      <c r="BA49" s="23">
        <f t="shared" si="55"/>
        <v>0</v>
      </c>
      <c r="BB49" s="509">
        <f t="shared" si="56"/>
        <v>0</v>
      </c>
      <c r="BC49" s="23">
        <f t="shared" si="57"/>
        <v>0</v>
      </c>
      <c r="BD49" s="257">
        <f t="shared" si="57"/>
        <v>0</v>
      </c>
      <c r="BE49" s="257">
        <f t="shared" si="58"/>
        <v>0</v>
      </c>
      <c r="BF49" s="257">
        <f t="shared" si="59"/>
        <v>0</v>
      </c>
      <c r="BG49" s="23">
        <f t="shared" si="59"/>
        <v>0</v>
      </c>
      <c r="BH49" s="257">
        <f t="shared" si="60"/>
        <v>0</v>
      </c>
      <c r="BI49" s="23">
        <f t="shared" si="61"/>
        <v>0</v>
      </c>
      <c r="BJ49" s="23">
        <f t="shared" si="61"/>
        <v>0</v>
      </c>
      <c r="BK49" s="257">
        <f t="shared" si="62"/>
        <v>0</v>
      </c>
      <c r="BL49" s="23">
        <f t="shared" si="63"/>
        <v>0</v>
      </c>
      <c r="BM49" s="23">
        <f t="shared" si="63"/>
        <v>0</v>
      </c>
      <c r="BN49" s="257">
        <f t="shared" si="63"/>
        <v>0</v>
      </c>
      <c r="BO49" s="466">
        <f t="shared" si="64"/>
        <v>0</v>
      </c>
      <c r="BP49" s="472"/>
      <c r="BQ49" s="23">
        <f t="shared" si="65"/>
        <v>0</v>
      </c>
      <c r="BR49" s="23">
        <f t="shared" si="66"/>
        <v>0</v>
      </c>
      <c r="BS49" s="466">
        <f t="shared" si="67"/>
        <v>0</v>
      </c>
      <c r="BT49" s="509">
        <f t="shared" si="68"/>
        <v>0</v>
      </c>
      <c r="BU49" s="466">
        <f t="shared" si="71"/>
        <v>0</v>
      </c>
    </row>
    <row r="50" spans="1:73" ht="12.6" customHeight="1">
      <c r="A50" s="506" t="s">
        <v>127</v>
      </c>
      <c r="B50" s="129">
        <f t="shared" si="43"/>
        <v>0</v>
      </c>
      <c r="C50" s="257"/>
      <c r="D50" s="129">
        <v>0</v>
      </c>
      <c r="E50" s="129"/>
      <c r="F50" s="129"/>
      <c r="G50" s="509">
        <f t="shared" si="44"/>
        <v>0</v>
      </c>
      <c r="H50" s="129"/>
      <c r="I50" s="129"/>
      <c r="J50" s="129"/>
      <c r="K50" s="509">
        <f t="shared" si="45"/>
        <v>0</v>
      </c>
      <c r="L50" s="129"/>
      <c r="M50" s="129"/>
      <c r="N50" s="129"/>
      <c r="O50" s="509">
        <f t="shared" si="46"/>
        <v>0</v>
      </c>
      <c r="P50" s="129"/>
      <c r="Q50" s="129"/>
      <c r="R50" s="129"/>
      <c r="S50" s="509">
        <f t="shared" si="70"/>
        <v>0</v>
      </c>
      <c r="T50" s="129"/>
      <c r="U50" s="129"/>
      <c r="V50" s="129">
        <f>(T50*U50)/10^6</f>
        <v>0</v>
      </c>
      <c r="W50" s="509">
        <f t="shared" si="47"/>
        <v>0</v>
      </c>
      <c r="X50" s="129"/>
      <c r="Y50" s="129"/>
      <c r="Z50" s="129"/>
      <c r="AA50" s="509">
        <f t="shared" si="48"/>
        <v>0</v>
      </c>
      <c r="AB50" s="129"/>
      <c r="AC50" s="129"/>
      <c r="AD50" s="129"/>
      <c r="AE50" s="509">
        <f t="shared" si="49"/>
        <v>0</v>
      </c>
      <c r="AF50" s="129"/>
      <c r="AG50" s="129"/>
      <c r="AH50" s="129"/>
      <c r="AI50" s="509">
        <f t="shared" si="50"/>
        <v>0</v>
      </c>
      <c r="AJ50" s="129"/>
      <c r="AK50" s="129"/>
      <c r="AL50" s="129"/>
      <c r="AM50" s="509">
        <f t="shared" si="51"/>
        <v>0</v>
      </c>
      <c r="AN50" s="129"/>
      <c r="AO50" s="129"/>
      <c r="AP50" s="129"/>
      <c r="AQ50" s="509">
        <f t="shared" si="52"/>
        <v>0</v>
      </c>
      <c r="AR50" s="129"/>
      <c r="AS50" s="129"/>
      <c r="AT50" s="129"/>
      <c r="AU50" s="509">
        <f t="shared" si="53"/>
        <v>0</v>
      </c>
      <c r="AV50" s="129"/>
      <c r="AW50" s="129"/>
      <c r="AX50" s="129"/>
      <c r="AY50" s="509">
        <f t="shared" si="54"/>
        <v>0</v>
      </c>
      <c r="AZ50" s="23">
        <f t="shared" si="55"/>
        <v>0</v>
      </c>
      <c r="BA50" s="23">
        <f t="shared" si="55"/>
        <v>0</v>
      </c>
      <c r="BB50" s="509">
        <f t="shared" si="56"/>
        <v>0</v>
      </c>
      <c r="BC50" s="23">
        <f t="shared" si="57"/>
        <v>0</v>
      </c>
      <c r="BD50" s="257">
        <f t="shared" si="57"/>
        <v>0</v>
      </c>
      <c r="BE50" s="257">
        <f t="shared" si="58"/>
        <v>0</v>
      </c>
      <c r="BF50" s="257">
        <f t="shared" si="59"/>
        <v>0</v>
      </c>
      <c r="BG50" s="23">
        <f t="shared" si="59"/>
        <v>0</v>
      </c>
      <c r="BH50" s="257">
        <f t="shared" si="60"/>
        <v>0</v>
      </c>
      <c r="BI50" s="23">
        <f t="shared" si="61"/>
        <v>0</v>
      </c>
      <c r="BJ50" s="23">
        <f t="shared" si="61"/>
        <v>0</v>
      </c>
      <c r="BK50" s="257">
        <f t="shared" si="62"/>
        <v>0</v>
      </c>
      <c r="BL50" s="23">
        <f t="shared" si="63"/>
        <v>0</v>
      </c>
      <c r="BM50" s="23">
        <f t="shared" si="63"/>
        <v>0</v>
      </c>
      <c r="BN50" s="257">
        <f t="shared" si="63"/>
        <v>0</v>
      </c>
      <c r="BO50" s="466">
        <f t="shared" si="64"/>
        <v>0</v>
      </c>
      <c r="BP50" s="472"/>
      <c r="BQ50" s="23">
        <f t="shared" si="65"/>
        <v>0</v>
      </c>
      <c r="BR50" s="23">
        <f t="shared" si="66"/>
        <v>0</v>
      </c>
      <c r="BS50" s="466">
        <f t="shared" si="67"/>
        <v>0</v>
      </c>
      <c r="BT50" s="509">
        <f t="shared" si="68"/>
        <v>0</v>
      </c>
      <c r="BU50" s="466">
        <f t="shared" si="71"/>
        <v>0</v>
      </c>
    </row>
    <row r="51" spans="1:73" ht="12.6" customHeight="1">
      <c r="A51" s="254" t="s">
        <v>126</v>
      </c>
      <c r="B51" s="129">
        <f t="shared" si="43"/>
        <v>0</v>
      </c>
      <c r="C51" s="257">
        <v>12.357142857142858</v>
      </c>
      <c r="D51" s="129">
        <v>0</v>
      </c>
      <c r="E51" s="129"/>
      <c r="F51" s="129"/>
      <c r="G51" s="509">
        <f t="shared" si="44"/>
        <v>0</v>
      </c>
      <c r="H51" s="129"/>
      <c r="I51" s="129"/>
      <c r="J51" s="129"/>
      <c r="K51" s="509">
        <f t="shared" si="45"/>
        <v>0</v>
      </c>
      <c r="L51" s="129"/>
      <c r="M51" s="129"/>
      <c r="N51" s="129"/>
      <c r="O51" s="509">
        <f t="shared" si="46"/>
        <v>0</v>
      </c>
      <c r="P51" s="129"/>
      <c r="Q51" s="129"/>
      <c r="R51" s="129"/>
      <c r="S51" s="509">
        <f t="shared" si="70"/>
        <v>0</v>
      </c>
      <c r="T51" s="129"/>
      <c r="U51" s="129"/>
      <c r="V51" s="129">
        <f t="shared" si="69"/>
        <v>0</v>
      </c>
      <c r="W51" s="509">
        <f t="shared" si="47"/>
        <v>0</v>
      </c>
      <c r="X51" s="129"/>
      <c r="Y51" s="129"/>
      <c r="Z51" s="129"/>
      <c r="AA51" s="509">
        <f t="shared" si="48"/>
        <v>0</v>
      </c>
      <c r="AB51" s="129"/>
      <c r="AC51" s="129"/>
      <c r="AD51" s="129"/>
      <c r="AE51" s="509">
        <f t="shared" si="49"/>
        <v>0</v>
      </c>
      <c r="AF51" s="129"/>
      <c r="AG51" s="129"/>
      <c r="AH51" s="129"/>
      <c r="AI51" s="509">
        <f t="shared" si="50"/>
        <v>0</v>
      </c>
      <c r="AJ51" s="129"/>
      <c r="AK51" s="129"/>
      <c r="AL51" s="129"/>
      <c r="AM51" s="509">
        <f t="shared" si="51"/>
        <v>0</v>
      </c>
      <c r="AN51" s="129"/>
      <c r="AO51" s="129"/>
      <c r="AP51" s="129"/>
      <c r="AQ51" s="509">
        <f t="shared" si="52"/>
        <v>0</v>
      </c>
      <c r="AR51" s="129"/>
      <c r="AS51" s="129"/>
      <c r="AT51" s="129"/>
      <c r="AU51" s="509">
        <f t="shared" si="53"/>
        <v>0</v>
      </c>
      <c r="AV51" s="129"/>
      <c r="AW51" s="129"/>
      <c r="AX51" s="129"/>
      <c r="AY51" s="509">
        <f t="shared" si="54"/>
        <v>0</v>
      </c>
      <c r="AZ51" s="23">
        <f t="shared" si="55"/>
        <v>0</v>
      </c>
      <c r="BA51" s="23">
        <f t="shared" si="55"/>
        <v>0</v>
      </c>
      <c r="BB51" s="509">
        <f t="shared" si="56"/>
        <v>0</v>
      </c>
      <c r="BC51" s="23">
        <f t="shared" si="57"/>
        <v>0</v>
      </c>
      <c r="BD51" s="257">
        <f t="shared" si="57"/>
        <v>0</v>
      </c>
      <c r="BE51" s="257">
        <f t="shared" si="58"/>
        <v>0</v>
      </c>
      <c r="BF51" s="257">
        <f t="shared" si="59"/>
        <v>0</v>
      </c>
      <c r="BG51" s="23">
        <f t="shared" si="59"/>
        <v>0</v>
      </c>
      <c r="BH51" s="257">
        <f t="shared" si="60"/>
        <v>0</v>
      </c>
      <c r="BI51" s="23">
        <f t="shared" si="61"/>
        <v>0</v>
      </c>
      <c r="BJ51" s="23">
        <f t="shared" si="61"/>
        <v>0</v>
      </c>
      <c r="BK51" s="257">
        <f t="shared" si="62"/>
        <v>0</v>
      </c>
      <c r="BL51" s="23">
        <f t="shared" si="63"/>
        <v>0</v>
      </c>
      <c r="BM51" s="23">
        <f t="shared" si="63"/>
        <v>0</v>
      </c>
      <c r="BN51" s="257">
        <f t="shared" si="63"/>
        <v>0</v>
      </c>
      <c r="BO51" s="466">
        <f t="shared" si="64"/>
        <v>0</v>
      </c>
      <c r="BP51" s="472"/>
      <c r="BQ51" s="23">
        <f t="shared" si="65"/>
        <v>0</v>
      </c>
      <c r="BR51" s="23">
        <f t="shared" si="66"/>
        <v>0</v>
      </c>
      <c r="BS51" s="466">
        <f t="shared" si="67"/>
        <v>0</v>
      </c>
      <c r="BT51" s="509">
        <f t="shared" si="68"/>
        <v>0</v>
      </c>
      <c r="BU51" s="466">
        <f t="shared" si="71"/>
        <v>0</v>
      </c>
    </row>
    <row r="52" spans="1:73" ht="12.6" customHeight="1">
      <c r="A52" s="254" t="s">
        <v>64</v>
      </c>
      <c r="B52" s="129">
        <f t="shared" si="43"/>
        <v>0</v>
      </c>
      <c r="C52" s="257"/>
      <c r="D52" s="129">
        <v>0</v>
      </c>
      <c r="E52" s="129"/>
      <c r="F52" s="129"/>
      <c r="G52" s="509">
        <f t="shared" si="44"/>
        <v>0</v>
      </c>
      <c r="H52" s="129"/>
      <c r="I52" s="129"/>
      <c r="J52" s="129"/>
      <c r="K52" s="509">
        <f t="shared" si="45"/>
        <v>0</v>
      </c>
      <c r="L52" s="129"/>
      <c r="M52" s="129"/>
      <c r="N52" s="129"/>
      <c r="O52" s="509">
        <f t="shared" si="46"/>
        <v>0</v>
      </c>
      <c r="P52" s="129"/>
      <c r="Q52" s="129"/>
      <c r="R52" s="129"/>
      <c r="S52" s="509">
        <f t="shared" si="70"/>
        <v>0</v>
      </c>
      <c r="T52" s="129"/>
      <c r="U52" s="129"/>
      <c r="V52" s="129">
        <f t="shared" si="69"/>
        <v>0</v>
      </c>
      <c r="W52" s="509">
        <f t="shared" si="47"/>
        <v>0</v>
      </c>
      <c r="X52" s="129"/>
      <c r="Y52" s="129"/>
      <c r="Z52" s="129"/>
      <c r="AA52" s="509">
        <f t="shared" si="48"/>
        <v>0</v>
      </c>
      <c r="AB52" s="129"/>
      <c r="AC52" s="129"/>
      <c r="AD52" s="129"/>
      <c r="AE52" s="509">
        <f t="shared" si="49"/>
        <v>0</v>
      </c>
      <c r="AF52" s="129"/>
      <c r="AG52" s="129"/>
      <c r="AH52" s="129"/>
      <c r="AI52" s="509">
        <f t="shared" si="50"/>
        <v>0</v>
      </c>
      <c r="AJ52" s="129"/>
      <c r="AK52" s="129"/>
      <c r="AL52" s="129"/>
      <c r="AM52" s="509">
        <f t="shared" si="51"/>
        <v>0</v>
      </c>
      <c r="AN52" s="129"/>
      <c r="AO52" s="129"/>
      <c r="AP52" s="129"/>
      <c r="AQ52" s="509">
        <f t="shared" si="52"/>
        <v>0</v>
      </c>
      <c r="AR52" s="129"/>
      <c r="AS52" s="129"/>
      <c r="AT52" s="129"/>
      <c r="AU52" s="509">
        <f t="shared" si="53"/>
        <v>0</v>
      </c>
      <c r="AV52" s="129"/>
      <c r="AW52" s="129"/>
      <c r="AX52" s="129"/>
      <c r="AY52" s="509">
        <f t="shared" si="54"/>
        <v>0</v>
      </c>
      <c r="AZ52" s="23">
        <f t="shared" si="55"/>
        <v>0</v>
      </c>
      <c r="BA52" s="23">
        <f t="shared" si="55"/>
        <v>0</v>
      </c>
      <c r="BB52" s="509">
        <f t="shared" si="56"/>
        <v>0</v>
      </c>
      <c r="BC52" s="23">
        <f t="shared" si="57"/>
        <v>0</v>
      </c>
      <c r="BD52" s="257">
        <f t="shared" si="57"/>
        <v>0</v>
      </c>
      <c r="BE52" s="257">
        <f t="shared" si="58"/>
        <v>0</v>
      </c>
      <c r="BF52" s="257">
        <f t="shared" si="59"/>
        <v>0</v>
      </c>
      <c r="BG52" s="23">
        <f t="shared" si="59"/>
        <v>0</v>
      </c>
      <c r="BH52" s="257">
        <f t="shared" si="60"/>
        <v>0</v>
      </c>
      <c r="BI52" s="23">
        <f t="shared" si="61"/>
        <v>0</v>
      </c>
      <c r="BJ52" s="23">
        <f t="shared" si="61"/>
        <v>0</v>
      </c>
      <c r="BK52" s="257">
        <f t="shared" si="62"/>
        <v>0</v>
      </c>
      <c r="BL52" s="23">
        <f t="shared" si="63"/>
        <v>0</v>
      </c>
      <c r="BM52" s="23">
        <f t="shared" si="63"/>
        <v>0</v>
      </c>
      <c r="BN52" s="257">
        <f t="shared" si="63"/>
        <v>0</v>
      </c>
      <c r="BO52" s="466">
        <f t="shared" si="64"/>
        <v>0</v>
      </c>
      <c r="BP52" s="472"/>
      <c r="BQ52" s="23">
        <f t="shared" si="65"/>
        <v>0</v>
      </c>
      <c r="BR52" s="23">
        <f t="shared" si="66"/>
        <v>0</v>
      </c>
      <c r="BS52" s="466">
        <f t="shared" si="67"/>
        <v>0</v>
      </c>
      <c r="BT52" s="509">
        <f t="shared" si="68"/>
        <v>0</v>
      </c>
      <c r="BU52" s="466">
        <f t="shared" si="71"/>
        <v>0</v>
      </c>
    </row>
    <row r="53" spans="1:73" ht="12.6" customHeight="1">
      <c r="A53" s="254" t="s">
        <v>119</v>
      </c>
      <c r="B53" s="129">
        <f t="shared" si="43"/>
        <v>5636</v>
      </c>
      <c r="C53" s="257">
        <v>18.399999999999999</v>
      </c>
      <c r="D53" s="129">
        <v>600</v>
      </c>
      <c r="E53" s="129">
        <v>39</v>
      </c>
      <c r="F53" s="129">
        <v>627.70000000000005</v>
      </c>
      <c r="G53" s="509">
        <f t="shared" si="44"/>
        <v>0.15795066690000004</v>
      </c>
      <c r="H53" s="129">
        <v>400</v>
      </c>
      <c r="I53" s="129">
        <v>391</v>
      </c>
      <c r="J53" s="129">
        <v>590</v>
      </c>
      <c r="K53" s="509">
        <f t="shared" si="45"/>
        <v>1.4954090595999998</v>
      </c>
      <c r="L53" s="129">
        <v>400</v>
      </c>
      <c r="M53" s="129"/>
      <c r="N53" s="129"/>
      <c r="O53" s="509">
        <f t="shared" si="46"/>
        <v>0</v>
      </c>
      <c r="P53" s="129">
        <v>500</v>
      </c>
      <c r="Q53" s="129">
        <v>197</v>
      </c>
      <c r="R53" s="129">
        <v>588</v>
      </c>
      <c r="S53" s="509">
        <f t="shared" si="70"/>
        <v>0.75495695360000015</v>
      </c>
      <c r="T53" s="129">
        <v>500</v>
      </c>
      <c r="U53" s="129">
        <v>253</v>
      </c>
      <c r="V53" s="129">
        <v>620</v>
      </c>
      <c r="W53" s="509">
        <f t="shared" si="47"/>
        <v>1.0187067264000003</v>
      </c>
      <c r="X53" s="129">
        <v>500</v>
      </c>
      <c r="Y53" s="129">
        <v>99</v>
      </c>
      <c r="Z53" s="129">
        <v>542</v>
      </c>
      <c r="AA53" s="509">
        <f t="shared" si="48"/>
        <v>0.34569695159999997</v>
      </c>
      <c r="AB53" s="129">
        <v>400</v>
      </c>
      <c r="AC53" s="129"/>
      <c r="AD53" s="129"/>
      <c r="AE53" s="509">
        <f t="shared" si="49"/>
        <v>0</v>
      </c>
      <c r="AF53" s="129">
        <v>400</v>
      </c>
      <c r="AG53" s="129"/>
      <c r="AH53" s="129"/>
      <c r="AI53" s="509">
        <f t="shared" si="50"/>
        <v>0</v>
      </c>
      <c r="AJ53" s="129">
        <v>500</v>
      </c>
      <c r="AK53" s="129">
        <v>30</v>
      </c>
      <c r="AL53" s="129">
        <v>955</v>
      </c>
      <c r="AM53" s="509">
        <f t="shared" si="51"/>
        <v>0.19456214999999999</v>
      </c>
      <c r="AN53" s="129">
        <v>500</v>
      </c>
      <c r="AO53" s="129"/>
      <c r="AP53" s="129"/>
      <c r="AQ53" s="509">
        <f t="shared" si="52"/>
        <v>0</v>
      </c>
      <c r="AR53" s="129">
        <v>536</v>
      </c>
      <c r="AS53" s="129">
        <v>64</v>
      </c>
      <c r="AT53" s="129">
        <v>1093</v>
      </c>
      <c r="AU53" s="509">
        <f t="shared" si="53"/>
        <v>0.46831146535848922</v>
      </c>
      <c r="AV53" s="129">
        <v>400</v>
      </c>
      <c r="AW53" s="129"/>
      <c r="AX53" s="129"/>
      <c r="AY53" s="509">
        <f t="shared" si="54"/>
        <v>0</v>
      </c>
      <c r="AZ53" s="23">
        <f t="shared" si="55"/>
        <v>1400</v>
      </c>
      <c r="BA53" s="23">
        <f t="shared" si="55"/>
        <v>430</v>
      </c>
      <c r="BB53" s="509">
        <f t="shared" si="56"/>
        <v>1.6533597264999997</v>
      </c>
      <c r="BC53" s="23">
        <f t="shared" si="57"/>
        <v>1500</v>
      </c>
      <c r="BD53" s="257">
        <f t="shared" si="57"/>
        <v>549</v>
      </c>
      <c r="BE53" s="257">
        <f t="shared" si="58"/>
        <v>2.1193606316000002</v>
      </c>
      <c r="BF53" s="257">
        <f t="shared" si="59"/>
        <v>1300</v>
      </c>
      <c r="BG53" s="23">
        <f t="shared" si="59"/>
        <v>30</v>
      </c>
      <c r="BH53" s="257">
        <f t="shared" si="60"/>
        <v>0.19456214999999999</v>
      </c>
      <c r="BI53" s="23">
        <f t="shared" si="61"/>
        <v>1436</v>
      </c>
      <c r="BJ53" s="23">
        <f t="shared" si="61"/>
        <v>64</v>
      </c>
      <c r="BK53" s="257">
        <f t="shared" si="62"/>
        <v>0.46831146535848922</v>
      </c>
      <c r="BL53" s="23">
        <f t="shared" si="63"/>
        <v>5636</v>
      </c>
      <c r="BM53" s="23">
        <f t="shared" si="63"/>
        <v>1073</v>
      </c>
      <c r="BN53" s="257">
        <f t="shared" si="63"/>
        <v>4.4355939734584888</v>
      </c>
      <c r="BO53" s="466">
        <f t="shared" si="64"/>
        <v>0.19038325053229241</v>
      </c>
      <c r="BP53" s="472"/>
      <c r="BQ53" s="23">
        <f t="shared" si="65"/>
        <v>2900</v>
      </c>
      <c r="BR53" s="23">
        <f t="shared" si="66"/>
        <v>979</v>
      </c>
      <c r="BS53" s="466">
        <f t="shared" si="67"/>
        <v>0.33758620689655172</v>
      </c>
      <c r="BT53" s="509">
        <f t="shared" si="68"/>
        <v>3.7727203580999999</v>
      </c>
      <c r="BU53" s="466">
        <f t="shared" si="71"/>
        <v>0.17370475514549324</v>
      </c>
    </row>
    <row r="54" spans="1:73" ht="12.6" customHeight="1">
      <c r="A54" s="482" t="s">
        <v>72</v>
      </c>
      <c r="B54" s="457">
        <f>SUM(B26:B53)</f>
        <v>8721</v>
      </c>
      <c r="C54" s="458"/>
      <c r="D54" s="457">
        <f>SUM(D26:D53)</f>
        <v>800</v>
      </c>
      <c r="E54" s="457">
        <f>SUM(E26:E53)</f>
        <v>238</v>
      </c>
      <c r="F54" s="457"/>
      <c r="G54" s="511">
        <f>SUM(G26:G53)</f>
        <v>4.7547773345571427</v>
      </c>
      <c r="H54" s="457">
        <f>SUM(H26:H53)</f>
        <v>660</v>
      </c>
      <c r="I54" s="457">
        <f>SUM(I26:I53)</f>
        <v>550</v>
      </c>
      <c r="J54" s="457"/>
      <c r="K54" s="511">
        <f>SUM(K26:K53)</f>
        <v>5.2660808165714288</v>
      </c>
      <c r="L54" s="457">
        <f>SUM(L26:L53)</f>
        <v>653</v>
      </c>
      <c r="M54" s="457">
        <f>SUM(M26:M53)</f>
        <v>139</v>
      </c>
      <c r="N54" s="457"/>
      <c r="O54" s="511">
        <f>SUM(O26:O53)</f>
        <v>4.2305585186285724</v>
      </c>
      <c r="P54" s="457">
        <f>SUM(P26:P53)</f>
        <v>780</v>
      </c>
      <c r="Q54" s="457">
        <f>SUM(Q26:Q53)</f>
        <v>433</v>
      </c>
      <c r="R54" s="457"/>
      <c r="S54" s="511">
        <f>SUM(S26:S53)</f>
        <v>6.2689597092571434</v>
      </c>
      <c r="T54" s="457">
        <f>SUM(T26:T53)</f>
        <v>772</v>
      </c>
      <c r="U54" s="457">
        <f>SUM(U26:U53)</f>
        <v>425</v>
      </c>
      <c r="V54" s="457"/>
      <c r="W54" s="511">
        <f>SUM(W26:W53)</f>
        <v>5.1871143930857153</v>
      </c>
      <c r="X54" s="457">
        <f>SUM(X26:X53)</f>
        <v>740</v>
      </c>
      <c r="Y54" s="457">
        <f>SUM(Y26:Y53)</f>
        <v>633</v>
      </c>
      <c r="Z54" s="457"/>
      <c r="AA54" s="511">
        <f>SUM(AA26:AA53)</f>
        <v>15.089153641714288</v>
      </c>
      <c r="AB54" s="457">
        <f>SUM(AB26:AB53)</f>
        <v>680</v>
      </c>
      <c r="AC54" s="457">
        <f>SUM(AC26:AC53)</f>
        <v>357</v>
      </c>
      <c r="AD54" s="457"/>
      <c r="AE54" s="511">
        <f>SUM(AE26:AE53)</f>
        <v>9.5370562912554817</v>
      </c>
      <c r="AF54" s="457">
        <f>SUM(AF26:AF53)</f>
        <v>680</v>
      </c>
      <c r="AG54" s="457">
        <f>SUM(AG26:AG53)</f>
        <v>80</v>
      </c>
      <c r="AH54" s="457"/>
      <c r="AI54" s="511">
        <f>SUM(AI26:AI53)</f>
        <v>2.3724290546028461</v>
      </c>
      <c r="AJ54" s="457">
        <f>SUM(AJ26:AJ53)</f>
        <v>740</v>
      </c>
      <c r="AK54" s="457">
        <f>SUM(AK26:AK53)</f>
        <v>149</v>
      </c>
      <c r="AL54" s="457"/>
      <c r="AM54" s="511">
        <f>SUM(AM26:AM53)</f>
        <v>3.4440777618662355</v>
      </c>
      <c r="AN54" s="457">
        <f>SUM(AN26:AN53)</f>
        <v>780</v>
      </c>
      <c r="AO54" s="457">
        <f>SUM(AO26:AO53)</f>
        <v>358</v>
      </c>
      <c r="AP54" s="457"/>
      <c r="AQ54" s="511">
        <f>SUM(AQ26:AQ53)</f>
        <v>8.8881679972766108</v>
      </c>
      <c r="AR54" s="457">
        <f>SUM(AR26:AR53)</f>
        <v>816</v>
      </c>
      <c r="AS54" s="457">
        <f>SUM(AS26:AS53)</f>
        <v>361</v>
      </c>
      <c r="AT54" s="457"/>
      <c r="AU54" s="511">
        <f>SUM(AU26:AU53)</f>
        <v>8.1222910867059319</v>
      </c>
      <c r="AV54" s="457">
        <f>SUM(AV26:AV53)</f>
        <v>620</v>
      </c>
      <c r="AW54" s="457">
        <f>SUM(AW26:AW53)</f>
        <v>0</v>
      </c>
      <c r="AX54" s="457"/>
      <c r="AY54" s="457">
        <f t="shared" ref="AY54:BN54" si="72">SUM(AY26:AY53)</f>
        <v>0</v>
      </c>
      <c r="AZ54" s="457">
        <f t="shared" si="72"/>
        <v>2113</v>
      </c>
      <c r="BA54" s="457">
        <f t="shared" si="72"/>
        <v>927</v>
      </c>
      <c r="BB54" s="457">
        <f t="shared" si="72"/>
        <v>14.251416669757145</v>
      </c>
      <c r="BC54" s="457">
        <f t="shared" si="72"/>
        <v>2292</v>
      </c>
      <c r="BD54" s="457">
        <f t="shared" si="72"/>
        <v>1491</v>
      </c>
      <c r="BE54" s="457">
        <f t="shared" si="72"/>
        <v>26.545227744057144</v>
      </c>
      <c r="BF54" s="457">
        <f t="shared" si="72"/>
        <v>2100</v>
      </c>
      <c r="BG54" s="457">
        <f t="shared" si="72"/>
        <v>586</v>
      </c>
      <c r="BH54" s="457">
        <f t="shared" si="72"/>
        <v>15.353563107724563</v>
      </c>
      <c r="BI54" s="457">
        <f t="shared" si="72"/>
        <v>2216</v>
      </c>
      <c r="BJ54" s="457">
        <f t="shared" si="72"/>
        <v>719</v>
      </c>
      <c r="BK54" s="457">
        <f t="shared" si="72"/>
        <v>17.010459083982543</v>
      </c>
      <c r="BL54" s="457">
        <f t="shared" si="72"/>
        <v>8721</v>
      </c>
      <c r="BM54" s="457">
        <f t="shared" si="72"/>
        <v>3723</v>
      </c>
      <c r="BN54" s="457">
        <f t="shared" si="72"/>
        <v>73.160666605521413</v>
      </c>
      <c r="BO54" s="525">
        <f>IFERROR(BM54/BL54,0)</f>
        <v>0.42690058479532161</v>
      </c>
      <c r="BP54" s="472"/>
      <c r="BQ54" s="457">
        <f t="shared" ref="BQ54:BR54" si="73">SUM(BQ26:BQ53)</f>
        <v>4405</v>
      </c>
      <c r="BR54" s="457">
        <f t="shared" si="73"/>
        <v>2418</v>
      </c>
      <c r="BS54" s="467">
        <f t="shared" si="8"/>
        <v>0.54892167990919405</v>
      </c>
      <c r="BT54" s="511">
        <f t="shared" ref="BT54" si="74">SUM(BT26:BT53)</f>
        <v>40.796644413814292</v>
      </c>
      <c r="BU54" s="525">
        <f t="shared" si="71"/>
        <v>0.27726178190574474</v>
      </c>
    </row>
    <row r="55" spans="1:73" ht="12.6" customHeight="1">
      <c r="A55" s="254"/>
      <c r="B55" s="254"/>
      <c r="C55" s="461"/>
      <c r="D55" s="254"/>
      <c r="E55" s="254"/>
      <c r="F55" s="254"/>
      <c r="G55" s="513"/>
      <c r="H55" s="254"/>
      <c r="I55" s="254"/>
      <c r="J55" s="254"/>
      <c r="K55" s="513"/>
      <c r="L55" s="254"/>
      <c r="M55" s="254"/>
      <c r="N55" s="254"/>
      <c r="O55" s="513"/>
      <c r="P55" s="254"/>
      <c r="Q55" s="254"/>
      <c r="R55" s="254"/>
      <c r="S55" s="513"/>
      <c r="T55" s="254"/>
      <c r="U55" s="254"/>
      <c r="V55" s="254"/>
      <c r="W55" s="513"/>
      <c r="X55" s="254"/>
      <c r="Y55" s="254"/>
      <c r="Z55" s="254"/>
      <c r="AA55" s="513"/>
      <c r="AB55" s="254"/>
      <c r="AC55" s="254"/>
      <c r="AD55" s="254"/>
      <c r="AE55" s="513"/>
      <c r="AF55" s="254"/>
      <c r="AG55" s="254"/>
      <c r="AH55" s="254"/>
      <c r="AI55" s="513"/>
      <c r="AJ55" s="254"/>
      <c r="AK55" s="254"/>
      <c r="AL55" s="254"/>
      <c r="AM55" s="513"/>
      <c r="AN55" s="254"/>
      <c r="AO55" s="254"/>
      <c r="AP55" s="254"/>
      <c r="AQ55" s="513"/>
      <c r="AR55" s="254"/>
      <c r="AS55" s="254"/>
      <c r="AT55" s="254"/>
      <c r="AU55" s="513"/>
      <c r="AV55" s="254"/>
      <c r="AW55" s="254"/>
      <c r="AX55" s="254"/>
      <c r="AY55" s="513"/>
      <c r="AZ55" s="254"/>
      <c r="BA55" s="461"/>
      <c r="BB55" s="513"/>
      <c r="BC55" s="254"/>
      <c r="BD55" s="461"/>
      <c r="BE55" s="461"/>
      <c r="BF55" s="461"/>
      <c r="BG55" s="254"/>
      <c r="BH55" s="461"/>
      <c r="BI55" s="254"/>
      <c r="BJ55" s="254"/>
      <c r="BK55" s="461"/>
      <c r="BL55" s="254"/>
      <c r="BM55" s="254"/>
      <c r="BN55" s="461"/>
      <c r="BO55" s="469">
        <f t="shared" si="42"/>
        <v>0</v>
      </c>
      <c r="BP55" s="472"/>
      <c r="BQ55" s="521"/>
      <c r="BR55" s="495"/>
      <c r="BS55" s="469">
        <f t="shared" si="8"/>
        <v>0</v>
      </c>
      <c r="BT55" s="529"/>
      <c r="BU55" s="469">
        <f t="shared" si="71"/>
        <v>0</v>
      </c>
    </row>
    <row r="56" spans="1:73" ht="12.6" customHeight="1">
      <c r="A56" s="254" t="s">
        <v>56</v>
      </c>
      <c r="B56" s="129">
        <f>D56+H56+L56+P56+T56+X56+AB56+AF56+AJ56+AN56+AR56+AV56</f>
        <v>0</v>
      </c>
      <c r="C56" s="23">
        <v>36</v>
      </c>
      <c r="D56" s="129"/>
      <c r="E56" s="129"/>
      <c r="F56" s="129"/>
      <c r="G56" s="509">
        <f t="shared" ref="G56:G60" si="75">E56*(F56-C56)*66.47/10^7</f>
        <v>0</v>
      </c>
      <c r="H56" s="129"/>
      <c r="I56" s="129"/>
      <c r="J56" s="129"/>
      <c r="K56" s="509"/>
      <c r="L56" s="129"/>
      <c r="M56" s="129"/>
      <c r="N56" s="129"/>
      <c r="O56" s="509">
        <f t="shared" ref="O56:O60" si="76">M56*(N56-C56)*67.28/10^7</f>
        <v>0</v>
      </c>
      <c r="P56" s="129"/>
      <c r="Q56" s="129"/>
      <c r="R56" s="129"/>
      <c r="S56" s="509">
        <f t="shared" ref="S56:S60" si="77">Q56*(R56-C56)*67.28/10^7</f>
        <v>0</v>
      </c>
      <c r="T56" s="129"/>
      <c r="U56" s="129"/>
      <c r="V56" s="129">
        <f>(T56*U56)/10^6</f>
        <v>0</v>
      </c>
      <c r="W56" s="509">
        <f t="shared" ref="W56:W60" si="78">U56*(V56-C56)*66.93/10^7</f>
        <v>0</v>
      </c>
      <c r="X56" s="129"/>
      <c r="Y56" s="129"/>
      <c r="Z56" s="129"/>
      <c r="AA56" s="509">
        <f t="shared" ref="AA56:AA60" si="79">Y56*(Z56-C56)*66.69/10^7</f>
        <v>0</v>
      </c>
      <c r="AB56" s="129"/>
      <c r="AC56" s="129"/>
      <c r="AD56" s="129"/>
      <c r="AE56" s="509">
        <f>AC56*(AD56-G56)*66.73/10^7</f>
        <v>0</v>
      </c>
      <c r="AF56" s="129"/>
      <c r="AG56" s="129"/>
      <c r="AH56" s="129"/>
      <c r="AI56" s="509">
        <f>AG56*(AH56-K56)*67.58/10^7</f>
        <v>0</v>
      </c>
      <c r="AJ56" s="129"/>
      <c r="AK56" s="129"/>
      <c r="AL56" s="129"/>
      <c r="AM56" s="509">
        <f>AK56*(AL56-O56)*67.91/10^7</f>
        <v>0</v>
      </c>
      <c r="AN56" s="129"/>
      <c r="AO56" s="129"/>
      <c r="AP56" s="129"/>
      <c r="AQ56" s="509">
        <f>AO56*(AP56-S56)*68.01/10^7</f>
        <v>0</v>
      </c>
      <c r="AR56" s="129"/>
      <c r="AS56" s="129"/>
      <c r="AT56" s="129"/>
      <c r="AU56" s="509">
        <f>AS56*(AT56-W56)*67.01/10^7</f>
        <v>0</v>
      </c>
      <c r="AV56" s="129"/>
      <c r="AW56" s="129"/>
      <c r="AX56" s="129"/>
      <c r="AY56" s="509">
        <f t="shared" ref="AY56:AY60" si="80">AW56*(AX56-AA56)*66.69/10^7</f>
        <v>0</v>
      </c>
      <c r="AZ56" s="23">
        <f t="shared" ref="AZ56:BA60" si="81">+D56+H56+L56</f>
        <v>0</v>
      </c>
      <c r="BA56" s="23">
        <f t="shared" si="81"/>
        <v>0</v>
      </c>
      <c r="BB56" s="509">
        <f t="shared" ref="BB56:BB60" si="82">+G56+K56+O56</f>
        <v>0</v>
      </c>
      <c r="BC56" s="23">
        <f t="shared" ref="BC56:BD60" si="83">+P56+T56+X56</f>
        <v>0</v>
      </c>
      <c r="BD56" s="257">
        <f t="shared" si="83"/>
        <v>0</v>
      </c>
      <c r="BE56" s="257">
        <f t="shared" ref="BE56:BE60" si="84">S56+W56+AA56</f>
        <v>0</v>
      </c>
      <c r="BF56" s="257">
        <f t="shared" ref="BF56:BG60" si="85">AB56+AF56+AJ56</f>
        <v>0</v>
      </c>
      <c r="BG56" s="23">
        <f t="shared" si="85"/>
        <v>0</v>
      </c>
      <c r="BH56" s="257">
        <f t="shared" ref="BH56:BH60" si="86">AE56+AI56+AM56</f>
        <v>0</v>
      </c>
      <c r="BI56" s="23">
        <f t="shared" ref="BI56:BJ60" si="87">+AN56+AR56+AV56</f>
        <v>0</v>
      </c>
      <c r="BJ56" s="23">
        <f t="shared" si="87"/>
        <v>0</v>
      </c>
      <c r="BK56" s="257">
        <f t="shared" ref="BK56:BK60" si="88">AQ56+AU56+AY56</f>
        <v>0</v>
      </c>
      <c r="BL56" s="23">
        <f t="shared" ref="BL56:BN60" si="89">AZ56+BC56+BF56+BI56</f>
        <v>0</v>
      </c>
      <c r="BM56" s="23">
        <f t="shared" si="89"/>
        <v>0</v>
      </c>
      <c r="BN56" s="257">
        <f t="shared" si="89"/>
        <v>0</v>
      </c>
      <c r="BO56" s="466">
        <f t="shared" ref="BO56:BO60" si="90">IFERROR(BM56/BL56,0)</f>
        <v>0</v>
      </c>
      <c r="BP56" s="472"/>
      <c r="BQ56" s="23">
        <f t="shared" ref="BQ56:BR60" si="91">D56+H56+L56+P56+T56+X56</f>
        <v>0</v>
      </c>
      <c r="BR56" s="23">
        <f t="shared" si="91"/>
        <v>0</v>
      </c>
      <c r="BS56" s="466">
        <f t="shared" ref="BS56:BS60" si="92">IFERROR(BR56/BQ56,0)</f>
        <v>0</v>
      </c>
      <c r="BT56" s="509">
        <f>G56+K56+O56+S56+W56+AA56</f>
        <v>0</v>
      </c>
      <c r="BU56" s="466">
        <f t="shared" si="71"/>
        <v>0</v>
      </c>
    </row>
    <row r="57" spans="1:73" ht="12.6" customHeight="1">
      <c r="A57" s="254" t="s">
        <v>57</v>
      </c>
      <c r="B57" s="129">
        <f>D57+H57+L57+P57+T57+X57+AB57+AF57+AJ57+AN57+AR57+AV57</f>
        <v>0</v>
      </c>
      <c r="C57" s="23">
        <v>36</v>
      </c>
      <c r="D57" s="129"/>
      <c r="E57" s="129"/>
      <c r="F57" s="129"/>
      <c r="G57" s="509">
        <f t="shared" si="75"/>
        <v>0</v>
      </c>
      <c r="H57" s="129"/>
      <c r="I57" s="129"/>
      <c r="J57" s="129"/>
      <c r="K57" s="509"/>
      <c r="L57" s="129"/>
      <c r="M57" s="129"/>
      <c r="N57" s="129"/>
      <c r="O57" s="509">
        <f t="shared" si="76"/>
        <v>0</v>
      </c>
      <c r="P57" s="129"/>
      <c r="Q57" s="129"/>
      <c r="R57" s="129"/>
      <c r="S57" s="509">
        <f t="shared" si="77"/>
        <v>0</v>
      </c>
      <c r="T57" s="129"/>
      <c r="U57" s="129"/>
      <c r="V57" s="129">
        <f>(T57*U57)/10^6</f>
        <v>0</v>
      </c>
      <c r="W57" s="509">
        <f t="shared" si="78"/>
        <v>0</v>
      </c>
      <c r="X57" s="129"/>
      <c r="Y57" s="129"/>
      <c r="Z57" s="129"/>
      <c r="AA57" s="509">
        <f t="shared" si="79"/>
        <v>0</v>
      </c>
      <c r="AB57" s="129"/>
      <c r="AC57" s="129"/>
      <c r="AD57" s="129"/>
      <c r="AE57" s="509">
        <f>AC57*(AD57-G57)*66.73/10^7</f>
        <v>0</v>
      </c>
      <c r="AF57" s="129"/>
      <c r="AG57" s="129"/>
      <c r="AH57" s="129"/>
      <c r="AI57" s="509">
        <f>AG57*(AH57-K57)*67.58/10^7</f>
        <v>0</v>
      </c>
      <c r="AJ57" s="129"/>
      <c r="AK57" s="129"/>
      <c r="AL57" s="129"/>
      <c r="AM57" s="509">
        <f>AK57*(AL57-O57)*67.91/10^7</f>
        <v>0</v>
      </c>
      <c r="AN57" s="129"/>
      <c r="AO57" s="129"/>
      <c r="AP57" s="129"/>
      <c r="AQ57" s="509">
        <f>AO57*(AP57-S57)*68.01/10^7</f>
        <v>0</v>
      </c>
      <c r="AR57" s="129"/>
      <c r="AS57" s="129"/>
      <c r="AT57" s="129"/>
      <c r="AU57" s="509">
        <f>AS57*(AT57-W57)*67.01/10^7</f>
        <v>0</v>
      </c>
      <c r="AV57" s="129"/>
      <c r="AW57" s="129"/>
      <c r="AX57" s="129"/>
      <c r="AY57" s="509">
        <f t="shared" si="80"/>
        <v>0</v>
      </c>
      <c r="AZ57" s="23">
        <f t="shared" si="81"/>
        <v>0</v>
      </c>
      <c r="BA57" s="23">
        <f t="shared" si="81"/>
        <v>0</v>
      </c>
      <c r="BB57" s="509">
        <f t="shared" si="82"/>
        <v>0</v>
      </c>
      <c r="BC57" s="23">
        <f t="shared" si="83"/>
        <v>0</v>
      </c>
      <c r="BD57" s="257">
        <f t="shared" si="83"/>
        <v>0</v>
      </c>
      <c r="BE57" s="257">
        <f t="shared" si="84"/>
        <v>0</v>
      </c>
      <c r="BF57" s="257">
        <f t="shared" si="85"/>
        <v>0</v>
      </c>
      <c r="BG57" s="23">
        <f t="shared" si="85"/>
        <v>0</v>
      </c>
      <c r="BH57" s="257">
        <f t="shared" si="86"/>
        <v>0</v>
      </c>
      <c r="BI57" s="23">
        <f t="shared" si="87"/>
        <v>0</v>
      </c>
      <c r="BJ57" s="23">
        <f t="shared" si="87"/>
        <v>0</v>
      </c>
      <c r="BK57" s="257">
        <f t="shared" si="88"/>
        <v>0</v>
      </c>
      <c r="BL57" s="23">
        <f t="shared" si="89"/>
        <v>0</v>
      </c>
      <c r="BM57" s="23">
        <f t="shared" si="89"/>
        <v>0</v>
      </c>
      <c r="BN57" s="257">
        <f t="shared" si="89"/>
        <v>0</v>
      </c>
      <c r="BO57" s="466">
        <f t="shared" si="90"/>
        <v>0</v>
      </c>
      <c r="BP57" s="472"/>
      <c r="BQ57" s="23">
        <f t="shared" si="91"/>
        <v>0</v>
      </c>
      <c r="BR57" s="23">
        <f t="shared" si="91"/>
        <v>0</v>
      </c>
      <c r="BS57" s="466">
        <f t="shared" si="92"/>
        <v>0</v>
      </c>
      <c r="BT57" s="509">
        <f>G57+K57+O57+S57+W57+AA57</f>
        <v>0</v>
      </c>
      <c r="BU57" s="466">
        <f t="shared" si="71"/>
        <v>0</v>
      </c>
    </row>
    <row r="58" spans="1:73" ht="12.6" customHeight="1">
      <c r="A58" s="254" t="s">
        <v>58</v>
      </c>
      <c r="B58" s="129">
        <f>D58+H58+L58+P58+T58+X58+AB58+AF58+AJ58+AN58+AR58+AV58</f>
        <v>0</v>
      </c>
      <c r="C58" s="23">
        <v>36</v>
      </c>
      <c r="D58" s="129"/>
      <c r="E58" s="129"/>
      <c r="F58" s="129"/>
      <c r="G58" s="509">
        <f t="shared" si="75"/>
        <v>0</v>
      </c>
      <c r="H58" s="129"/>
      <c r="I58" s="129"/>
      <c r="J58" s="129"/>
      <c r="K58" s="509"/>
      <c r="L58" s="129"/>
      <c r="M58" s="129">
        <v>20</v>
      </c>
      <c r="N58" s="129">
        <v>748.5</v>
      </c>
      <c r="O58" s="509">
        <f t="shared" si="76"/>
        <v>9.5874000000000001E-2</v>
      </c>
      <c r="P58" s="129"/>
      <c r="Q58" s="129"/>
      <c r="R58" s="129"/>
      <c r="S58" s="509">
        <f t="shared" si="77"/>
        <v>0</v>
      </c>
      <c r="T58" s="129"/>
      <c r="U58" s="129"/>
      <c r="V58" s="129">
        <f>(T58*U58)/10^6</f>
        <v>0</v>
      </c>
      <c r="W58" s="509">
        <f t="shared" si="78"/>
        <v>0</v>
      </c>
      <c r="X58" s="129"/>
      <c r="Y58" s="129"/>
      <c r="Z58" s="129"/>
      <c r="AA58" s="509">
        <f t="shared" si="79"/>
        <v>0</v>
      </c>
      <c r="AB58" s="129"/>
      <c r="AC58" s="129"/>
      <c r="AD58" s="129"/>
      <c r="AE58" s="509">
        <f>AC58*(AD58-G58)*66.73/10^7</f>
        <v>0</v>
      </c>
      <c r="AF58" s="129"/>
      <c r="AG58" s="129"/>
      <c r="AH58" s="129"/>
      <c r="AI58" s="509">
        <f>AG58*(AH58-K58)*67.58/10^7</f>
        <v>0</v>
      </c>
      <c r="AJ58" s="129"/>
      <c r="AK58" s="129"/>
      <c r="AL58" s="129"/>
      <c r="AM58" s="509">
        <f>AK58*(AL58-O58)*67.91/10^7</f>
        <v>0</v>
      </c>
      <c r="AN58" s="129"/>
      <c r="AO58" s="129">
        <v>20</v>
      </c>
      <c r="AP58" s="129">
        <v>813</v>
      </c>
      <c r="AQ58" s="509">
        <f>AO58*(AP58-S58)*68.01/10^7</f>
        <v>0.11058426</v>
      </c>
      <c r="AR58" s="129"/>
      <c r="AS58" s="129"/>
      <c r="AT58" s="129"/>
      <c r="AU58" s="509">
        <f>AS58*(AT58-W58)*67.01/10^7</f>
        <v>0</v>
      </c>
      <c r="AV58" s="129"/>
      <c r="AW58" s="129"/>
      <c r="AX58" s="129"/>
      <c r="AY58" s="509">
        <f t="shared" si="80"/>
        <v>0</v>
      </c>
      <c r="AZ58" s="23">
        <f t="shared" si="81"/>
        <v>0</v>
      </c>
      <c r="BA58" s="23">
        <f t="shared" si="81"/>
        <v>20</v>
      </c>
      <c r="BB58" s="509">
        <f t="shared" si="82"/>
        <v>9.5874000000000001E-2</v>
      </c>
      <c r="BC58" s="23">
        <f t="shared" si="83"/>
        <v>0</v>
      </c>
      <c r="BD58" s="257">
        <f t="shared" si="83"/>
        <v>0</v>
      </c>
      <c r="BE58" s="257">
        <f t="shared" si="84"/>
        <v>0</v>
      </c>
      <c r="BF58" s="257">
        <f t="shared" si="85"/>
        <v>0</v>
      </c>
      <c r="BG58" s="23">
        <f t="shared" si="85"/>
        <v>0</v>
      </c>
      <c r="BH58" s="257">
        <f t="shared" si="86"/>
        <v>0</v>
      </c>
      <c r="BI58" s="23">
        <f t="shared" si="87"/>
        <v>0</v>
      </c>
      <c r="BJ58" s="23">
        <f t="shared" si="87"/>
        <v>20</v>
      </c>
      <c r="BK58" s="257">
        <f t="shared" si="88"/>
        <v>0.11058426</v>
      </c>
      <c r="BL58" s="23">
        <f t="shared" si="89"/>
        <v>0</v>
      </c>
      <c r="BM58" s="23">
        <f t="shared" si="89"/>
        <v>40</v>
      </c>
      <c r="BN58" s="257">
        <f t="shared" si="89"/>
        <v>0.20645826</v>
      </c>
      <c r="BO58" s="466">
        <f t="shared" si="90"/>
        <v>0</v>
      </c>
      <c r="BP58" s="472"/>
      <c r="BQ58" s="23">
        <f t="shared" si="91"/>
        <v>0</v>
      </c>
      <c r="BR58" s="23">
        <f t="shared" si="91"/>
        <v>20</v>
      </c>
      <c r="BS58" s="466">
        <f t="shared" si="92"/>
        <v>0</v>
      </c>
      <c r="BT58" s="509">
        <f>G58+K58+O58+S58+W58+AA58</f>
        <v>9.5874000000000001E-2</v>
      </c>
      <c r="BU58" s="466">
        <f t="shared" si="71"/>
        <v>0</v>
      </c>
    </row>
    <row r="59" spans="1:73" ht="12.6" customHeight="1">
      <c r="A59" s="254" t="s">
        <v>103</v>
      </c>
      <c r="B59" s="129">
        <f>D59+H59+L59+P59+T59+X59+AB59+AF59+AJ59+AN59+AR59+AV59</f>
        <v>0</v>
      </c>
      <c r="C59" s="257"/>
      <c r="D59" s="129"/>
      <c r="E59" s="129"/>
      <c r="F59" s="129"/>
      <c r="G59" s="509">
        <f t="shared" si="75"/>
        <v>0</v>
      </c>
      <c r="H59" s="129"/>
      <c r="I59" s="129"/>
      <c r="J59" s="129"/>
      <c r="K59" s="509"/>
      <c r="L59" s="129"/>
      <c r="M59" s="129"/>
      <c r="N59" s="129"/>
      <c r="O59" s="509">
        <f t="shared" si="76"/>
        <v>0</v>
      </c>
      <c r="P59" s="129"/>
      <c r="Q59" s="129"/>
      <c r="R59" s="129"/>
      <c r="S59" s="509">
        <f t="shared" si="77"/>
        <v>0</v>
      </c>
      <c r="T59" s="129"/>
      <c r="U59" s="129"/>
      <c r="V59" s="129">
        <f>(T59*U59)/10^6</f>
        <v>0</v>
      </c>
      <c r="W59" s="509">
        <f t="shared" si="78"/>
        <v>0</v>
      </c>
      <c r="X59" s="129"/>
      <c r="Y59" s="129"/>
      <c r="Z59" s="129"/>
      <c r="AA59" s="509">
        <f t="shared" si="79"/>
        <v>0</v>
      </c>
      <c r="AB59" s="129"/>
      <c r="AC59" s="129"/>
      <c r="AD59" s="129"/>
      <c r="AE59" s="509">
        <f>AC59*(AD59-G59)*66.73/10^7</f>
        <v>0</v>
      </c>
      <c r="AF59" s="129"/>
      <c r="AG59" s="129"/>
      <c r="AH59" s="129"/>
      <c r="AI59" s="509">
        <f>AG59*(AH59-K59)*67.58/10^7</f>
        <v>0</v>
      </c>
      <c r="AJ59" s="129"/>
      <c r="AK59" s="129"/>
      <c r="AL59" s="129"/>
      <c r="AM59" s="509">
        <f>AK59*(AL59-O59)*67.91/10^7</f>
        <v>0</v>
      </c>
      <c r="AN59" s="129"/>
      <c r="AO59" s="129"/>
      <c r="AP59" s="129"/>
      <c r="AQ59" s="509">
        <f>AO59*(AP59-S59)*68.01/10^7</f>
        <v>0</v>
      </c>
      <c r="AR59" s="129"/>
      <c r="AS59" s="129"/>
      <c r="AT59" s="129"/>
      <c r="AU59" s="509">
        <f>AS59*(AT59-W59)*67.01/10^7</f>
        <v>0</v>
      </c>
      <c r="AV59" s="129"/>
      <c r="AW59" s="129"/>
      <c r="AX59" s="129"/>
      <c r="AY59" s="509">
        <f t="shared" si="80"/>
        <v>0</v>
      </c>
      <c r="AZ59" s="23">
        <f t="shared" si="81"/>
        <v>0</v>
      </c>
      <c r="BA59" s="23">
        <f t="shared" si="81"/>
        <v>0</v>
      </c>
      <c r="BB59" s="509">
        <f t="shared" si="82"/>
        <v>0</v>
      </c>
      <c r="BC59" s="23">
        <f t="shared" si="83"/>
        <v>0</v>
      </c>
      <c r="BD59" s="257">
        <f t="shared" si="83"/>
        <v>0</v>
      </c>
      <c r="BE59" s="257">
        <f t="shared" si="84"/>
        <v>0</v>
      </c>
      <c r="BF59" s="257">
        <f t="shared" si="85"/>
        <v>0</v>
      </c>
      <c r="BG59" s="23">
        <f t="shared" si="85"/>
        <v>0</v>
      </c>
      <c r="BH59" s="257">
        <f t="shared" si="86"/>
        <v>0</v>
      </c>
      <c r="BI59" s="23">
        <f t="shared" si="87"/>
        <v>0</v>
      </c>
      <c r="BJ59" s="23">
        <f t="shared" si="87"/>
        <v>0</v>
      </c>
      <c r="BK59" s="257">
        <f t="shared" si="88"/>
        <v>0</v>
      </c>
      <c r="BL59" s="23">
        <f t="shared" si="89"/>
        <v>0</v>
      </c>
      <c r="BM59" s="23">
        <f t="shared" si="89"/>
        <v>0</v>
      </c>
      <c r="BN59" s="257">
        <f t="shared" si="89"/>
        <v>0</v>
      </c>
      <c r="BO59" s="466">
        <f t="shared" si="90"/>
        <v>0</v>
      </c>
      <c r="BP59" s="472"/>
      <c r="BQ59" s="23">
        <f t="shared" si="91"/>
        <v>0</v>
      </c>
      <c r="BR59" s="23">
        <f t="shared" si="91"/>
        <v>0</v>
      </c>
      <c r="BS59" s="466">
        <f t="shared" si="92"/>
        <v>0</v>
      </c>
      <c r="BT59" s="509">
        <f>G59+K59+O59+S59+W59+AA59</f>
        <v>0</v>
      </c>
      <c r="BU59" s="466">
        <f t="shared" si="71"/>
        <v>0</v>
      </c>
    </row>
    <row r="60" spans="1:73" ht="12.6" customHeight="1">
      <c r="A60" s="254" t="s">
        <v>59</v>
      </c>
      <c r="B60" s="129">
        <f>D60+H60+L60+P60+T60+X60+AB60+AF60+AJ60+AN60+AR60+AV60</f>
        <v>0</v>
      </c>
      <c r="C60" s="257"/>
      <c r="D60" s="129"/>
      <c r="E60" s="129"/>
      <c r="F60" s="129"/>
      <c r="G60" s="509">
        <f t="shared" si="75"/>
        <v>0</v>
      </c>
      <c r="H60" s="129"/>
      <c r="I60" s="129"/>
      <c r="J60" s="129"/>
      <c r="K60" s="509"/>
      <c r="L60" s="129"/>
      <c r="M60" s="129"/>
      <c r="N60" s="129"/>
      <c r="O60" s="509">
        <f t="shared" si="76"/>
        <v>0</v>
      </c>
      <c r="P60" s="129"/>
      <c r="Q60" s="129"/>
      <c r="R60" s="129"/>
      <c r="S60" s="509">
        <f t="shared" si="77"/>
        <v>0</v>
      </c>
      <c r="T60" s="129"/>
      <c r="U60" s="129"/>
      <c r="V60" s="129">
        <f>(T60*U60)/10^6</f>
        <v>0</v>
      </c>
      <c r="W60" s="509">
        <f t="shared" si="78"/>
        <v>0</v>
      </c>
      <c r="X60" s="129"/>
      <c r="Y60" s="129"/>
      <c r="Z60" s="129"/>
      <c r="AA60" s="509">
        <f t="shared" si="79"/>
        <v>0</v>
      </c>
      <c r="AB60" s="129"/>
      <c r="AC60" s="129"/>
      <c r="AD60" s="129"/>
      <c r="AE60" s="509">
        <f>AC60*(AD60-G60)*66.73/10^7</f>
        <v>0</v>
      </c>
      <c r="AF60" s="129"/>
      <c r="AG60" s="129"/>
      <c r="AH60" s="129"/>
      <c r="AI60" s="509">
        <f>AG60*(AH60-K60)*67.58/10^7</f>
        <v>0</v>
      </c>
      <c r="AJ60" s="129"/>
      <c r="AK60" s="129"/>
      <c r="AL60" s="129"/>
      <c r="AM60" s="509">
        <f>AK60*(AL60-O60)*67.91/10^7</f>
        <v>0</v>
      </c>
      <c r="AN60" s="129"/>
      <c r="AO60" s="129"/>
      <c r="AP60" s="129"/>
      <c r="AQ60" s="509">
        <f>AO60*(AP60-S60)*68.01/10^7</f>
        <v>0</v>
      </c>
      <c r="AR60" s="129"/>
      <c r="AS60" s="129"/>
      <c r="AT60" s="129"/>
      <c r="AU60" s="509">
        <f>AS60*(AT60-W60)*67.01/10^7</f>
        <v>0</v>
      </c>
      <c r="AV60" s="129"/>
      <c r="AW60" s="129"/>
      <c r="AX60" s="129"/>
      <c r="AY60" s="509">
        <f t="shared" si="80"/>
        <v>0</v>
      </c>
      <c r="AZ60" s="23">
        <f t="shared" si="81"/>
        <v>0</v>
      </c>
      <c r="BA60" s="23">
        <f t="shared" si="81"/>
        <v>0</v>
      </c>
      <c r="BB60" s="509">
        <f t="shared" si="82"/>
        <v>0</v>
      </c>
      <c r="BC60" s="23">
        <f t="shared" si="83"/>
        <v>0</v>
      </c>
      <c r="BD60" s="257">
        <f t="shared" si="83"/>
        <v>0</v>
      </c>
      <c r="BE60" s="257">
        <f t="shared" si="84"/>
        <v>0</v>
      </c>
      <c r="BF60" s="257">
        <f t="shared" si="85"/>
        <v>0</v>
      </c>
      <c r="BG60" s="23">
        <f t="shared" si="85"/>
        <v>0</v>
      </c>
      <c r="BH60" s="257">
        <f t="shared" si="86"/>
        <v>0</v>
      </c>
      <c r="BI60" s="23">
        <f t="shared" si="87"/>
        <v>0</v>
      </c>
      <c r="BJ60" s="23">
        <f t="shared" si="87"/>
        <v>0</v>
      </c>
      <c r="BK60" s="257">
        <f t="shared" si="88"/>
        <v>0</v>
      </c>
      <c r="BL60" s="23">
        <f t="shared" si="89"/>
        <v>0</v>
      </c>
      <c r="BM60" s="23">
        <f t="shared" si="89"/>
        <v>0</v>
      </c>
      <c r="BN60" s="257">
        <f t="shared" si="89"/>
        <v>0</v>
      </c>
      <c r="BO60" s="466">
        <f t="shared" si="90"/>
        <v>0</v>
      </c>
      <c r="BP60" s="472"/>
      <c r="BQ60" s="23">
        <f t="shared" si="91"/>
        <v>0</v>
      </c>
      <c r="BR60" s="23">
        <f t="shared" si="91"/>
        <v>0</v>
      </c>
      <c r="BS60" s="466">
        <f t="shared" si="92"/>
        <v>0</v>
      </c>
      <c r="BT60" s="509">
        <f>G60+K60+O60+S60+W60+AA60</f>
        <v>0</v>
      </c>
      <c r="BU60" s="466">
        <f t="shared" si="71"/>
        <v>0</v>
      </c>
    </row>
    <row r="61" spans="1:73" ht="12.6" customHeight="1">
      <c r="A61" s="482" t="s">
        <v>0</v>
      </c>
      <c r="B61" s="457">
        <f>SUM(B56:B60)</f>
        <v>0</v>
      </c>
      <c r="C61" s="458"/>
      <c r="D61" s="457">
        <f>SUM(D56:D60)</f>
        <v>0</v>
      </c>
      <c r="E61" s="457"/>
      <c r="F61" s="457"/>
      <c r="G61" s="511">
        <f>SUM(G56:G60)</f>
        <v>0</v>
      </c>
      <c r="H61" s="457">
        <f>SUM(H56:H60)</f>
        <v>0</v>
      </c>
      <c r="I61" s="457"/>
      <c r="J61" s="457"/>
      <c r="K61" s="511">
        <f>SUM(K56:K60)</f>
        <v>0</v>
      </c>
      <c r="L61" s="457">
        <f>SUM(L56:L60)</f>
        <v>0</v>
      </c>
      <c r="M61" s="457">
        <f>SUM(M56:M60)</f>
        <v>20</v>
      </c>
      <c r="N61" s="457"/>
      <c r="O61" s="511">
        <f>SUM(O56:O60)</f>
        <v>9.5874000000000001E-2</v>
      </c>
      <c r="P61" s="457">
        <f>SUM(P56:P60)</f>
        <v>0</v>
      </c>
      <c r="Q61" s="457">
        <f>SUM(Q56:Q60)</f>
        <v>0</v>
      </c>
      <c r="R61" s="457"/>
      <c r="S61" s="511">
        <f>SUM(S56:S60)</f>
        <v>0</v>
      </c>
      <c r="T61" s="457">
        <f>SUM(T56:T60)</f>
        <v>0</v>
      </c>
      <c r="U61" s="457">
        <f>IF(ISERROR(V61/T61*1000000),0,(V61/T61*1000000))</f>
        <v>0</v>
      </c>
      <c r="V61" s="457">
        <f t="shared" ref="V61:AB61" si="93">SUM(V56:V60)</f>
        <v>0</v>
      </c>
      <c r="W61" s="511">
        <f t="shared" si="93"/>
        <v>0</v>
      </c>
      <c r="X61" s="457">
        <f t="shared" si="93"/>
        <v>0</v>
      </c>
      <c r="Y61" s="457">
        <f t="shared" si="93"/>
        <v>0</v>
      </c>
      <c r="Z61" s="457">
        <f t="shared" si="93"/>
        <v>0</v>
      </c>
      <c r="AA61" s="511">
        <f t="shared" ref="AA61" si="94">SUM(AA56:AA60)</f>
        <v>0</v>
      </c>
      <c r="AB61" s="457">
        <f t="shared" si="93"/>
        <v>0</v>
      </c>
      <c r="AC61" s="457">
        <f t="shared" ref="AC61:AE61" si="95">SUM(AC56:AC60)</f>
        <v>0</v>
      </c>
      <c r="AD61" s="457">
        <f t="shared" si="95"/>
        <v>0</v>
      </c>
      <c r="AE61" s="511">
        <f t="shared" si="95"/>
        <v>0</v>
      </c>
      <c r="AF61" s="457">
        <f>SUM(AF56:AF60)</f>
        <v>0</v>
      </c>
      <c r="AG61" s="457">
        <f t="shared" ref="AG61:AI61" si="96">SUM(AG56:AG60)</f>
        <v>0</v>
      </c>
      <c r="AH61" s="457">
        <f t="shared" si="96"/>
        <v>0</v>
      </c>
      <c r="AI61" s="511">
        <f t="shared" si="96"/>
        <v>0</v>
      </c>
      <c r="AJ61" s="457">
        <f>SUM(AJ56:AJ60)</f>
        <v>0</v>
      </c>
      <c r="AK61" s="457">
        <f t="shared" ref="AK61:AM61" si="97">SUM(AK56:AK60)</f>
        <v>0</v>
      </c>
      <c r="AL61" s="457">
        <f t="shared" si="97"/>
        <v>0</v>
      </c>
      <c r="AM61" s="511">
        <f t="shared" si="97"/>
        <v>0</v>
      </c>
      <c r="AN61" s="457">
        <f>SUM(AN56:AN60)</f>
        <v>0</v>
      </c>
      <c r="AO61" s="457">
        <f t="shared" ref="AO61:AQ61" si="98">SUM(AO56:AO60)</f>
        <v>20</v>
      </c>
      <c r="AP61" s="457">
        <f t="shared" si="98"/>
        <v>813</v>
      </c>
      <c r="AQ61" s="511">
        <f t="shared" si="98"/>
        <v>0.11058426</v>
      </c>
      <c r="AR61" s="457">
        <f>SUM(AR56:AR60)</f>
        <v>0</v>
      </c>
      <c r="AS61" s="457">
        <f t="shared" ref="AS61:AU61" si="99">SUM(AS56:AS60)</f>
        <v>0</v>
      </c>
      <c r="AT61" s="457">
        <f t="shared" si="99"/>
        <v>0</v>
      </c>
      <c r="AU61" s="511">
        <f t="shared" si="99"/>
        <v>0</v>
      </c>
      <c r="AV61" s="457">
        <f>SUM(AV56:AV60)</f>
        <v>0</v>
      </c>
      <c r="AW61" s="457">
        <f t="shared" ref="AW61:AY61" si="100">SUM(AW56:AW60)</f>
        <v>0</v>
      </c>
      <c r="AX61" s="457">
        <f t="shared" si="100"/>
        <v>0</v>
      </c>
      <c r="AY61" s="511">
        <f t="shared" si="100"/>
        <v>0</v>
      </c>
      <c r="AZ61" s="457">
        <f t="shared" ref="AZ61:BN61" si="101">SUM(AZ56:AZ60)</f>
        <v>0</v>
      </c>
      <c r="BA61" s="457">
        <f t="shared" si="101"/>
        <v>20</v>
      </c>
      <c r="BB61" s="457">
        <f t="shared" si="101"/>
        <v>9.5874000000000001E-2</v>
      </c>
      <c r="BC61" s="457">
        <f t="shared" si="101"/>
        <v>0</v>
      </c>
      <c r="BD61" s="457">
        <f t="shared" si="101"/>
        <v>0</v>
      </c>
      <c r="BE61" s="457">
        <f t="shared" si="101"/>
        <v>0</v>
      </c>
      <c r="BF61" s="457">
        <f t="shared" si="101"/>
        <v>0</v>
      </c>
      <c r="BG61" s="457">
        <f t="shared" si="101"/>
        <v>0</v>
      </c>
      <c r="BH61" s="457">
        <f t="shared" si="101"/>
        <v>0</v>
      </c>
      <c r="BI61" s="457">
        <f t="shared" si="101"/>
        <v>0</v>
      </c>
      <c r="BJ61" s="457">
        <f t="shared" si="101"/>
        <v>20</v>
      </c>
      <c r="BK61" s="457">
        <f t="shared" si="101"/>
        <v>0.11058426</v>
      </c>
      <c r="BL61" s="457">
        <f t="shared" si="101"/>
        <v>0</v>
      </c>
      <c r="BM61" s="457">
        <f t="shared" si="101"/>
        <v>40</v>
      </c>
      <c r="BN61" s="457">
        <f t="shared" si="101"/>
        <v>0.20645826</v>
      </c>
      <c r="BO61" s="525">
        <f>IFERROR(BM61/BL61,0)</f>
        <v>0</v>
      </c>
      <c r="BP61" s="472"/>
      <c r="BQ61" s="457">
        <f t="shared" ref="BQ61:BR61" si="102">SUM(BQ56:BQ60)</f>
        <v>0</v>
      </c>
      <c r="BR61" s="457">
        <f t="shared" si="102"/>
        <v>20</v>
      </c>
      <c r="BS61" s="467">
        <f t="shared" si="8"/>
        <v>0</v>
      </c>
      <c r="BT61" s="511">
        <f t="shared" ref="BT61" si="103">SUM(BT56:BT60)</f>
        <v>9.5874000000000001E-2</v>
      </c>
      <c r="BU61" s="525">
        <f t="shared" si="71"/>
        <v>0</v>
      </c>
    </row>
    <row r="62" spans="1:73" ht="12.6" customHeight="1">
      <c r="A62" s="254"/>
      <c r="B62" s="254"/>
      <c r="C62" s="461"/>
      <c r="D62" s="254"/>
      <c r="E62" s="254"/>
      <c r="F62" s="254"/>
      <c r="G62" s="513"/>
      <c r="H62" s="254"/>
      <c r="I62" s="254"/>
      <c r="J62" s="254"/>
      <c r="K62" s="513"/>
      <c r="L62" s="254"/>
      <c r="M62" s="254"/>
      <c r="N62" s="254"/>
      <c r="O62" s="513"/>
      <c r="P62" s="254"/>
      <c r="Q62" s="254"/>
      <c r="R62" s="254"/>
      <c r="S62" s="513"/>
      <c r="T62" s="254"/>
      <c r="U62" s="254"/>
      <c r="V62" s="254"/>
      <c r="W62" s="513"/>
      <c r="X62" s="254"/>
      <c r="Y62" s="254"/>
      <c r="Z62" s="254"/>
      <c r="AA62" s="513"/>
      <c r="AB62" s="254"/>
      <c r="AC62" s="254"/>
      <c r="AD62" s="254"/>
      <c r="AE62" s="513"/>
      <c r="AF62" s="254"/>
      <c r="AG62" s="254"/>
      <c r="AH62" s="254"/>
      <c r="AI62" s="513"/>
      <c r="AJ62" s="254"/>
      <c r="AK62" s="254"/>
      <c r="AL62" s="254"/>
      <c r="AM62" s="513"/>
      <c r="AN62" s="254"/>
      <c r="AO62" s="254"/>
      <c r="AP62" s="254"/>
      <c r="AQ62" s="513"/>
      <c r="AR62" s="254"/>
      <c r="AS62" s="254"/>
      <c r="AT62" s="254"/>
      <c r="AU62" s="513"/>
      <c r="AV62" s="254"/>
      <c r="AW62" s="254"/>
      <c r="AX62" s="254"/>
      <c r="AY62" s="513"/>
      <c r="AZ62" s="462"/>
      <c r="BA62" s="463"/>
      <c r="BB62" s="513"/>
      <c r="BC62" s="462"/>
      <c r="BD62" s="463"/>
      <c r="BE62" s="463"/>
      <c r="BF62" s="463"/>
      <c r="BG62" s="462"/>
      <c r="BH62" s="463"/>
      <c r="BI62" s="462"/>
      <c r="BJ62" s="462"/>
      <c r="BK62" s="463"/>
      <c r="BL62" s="462"/>
      <c r="BM62" s="462"/>
      <c r="BN62" s="463"/>
      <c r="BO62" s="469">
        <f t="shared" si="42"/>
        <v>0</v>
      </c>
      <c r="BP62" s="472"/>
      <c r="BQ62" s="462"/>
      <c r="BR62" s="462"/>
      <c r="BS62" s="469">
        <f t="shared" si="8"/>
        <v>0</v>
      </c>
      <c r="BT62" s="529"/>
      <c r="BU62" s="469">
        <f t="shared" si="71"/>
        <v>0</v>
      </c>
    </row>
    <row r="63" spans="1:73" ht="12.6" customHeight="1">
      <c r="A63" s="254" t="s">
        <v>60</v>
      </c>
      <c r="B63" s="129">
        <f>D63+H63+L63+P63+T63+X63+AB63+AF63+AJ63+AN63+AR63+AV63</f>
        <v>0</v>
      </c>
      <c r="C63" s="257">
        <v>0</v>
      </c>
      <c r="D63" s="129"/>
      <c r="E63" s="129"/>
      <c r="F63" s="129"/>
      <c r="G63" s="509">
        <f t="shared" ref="G63:G64" si="104">E63*(F63-C63)*66.47/10^7</f>
        <v>0</v>
      </c>
      <c r="H63" s="129"/>
      <c r="I63" s="129"/>
      <c r="J63" s="129"/>
      <c r="K63" s="509"/>
      <c r="L63" s="129"/>
      <c r="M63" s="129"/>
      <c r="N63" s="129"/>
      <c r="O63" s="509"/>
      <c r="P63" s="129"/>
      <c r="Q63" s="129"/>
      <c r="R63" s="129"/>
      <c r="S63" s="509"/>
      <c r="T63" s="129"/>
      <c r="U63" s="129"/>
      <c r="V63" s="129">
        <f>(T63*U63)/10^6</f>
        <v>0</v>
      </c>
      <c r="W63" s="509">
        <f t="shared" ref="W63:W64" si="105">U63*(V63-C63)*66.93/10^7</f>
        <v>0</v>
      </c>
      <c r="X63" s="129"/>
      <c r="Y63" s="129"/>
      <c r="Z63" s="129"/>
      <c r="AA63" s="509">
        <f t="shared" ref="AA63:AA64" si="106">Y63*(Z63-C63)*66.69/10^7</f>
        <v>0</v>
      </c>
      <c r="AB63" s="129"/>
      <c r="AC63" s="129"/>
      <c r="AD63" s="129"/>
      <c r="AE63" s="509">
        <f>AC63*(AD63-G63)*66.73/10^7</f>
        <v>0</v>
      </c>
      <c r="AF63" s="129"/>
      <c r="AG63" s="129"/>
      <c r="AH63" s="129"/>
      <c r="AI63" s="509">
        <f>AG63*(AH63-K63)*67.58/10^7</f>
        <v>0</v>
      </c>
      <c r="AJ63" s="129"/>
      <c r="AK63" s="129"/>
      <c r="AL63" s="129"/>
      <c r="AM63" s="509">
        <f>AK63*(AL63-O63)*67.91/10^7</f>
        <v>0</v>
      </c>
      <c r="AN63" s="129"/>
      <c r="AO63" s="129"/>
      <c r="AP63" s="129"/>
      <c r="AQ63" s="509">
        <f>AO63*(AP63-S63)*68.01/10^7</f>
        <v>0</v>
      </c>
      <c r="AR63" s="129"/>
      <c r="AS63" s="129"/>
      <c r="AT63" s="129"/>
      <c r="AU63" s="509">
        <f>AS63*(AT63-W63)*67.01/10^7</f>
        <v>0</v>
      </c>
      <c r="AV63" s="129"/>
      <c r="AW63" s="129"/>
      <c r="AX63" s="129"/>
      <c r="AY63" s="509">
        <f t="shared" ref="AY63:AY64" si="107">AW63*(AX63-AA63)*66.69/10^7</f>
        <v>0</v>
      </c>
      <c r="AZ63" s="23">
        <f t="shared" ref="AZ63:BA64" si="108">+D63+H63+L63</f>
        <v>0</v>
      </c>
      <c r="BA63" s="23">
        <f t="shared" si="108"/>
        <v>0</v>
      </c>
      <c r="BB63" s="509">
        <f t="shared" ref="BB63:BB64" si="109">+G63+K63+O63</f>
        <v>0</v>
      </c>
      <c r="BC63" s="23">
        <f t="shared" ref="BC63:BD64" si="110">+P63+T63+X63</f>
        <v>0</v>
      </c>
      <c r="BD63" s="257">
        <f t="shared" si="110"/>
        <v>0</v>
      </c>
      <c r="BE63" s="257">
        <f t="shared" ref="BE63:BE64" si="111">S63+W63+AA63</f>
        <v>0</v>
      </c>
      <c r="BF63" s="257">
        <f t="shared" ref="BF63:BG64" si="112">AB63+AF63+AJ63</f>
        <v>0</v>
      </c>
      <c r="BG63" s="23">
        <f t="shared" si="112"/>
        <v>0</v>
      </c>
      <c r="BH63" s="257">
        <f t="shared" ref="BH63:BH64" si="113">AE63+AI63+AM63</f>
        <v>0</v>
      </c>
      <c r="BI63" s="23">
        <f t="shared" ref="BI63:BJ64" si="114">+AN63+AR63+AV63</f>
        <v>0</v>
      </c>
      <c r="BJ63" s="23">
        <f t="shared" si="114"/>
        <v>0</v>
      </c>
      <c r="BK63" s="257">
        <f t="shared" ref="BK63:BK64" si="115">AQ63+AU63+AY63</f>
        <v>0</v>
      </c>
      <c r="BL63" s="23">
        <f t="shared" ref="BL63:BN64" si="116">AZ63+BC63+BF63+BI63</f>
        <v>0</v>
      </c>
      <c r="BM63" s="23">
        <f t="shared" si="116"/>
        <v>0</v>
      </c>
      <c r="BN63" s="257">
        <f t="shared" si="116"/>
        <v>0</v>
      </c>
      <c r="BO63" s="466">
        <f t="shared" ref="BO63:BO64" si="117">IFERROR(BM63/BL63,0)</f>
        <v>0</v>
      </c>
      <c r="BP63" s="472"/>
      <c r="BQ63" s="23">
        <f>D63+H63+L63+P63+T63+X63</f>
        <v>0</v>
      </c>
      <c r="BR63" s="23">
        <f>E63+I63+M63+Q63+U63+Y63</f>
        <v>0</v>
      </c>
      <c r="BS63" s="466">
        <f t="shared" ref="BS63:BS64" si="118">IFERROR(BR63/BQ63,0)</f>
        <v>0</v>
      </c>
      <c r="BT63" s="509">
        <f>G63+K63+O63+S63+W63+AA63</f>
        <v>0</v>
      </c>
      <c r="BU63" s="466">
        <f t="shared" si="71"/>
        <v>0</v>
      </c>
    </row>
    <row r="64" spans="1:73" ht="12.6" customHeight="1">
      <c r="A64" s="254" t="s">
        <v>61</v>
      </c>
      <c r="B64" s="129">
        <f>D64+H64+L64+P64+T64+X64+AB64+AF64+AJ64+AN64+AR64+AV64</f>
        <v>0</v>
      </c>
      <c r="C64" s="257">
        <v>0</v>
      </c>
      <c r="D64" s="129"/>
      <c r="E64" s="129"/>
      <c r="F64" s="129"/>
      <c r="G64" s="509">
        <f t="shared" si="104"/>
        <v>0</v>
      </c>
      <c r="H64" s="129"/>
      <c r="I64" s="129"/>
      <c r="J64" s="129"/>
      <c r="K64" s="509"/>
      <c r="L64" s="129"/>
      <c r="M64" s="129"/>
      <c r="N64" s="129"/>
      <c r="O64" s="509"/>
      <c r="P64" s="129"/>
      <c r="Q64" s="129"/>
      <c r="R64" s="129"/>
      <c r="S64" s="509"/>
      <c r="T64" s="129"/>
      <c r="U64" s="129"/>
      <c r="V64" s="129">
        <f>(T64*U64)/10^6</f>
        <v>0</v>
      </c>
      <c r="W64" s="509">
        <f t="shared" si="105"/>
        <v>0</v>
      </c>
      <c r="X64" s="129"/>
      <c r="Y64" s="129"/>
      <c r="Z64" s="129"/>
      <c r="AA64" s="509">
        <f t="shared" si="106"/>
        <v>0</v>
      </c>
      <c r="AB64" s="129"/>
      <c r="AC64" s="129"/>
      <c r="AD64" s="129"/>
      <c r="AE64" s="509">
        <f>AC64*(AD64-G64)*66.73/10^7</f>
        <v>0</v>
      </c>
      <c r="AF64" s="129"/>
      <c r="AG64" s="129"/>
      <c r="AH64" s="129"/>
      <c r="AI64" s="509">
        <f>AG64*(AH64-K64)*67.58/10^7</f>
        <v>0</v>
      </c>
      <c r="AJ64" s="129"/>
      <c r="AK64" s="129"/>
      <c r="AL64" s="129"/>
      <c r="AM64" s="509">
        <f>AK64*(AL64-O64)*67.91/10^7</f>
        <v>0</v>
      </c>
      <c r="AN64" s="129"/>
      <c r="AO64" s="129"/>
      <c r="AP64" s="129"/>
      <c r="AQ64" s="509">
        <f>AO64*(AP64-S64)*68.01/10^7</f>
        <v>0</v>
      </c>
      <c r="AR64" s="129"/>
      <c r="AS64" s="129"/>
      <c r="AT64" s="129"/>
      <c r="AU64" s="509">
        <f>AS64*(AT64-W64)*67.01/10^7</f>
        <v>0</v>
      </c>
      <c r="AV64" s="129"/>
      <c r="AW64" s="129"/>
      <c r="AX64" s="129"/>
      <c r="AY64" s="509">
        <f t="shared" si="107"/>
        <v>0</v>
      </c>
      <c r="AZ64" s="23">
        <f t="shared" si="108"/>
        <v>0</v>
      </c>
      <c r="BA64" s="23">
        <f t="shared" si="108"/>
        <v>0</v>
      </c>
      <c r="BB64" s="509">
        <f t="shared" si="109"/>
        <v>0</v>
      </c>
      <c r="BC64" s="23">
        <f t="shared" si="110"/>
        <v>0</v>
      </c>
      <c r="BD64" s="257">
        <f t="shared" si="110"/>
        <v>0</v>
      </c>
      <c r="BE64" s="257">
        <f t="shared" si="111"/>
        <v>0</v>
      </c>
      <c r="BF64" s="257">
        <f t="shared" si="112"/>
        <v>0</v>
      </c>
      <c r="BG64" s="23">
        <f t="shared" si="112"/>
        <v>0</v>
      </c>
      <c r="BH64" s="257">
        <f t="shared" si="113"/>
        <v>0</v>
      </c>
      <c r="BI64" s="23">
        <f t="shared" si="114"/>
        <v>0</v>
      </c>
      <c r="BJ64" s="23">
        <f t="shared" si="114"/>
        <v>0</v>
      </c>
      <c r="BK64" s="257">
        <f t="shared" si="115"/>
        <v>0</v>
      </c>
      <c r="BL64" s="23">
        <f t="shared" si="116"/>
        <v>0</v>
      </c>
      <c r="BM64" s="23">
        <f t="shared" si="116"/>
        <v>0</v>
      </c>
      <c r="BN64" s="257">
        <f t="shared" si="116"/>
        <v>0</v>
      </c>
      <c r="BO64" s="466">
        <f t="shared" si="117"/>
        <v>0</v>
      </c>
      <c r="BP64" s="472"/>
      <c r="BQ64" s="23">
        <f>D64+H64+L64+P64+T64+X64</f>
        <v>0</v>
      </c>
      <c r="BR64" s="23">
        <f>E64+I64+M64+Q64+U64+Y64</f>
        <v>0</v>
      </c>
      <c r="BS64" s="466">
        <f t="shared" si="118"/>
        <v>0</v>
      </c>
      <c r="BT64" s="509">
        <f>G64+K64+O64+S64+W64+AA64</f>
        <v>0</v>
      </c>
      <c r="BU64" s="466">
        <f t="shared" si="71"/>
        <v>0</v>
      </c>
    </row>
    <row r="65" spans="1:73" ht="12.6" customHeight="1">
      <c r="A65" s="482" t="s">
        <v>104</v>
      </c>
      <c r="B65" s="457">
        <f>SUM(B63:B64)</f>
        <v>0</v>
      </c>
      <c r="C65" s="458"/>
      <c r="D65" s="457">
        <f>SUM(D63:D64)</f>
        <v>0</v>
      </c>
      <c r="E65" s="457"/>
      <c r="F65" s="457"/>
      <c r="G65" s="511"/>
      <c r="H65" s="457">
        <f>SUM(H63:H64)</f>
        <v>0</v>
      </c>
      <c r="I65" s="457"/>
      <c r="J65" s="457"/>
      <c r="K65" s="511"/>
      <c r="L65" s="457">
        <f>SUM(L63:L64)</f>
        <v>0</v>
      </c>
      <c r="M65" s="457"/>
      <c r="N65" s="457"/>
      <c r="O65" s="511"/>
      <c r="P65" s="457">
        <f>SUM(P63:P64)</f>
        <v>0</v>
      </c>
      <c r="Q65" s="457"/>
      <c r="R65" s="457"/>
      <c r="S65" s="511"/>
      <c r="T65" s="457">
        <f>SUM(T63:T64)</f>
        <v>0</v>
      </c>
      <c r="U65" s="457">
        <f>IF(ISERROR(V65/T65*1000000),0,(V65/T65*1000000))</f>
        <v>0</v>
      </c>
      <c r="V65" s="457">
        <f t="shared" ref="V65:AB65" si="119">SUM(V63:V64)</f>
        <v>0</v>
      </c>
      <c r="W65" s="511">
        <f t="shared" si="119"/>
        <v>0</v>
      </c>
      <c r="X65" s="457">
        <f t="shared" si="119"/>
        <v>0</v>
      </c>
      <c r="Y65" s="457">
        <f t="shared" si="119"/>
        <v>0</v>
      </c>
      <c r="Z65" s="457">
        <f t="shared" si="119"/>
        <v>0</v>
      </c>
      <c r="AA65" s="511">
        <f t="shared" ref="AA65" si="120">SUM(AA63:AA64)</f>
        <v>0</v>
      </c>
      <c r="AB65" s="457">
        <f t="shared" si="119"/>
        <v>0</v>
      </c>
      <c r="AC65" s="457">
        <f t="shared" ref="AC65:AE65" si="121">SUM(AC63:AC64)</f>
        <v>0</v>
      </c>
      <c r="AD65" s="457">
        <f t="shared" si="121"/>
        <v>0</v>
      </c>
      <c r="AE65" s="511">
        <f t="shared" si="121"/>
        <v>0</v>
      </c>
      <c r="AF65" s="457">
        <f>SUM(AF63:AF64)</f>
        <v>0</v>
      </c>
      <c r="AG65" s="457">
        <f t="shared" ref="AG65:AI65" si="122">SUM(AG63:AG64)</f>
        <v>0</v>
      </c>
      <c r="AH65" s="457">
        <f t="shared" si="122"/>
        <v>0</v>
      </c>
      <c r="AI65" s="511">
        <f t="shared" si="122"/>
        <v>0</v>
      </c>
      <c r="AJ65" s="457">
        <f>SUM(AJ63:AJ64)</f>
        <v>0</v>
      </c>
      <c r="AK65" s="457">
        <f t="shared" ref="AK65:AM65" si="123">SUM(AK63:AK64)</f>
        <v>0</v>
      </c>
      <c r="AL65" s="457">
        <f t="shared" si="123"/>
        <v>0</v>
      </c>
      <c r="AM65" s="511">
        <f t="shared" si="123"/>
        <v>0</v>
      </c>
      <c r="AN65" s="457">
        <f>SUM(AN63:AN64)</f>
        <v>0</v>
      </c>
      <c r="AO65" s="457">
        <f t="shared" ref="AO65:AQ65" si="124">SUM(AO63:AO64)</f>
        <v>0</v>
      </c>
      <c r="AP65" s="457">
        <f t="shared" si="124"/>
        <v>0</v>
      </c>
      <c r="AQ65" s="511">
        <f t="shared" si="124"/>
        <v>0</v>
      </c>
      <c r="AR65" s="457">
        <f>SUM(AR63:AR64)</f>
        <v>0</v>
      </c>
      <c r="AS65" s="457">
        <f t="shared" ref="AS65:AU65" si="125">SUM(AS63:AS64)</f>
        <v>0</v>
      </c>
      <c r="AT65" s="457">
        <f t="shared" si="125"/>
        <v>0</v>
      </c>
      <c r="AU65" s="511">
        <f t="shared" si="125"/>
        <v>0</v>
      </c>
      <c r="AV65" s="457">
        <f>SUM(AV63:AV64)</f>
        <v>0</v>
      </c>
      <c r="AW65" s="457">
        <f t="shared" ref="AW65:AY65" si="126">SUM(AW63:AW64)</f>
        <v>0</v>
      </c>
      <c r="AX65" s="457">
        <f t="shared" si="126"/>
        <v>0</v>
      </c>
      <c r="AY65" s="511">
        <f t="shared" si="126"/>
        <v>0</v>
      </c>
      <c r="AZ65" s="457">
        <f t="shared" ref="AZ65:BN65" si="127">SUM(AZ63:AZ64)</f>
        <v>0</v>
      </c>
      <c r="BA65" s="458">
        <f t="shared" si="127"/>
        <v>0</v>
      </c>
      <c r="BB65" s="511">
        <f t="shared" si="127"/>
        <v>0</v>
      </c>
      <c r="BC65" s="457">
        <f t="shared" si="127"/>
        <v>0</v>
      </c>
      <c r="BD65" s="458">
        <f t="shared" si="127"/>
        <v>0</v>
      </c>
      <c r="BE65" s="458">
        <f t="shared" si="127"/>
        <v>0</v>
      </c>
      <c r="BF65" s="458">
        <f t="shared" si="127"/>
        <v>0</v>
      </c>
      <c r="BG65" s="458">
        <f t="shared" si="127"/>
        <v>0</v>
      </c>
      <c r="BH65" s="458">
        <f t="shared" si="127"/>
        <v>0</v>
      </c>
      <c r="BI65" s="458">
        <f t="shared" si="127"/>
        <v>0</v>
      </c>
      <c r="BJ65" s="458">
        <f t="shared" si="127"/>
        <v>0</v>
      </c>
      <c r="BK65" s="458">
        <f t="shared" si="127"/>
        <v>0</v>
      </c>
      <c r="BL65" s="458">
        <f t="shared" si="127"/>
        <v>0</v>
      </c>
      <c r="BM65" s="458">
        <f t="shared" si="127"/>
        <v>0</v>
      </c>
      <c r="BN65" s="458">
        <f t="shared" si="127"/>
        <v>0</v>
      </c>
      <c r="BO65" s="525">
        <f>IFERROR(BM65/BL65,0)</f>
        <v>0</v>
      </c>
      <c r="BP65" s="472"/>
      <c r="BQ65" s="457">
        <f t="shared" ref="BQ65:BR65" si="128">SUM(BQ63:BQ64)</f>
        <v>0</v>
      </c>
      <c r="BR65" s="457">
        <f t="shared" si="128"/>
        <v>0</v>
      </c>
      <c r="BS65" s="467">
        <f t="shared" si="8"/>
        <v>0</v>
      </c>
      <c r="BT65" s="530">
        <f t="shared" ref="BT65" si="129">SUM(BT63:BT64)</f>
        <v>0</v>
      </c>
      <c r="BU65" s="525">
        <f t="shared" si="71"/>
        <v>0</v>
      </c>
    </row>
    <row r="66" spans="1:73" ht="12.6" hidden="1" customHeight="1">
      <c r="A66" s="254"/>
      <c r="B66" s="254"/>
      <c r="C66" s="461"/>
      <c r="D66" s="254"/>
      <c r="E66" s="254"/>
      <c r="F66" s="254"/>
      <c r="G66" s="513"/>
      <c r="H66" s="254"/>
      <c r="I66" s="254"/>
      <c r="J66" s="254"/>
      <c r="K66" s="513"/>
      <c r="L66" s="254"/>
      <c r="M66" s="254"/>
      <c r="N66" s="254"/>
      <c r="O66" s="513"/>
      <c r="P66" s="254"/>
      <c r="Q66" s="254"/>
      <c r="R66" s="254"/>
      <c r="S66" s="513"/>
      <c r="T66" s="254"/>
      <c r="U66" s="254"/>
      <c r="V66" s="254"/>
      <c r="W66" s="513"/>
      <c r="X66" s="254"/>
      <c r="Y66" s="254"/>
      <c r="Z66" s="254"/>
      <c r="AA66" s="513"/>
      <c r="AB66" s="254"/>
      <c r="AC66" s="254"/>
      <c r="AD66" s="254"/>
      <c r="AE66" s="513"/>
      <c r="AF66" s="254"/>
      <c r="AG66" s="254"/>
      <c r="AH66" s="254"/>
      <c r="AI66" s="513"/>
      <c r="AJ66" s="254"/>
      <c r="AK66" s="254"/>
      <c r="AL66" s="254"/>
      <c r="AM66" s="513"/>
      <c r="AN66" s="254"/>
      <c r="AO66" s="254"/>
      <c r="AP66" s="254"/>
      <c r="AQ66" s="513"/>
      <c r="AR66" s="254"/>
      <c r="AS66" s="254"/>
      <c r="AT66" s="254"/>
      <c r="AU66" s="513"/>
      <c r="AV66" s="254"/>
      <c r="AW66" s="254"/>
      <c r="AX66" s="254"/>
      <c r="AY66" s="513"/>
      <c r="AZ66" s="462"/>
      <c r="BA66" s="463"/>
      <c r="BB66" s="513"/>
      <c r="BC66" s="462"/>
      <c r="BD66" s="463"/>
      <c r="BE66" s="463"/>
      <c r="BF66" s="463"/>
      <c r="BG66" s="462"/>
      <c r="BH66" s="463"/>
      <c r="BI66" s="462"/>
      <c r="BJ66" s="462"/>
      <c r="BK66" s="463"/>
      <c r="BL66" s="462"/>
      <c r="BM66" s="462"/>
      <c r="BN66" s="463"/>
      <c r="BO66" s="469">
        <f t="shared" si="42"/>
        <v>0</v>
      </c>
      <c r="BP66" s="472"/>
      <c r="BQ66" s="462"/>
      <c r="BR66" s="462"/>
      <c r="BS66" s="469">
        <f t="shared" si="8"/>
        <v>0</v>
      </c>
      <c r="BT66" s="531"/>
      <c r="BU66" s="469">
        <f t="shared" si="71"/>
        <v>0</v>
      </c>
    </row>
    <row r="67" spans="1:73" ht="12.6" hidden="1" customHeight="1">
      <c r="A67" s="482" t="s">
        <v>82</v>
      </c>
      <c r="B67" s="457">
        <f>B24+B54+B61</f>
        <v>14122</v>
      </c>
      <c r="C67" s="458"/>
      <c r="D67" s="457">
        <f>D24+D54+D61+D65</f>
        <v>945</v>
      </c>
      <c r="E67" s="457">
        <f>E24+E54+E61+E65</f>
        <v>413</v>
      </c>
      <c r="F67" s="457"/>
      <c r="G67" s="511">
        <f>G24+G54+G61+G65</f>
        <v>5.8732726774571429</v>
      </c>
      <c r="H67" s="457">
        <f>H24+H54+H61+H65</f>
        <v>810</v>
      </c>
      <c r="I67" s="457">
        <f>I24+I54+I61+I65</f>
        <v>630</v>
      </c>
      <c r="J67" s="457"/>
      <c r="K67" s="511">
        <f>K24+K54+K61+K65</f>
        <v>5.8486795685714288</v>
      </c>
      <c r="L67" s="457">
        <f>L24+L54+L61+L65</f>
        <v>1223</v>
      </c>
      <c r="M67" s="457">
        <f>M24+M54+M61+M65</f>
        <v>233</v>
      </c>
      <c r="N67" s="457"/>
      <c r="O67" s="511">
        <f>O24+O54+O61+O65</f>
        <v>4.6802486194285731</v>
      </c>
      <c r="P67" s="457">
        <f>P24+P54+P61+P65</f>
        <v>1430</v>
      </c>
      <c r="Q67" s="457">
        <f>Q24+Q54+Q61+Q65</f>
        <v>511</v>
      </c>
      <c r="R67" s="457"/>
      <c r="S67" s="511">
        <f>S24+S54+S61+S65</f>
        <v>6.8612598620571434</v>
      </c>
      <c r="T67" s="457">
        <f>T24+T54+T61+T65</f>
        <v>1192</v>
      </c>
      <c r="U67" s="457">
        <f>IF(ISERROR(V67/T67*1000000),0,(V67/T67*1000000))</f>
        <v>0</v>
      </c>
      <c r="V67" s="457">
        <f t="shared" ref="V67:AB67" si="130">V24+V54+V61+V65</f>
        <v>0</v>
      </c>
      <c r="W67" s="511">
        <f t="shared" si="130"/>
        <v>5.9816906205857157</v>
      </c>
      <c r="X67" s="457">
        <f t="shared" si="130"/>
        <v>1290</v>
      </c>
      <c r="Y67" s="457">
        <f t="shared" si="130"/>
        <v>693</v>
      </c>
      <c r="Z67" s="457">
        <f t="shared" si="130"/>
        <v>0</v>
      </c>
      <c r="AA67" s="511">
        <f t="shared" ref="AA67" si="131">AA24+AA54+AA61+AA65</f>
        <v>15.601871030014289</v>
      </c>
      <c r="AB67" s="457">
        <f t="shared" si="130"/>
        <v>1245</v>
      </c>
      <c r="AC67" s="457">
        <f t="shared" ref="AC67:AE67" si="132">AC24+AC54+AC61+AC65</f>
        <v>433</v>
      </c>
      <c r="AD67" s="457">
        <f t="shared" si="132"/>
        <v>0</v>
      </c>
      <c r="AE67" s="511">
        <f t="shared" si="132"/>
        <v>10.177177241308884</v>
      </c>
      <c r="AF67" s="457">
        <f>AF24+AF54+AF61+AF65</f>
        <v>1145</v>
      </c>
      <c r="AG67" s="457">
        <f t="shared" ref="AG67:AI67" si="133">AG24+AG54+AG61+AG65</f>
        <v>80</v>
      </c>
      <c r="AH67" s="457">
        <f t="shared" si="133"/>
        <v>0</v>
      </c>
      <c r="AI67" s="511">
        <f t="shared" si="133"/>
        <v>2.3724290546028461</v>
      </c>
      <c r="AJ67" s="457">
        <f>AJ24+AJ54+AJ61+AJ65</f>
        <v>1351</v>
      </c>
      <c r="AK67" s="457">
        <f t="shared" ref="AK67:AM67" si="134">AK24+AK54+AK61+AK65</f>
        <v>169</v>
      </c>
      <c r="AL67" s="457">
        <f t="shared" si="134"/>
        <v>0</v>
      </c>
      <c r="AM67" s="511">
        <f t="shared" si="134"/>
        <v>3.6187102857225795</v>
      </c>
      <c r="AN67" s="457">
        <f>AN24+AN54+AN61+AN65</f>
        <v>1295</v>
      </c>
      <c r="AO67" s="457">
        <f t="shared" ref="AO67:AQ67" si="135">AO24+AO54+AO61+AO65</f>
        <v>453</v>
      </c>
      <c r="AP67" s="457">
        <f t="shared" si="135"/>
        <v>813</v>
      </c>
      <c r="AQ67" s="511">
        <f t="shared" si="135"/>
        <v>9.4208267761257645</v>
      </c>
      <c r="AR67" s="457">
        <f>AR24+AR54+AR61+AR65</f>
        <v>1271</v>
      </c>
      <c r="AS67" s="457">
        <f t="shared" ref="AS67:AU67" si="136">AS24+AS54+AS61+AS65</f>
        <v>455</v>
      </c>
      <c r="AT67" s="457">
        <f t="shared" si="136"/>
        <v>0</v>
      </c>
      <c r="AU67" s="511">
        <f t="shared" si="136"/>
        <v>8.5775615010574615</v>
      </c>
      <c r="AV67" s="457">
        <f>AV24+AV54+AV61+AV65</f>
        <v>925</v>
      </c>
      <c r="AW67" s="457">
        <f t="shared" ref="AW67:BK67" si="137">AW24+AW54+AW61+AW65</f>
        <v>0</v>
      </c>
      <c r="AX67" s="457">
        <f t="shared" si="137"/>
        <v>0</v>
      </c>
      <c r="AY67" s="511">
        <f t="shared" si="137"/>
        <v>0</v>
      </c>
      <c r="AZ67" s="458">
        <f t="shared" si="137"/>
        <v>2978</v>
      </c>
      <c r="BA67" s="458">
        <f t="shared" si="137"/>
        <v>1276</v>
      </c>
      <c r="BB67" s="511">
        <f t="shared" si="137"/>
        <v>16.402200865457143</v>
      </c>
      <c r="BC67" s="457">
        <f t="shared" si="137"/>
        <v>3912</v>
      </c>
      <c r="BD67" s="458">
        <f t="shared" si="137"/>
        <v>1736</v>
      </c>
      <c r="BE67" s="458"/>
      <c r="BF67" s="458"/>
      <c r="BG67" s="457">
        <f t="shared" si="137"/>
        <v>682</v>
      </c>
      <c r="BH67" s="458">
        <f t="shared" si="137"/>
        <v>16.168316581634311</v>
      </c>
      <c r="BI67" s="457">
        <f t="shared" si="137"/>
        <v>3491</v>
      </c>
      <c r="BJ67" s="457"/>
      <c r="BK67" s="458">
        <f t="shared" si="137"/>
        <v>17.998388277183228</v>
      </c>
      <c r="BL67" s="457">
        <v>25101</v>
      </c>
      <c r="BM67" s="457"/>
      <c r="BN67" s="458" t="e">
        <v>#REF!</v>
      </c>
      <c r="BO67" s="525">
        <f>IFERROR(BM67/BL67,0)</f>
        <v>0</v>
      </c>
      <c r="BP67" s="472"/>
      <c r="BQ67" s="457">
        <f t="shared" ref="BQ67:BR67" si="138">BQ24+BQ54+BQ61+BQ65</f>
        <v>6890</v>
      </c>
      <c r="BR67" s="457">
        <f t="shared" si="138"/>
        <v>3012</v>
      </c>
      <c r="BS67" s="467">
        <f t="shared" si="8"/>
        <v>0.43715529753265603</v>
      </c>
      <c r="BT67" s="530">
        <f t="shared" ref="BT67" si="139">BT24+BT54+BT61+BT65</f>
        <v>44.847022378114296</v>
      </c>
      <c r="BU67" s="525">
        <f t="shared" si="71"/>
        <v>0.21328423736014729</v>
      </c>
    </row>
    <row r="68" spans="1:73" ht="12.6" hidden="1" customHeight="1">
      <c r="A68" s="254"/>
      <c r="B68" s="254"/>
      <c r="C68" s="461"/>
      <c r="D68" s="254"/>
      <c r="E68" s="254"/>
      <c r="F68" s="254"/>
      <c r="G68" s="513"/>
      <c r="H68" s="254"/>
      <c r="I68" s="254"/>
      <c r="J68" s="254"/>
      <c r="K68" s="513"/>
      <c r="L68" s="254"/>
      <c r="M68" s="254"/>
      <c r="N68" s="254"/>
      <c r="O68" s="513"/>
      <c r="P68" s="254"/>
      <c r="Q68" s="254"/>
      <c r="R68" s="254"/>
      <c r="S68" s="513"/>
      <c r="T68" s="254"/>
      <c r="U68" s="254"/>
      <c r="V68" s="254"/>
      <c r="W68" s="513"/>
      <c r="X68" s="254"/>
      <c r="Y68" s="254"/>
      <c r="Z68" s="254"/>
      <c r="AA68" s="513"/>
      <c r="AB68" s="254"/>
      <c r="AC68" s="254"/>
      <c r="AD68" s="254"/>
      <c r="AE68" s="513"/>
      <c r="AF68" s="254"/>
      <c r="AG68" s="254"/>
      <c r="AH68" s="254"/>
      <c r="AI68" s="513"/>
      <c r="AJ68" s="254"/>
      <c r="AK68" s="254"/>
      <c r="AL68" s="254"/>
      <c r="AM68" s="513"/>
      <c r="AN68" s="254"/>
      <c r="AO68" s="254"/>
      <c r="AP68" s="254"/>
      <c r="AQ68" s="513"/>
      <c r="AR68" s="254"/>
      <c r="AS68" s="254"/>
      <c r="AT68" s="254"/>
      <c r="AU68" s="513"/>
      <c r="AV68" s="254"/>
      <c r="AW68" s="254"/>
      <c r="AX68" s="254"/>
      <c r="AY68" s="513"/>
      <c r="AZ68" s="462"/>
      <c r="BA68" s="463"/>
      <c r="BB68" s="513"/>
      <c r="BC68" s="462"/>
      <c r="BD68" s="257">
        <v>0</v>
      </c>
      <c r="BE68" s="257"/>
      <c r="BF68" s="257"/>
      <c r="BG68" s="462" t="e">
        <f>A68+#REF!+#REF!+#REF!+#REF!+#REF!+#REF!+#REF!+#REF!+#REF!+#REF!+#REF!</f>
        <v>#REF!</v>
      </c>
      <c r="BH68" s="463" t="e">
        <f>+#REF!+#REF!+#REF!+#REF!+#REF!+#REF!+#REF!+#REF!+#REF!+#REF!+#REF!+BI68+#REF!</f>
        <v>#REF!</v>
      </c>
      <c r="BI68" s="462" t="e">
        <f>#REF!+#REF!+#REF!+#REF!+#REF!+#REF!+#REF!+#REF!+#REF!+#REF!+#REF!+#REF!</f>
        <v>#REF!</v>
      </c>
      <c r="BJ68" s="462"/>
      <c r="BK68" s="463" t="e">
        <f>+H68+L68+P68+T68+X68+AB68+AF68+AJ68+AN68+AR68+AV68+BL68+D68</f>
        <v>#REF!</v>
      </c>
      <c r="BL68" s="462" t="e">
        <v>#REF!</v>
      </c>
      <c r="BM68" s="462"/>
      <c r="BN68" s="463">
        <v>0</v>
      </c>
      <c r="BO68" s="469">
        <f t="shared" si="42"/>
        <v>0</v>
      </c>
      <c r="BP68" s="472"/>
      <c r="BQ68" s="462"/>
      <c r="BR68" s="462"/>
      <c r="BS68" s="469">
        <f t="shared" si="8"/>
        <v>0</v>
      </c>
      <c r="BT68" s="531"/>
      <c r="BU68" s="469">
        <f t="shared" si="71"/>
        <v>0</v>
      </c>
    </row>
    <row r="69" spans="1:73" ht="12.6" hidden="1" customHeight="1">
      <c r="A69" s="482" t="s">
        <v>81</v>
      </c>
      <c r="B69" s="498">
        <f>D69+H69+L69+P69+T69+X69+AB69+AF69+AJ69+AN69+AR69+AV69</f>
        <v>0</v>
      </c>
      <c r="C69" s="499"/>
      <c r="D69" s="498"/>
      <c r="E69" s="498"/>
      <c r="F69" s="498"/>
      <c r="G69" s="514"/>
      <c r="H69" s="498"/>
      <c r="I69" s="498"/>
      <c r="J69" s="498"/>
      <c r="K69" s="514"/>
      <c r="L69" s="498"/>
      <c r="M69" s="498"/>
      <c r="N69" s="498"/>
      <c r="O69" s="514"/>
      <c r="P69" s="498"/>
      <c r="Q69" s="498"/>
      <c r="R69" s="498"/>
      <c r="S69" s="514"/>
      <c r="T69" s="498"/>
      <c r="U69" s="498"/>
      <c r="V69" s="498">
        <f>(T69*U69)/10^6</f>
        <v>0</v>
      </c>
      <c r="W69" s="514">
        <f>U69*(V69-C69)*66.93/10^7</f>
        <v>0</v>
      </c>
      <c r="X69" s="498"/>
      <c r="Y69" s="498"/>
      <c r="Z69" s="498"/>
      <c r="AA69" s="514">
        <f>Y69*(Z69-G69)*66.93/10^7</f>
        <v>0</v>
      </c>
      <c r="AB69" s="498"/>
      <c r="AC69" s="498"/>
      <c r="AD69" s="498"/>
      <c r="AE69" s="514">
        <f>AC69*(AD69-K69)*66.93/10^7</f>
        <v>0</v>
      </c>
      <c r="AF69" s="498"/>
      <c r="AG69" s="498"/>
      <c r="AH69" s="498"/>
      <c r="AI69" s="514">
        <f>AG69*(AH69-O69)*66.93/10^7</f>
        <v>0</v>
      </c>
      <c r="AJ69" s="498"/>
      <c r="AK69" s="498"/>
      <c r="AL69" s="498"/>
      <c r="AM69" s="514">
        <f>AK69*(AL69-S69)*66.93/10^7</f>
        <v>0</v>
      </c>
      <c r="AN69" s="498"/>
      <c r="AO69" s="498"/>
      <c r="AP69" s="498"/>
      <c r="AQ69" s="514">
        <f>AO69*(AP69-W69)*66.93/10^7</f>
        <v>0</v>
      </c>
      <c r="AR69" s="498"/>
      <c r="AS69" s="498"/>
      <c r="AT69" s="498"/>
      <c r="AU69" s="514">
        <f>AS69*(AT69-AA69)*66.93/10^7</f>
        <v>0</v>
      </c>
      <c r="AV69" s="498"/>
      <c r="AW69" s="498"/>
      <c r="AX69" s="498"/>
      <c r="AY69" s="514">
        <f>AW69*(AX69-AE69)*66.93/10^7</f>
        <v>0</v>
      </c>
      <c r="AZ69" s="257">
        <f>+D69+H69+L69</f>
        <v>0</v>
      </c>
      <c r="BA69" s="23">
        <f>+E69+I69+M69</f>
        <v>0</v>
      </c>
      <c r="BB69" s="514">
        <f>+G69+K69+O69</f>
        <v>0</v>
      </c>
      <c r="BC69" s="257">
        <f>+P69+T69+X69</f>
        <v>0</v>
      </c>
      <c r="BD69" s="257">
        <v>0</v>
      </c>
      <c r="BE69" s="257"/>
      <c r="BF69" s="257"/>
      <c r="BG69" s="257">
        <f>+AB69+AF69+AJ69</f>
        <v>0</v>
      </c>
      <c r="BH69" s="257" t="e">
        <f>+#REF!+#REF!+#REF!</f>
        <v>#REF!</v>
      </c>
      <c r="BI69" s="257">
        <f>+AN69+AR69+AV69</f>
        <v>0</v>
      </c>
      <c r="BJ69" s="257"/>
      <c r="BK69" s="257" t="e">
        <f>+#REF!+#REF!+#REF!</f>
        <v>#REF!</v>
      </c>
      <c r="BL69" s="257">
        <v>0</v>
      </c>
      <c r="BM69" s="257"/>
      <c r="BN69" s="257" t="e">
        <v>#REF!</v>
      </c>
      <c r="BO69" s="466">
        <f t="shared" si="42"/>
        <v>0</v>
      </c>
      <c r="BP69" s="472"/>
      <c r="BQ69" s="23">
        <f>D69+H69+L69+P69+T69</f>
        <v>0</v>
      </c>
      <c r="BR69" s="23">
        <f>E69+I69+M69+Q69+U69</f>
        <v>0</v>
      </c>
      <c r="BS69" s="466">
        <f t="shared" ref="BS69" si="140">IFERROR(BR69/BQ69,0)</f>
        <v>0</v>
      </c>
      <c r="BT69" s="509">
        <f>G69+K69+O69+S69+W69+AA69</f>
        <v>0</v>
      </c>
      <c r="BU69" s="466">
        <f t="shared" si="71"/>
        <v>0</v>
      </c>
    </row>
    <row r="70" spans="1:73" ht="12.6" hidden="1" customHeight="1">
      <c r="A70" s="254"/>
      <c r="B70" s="462"/>
      <c r="C70" s="463"/>
      <c r="D70" s="462"/>
      <c r="E70" s="462"/>
      <c r="F70" s="462"/>
      <c r="G70" s="515"/>
      <c r="H70" s="462"/>
      <c r="I70" s="462"/>
      <c r="J70" s="462"/>
      <c r="K70" s="515"/>
      <c r="L70" s="462"/>
      <c r="M70" s="462"/>
      <c r="N70" s="462"/>
      <c r="O70" s="515"/>
      <c r="P70" s="462"/>
      <c r="Q70" s="462"/>
      <c r="R70" s="462"/>
      <c r="S70" s="515"/>
      <c r="T70" s="462"/>
      <c r="U70" s="462"/>
      <c r="V70" s="462"/>
      <c r="W70" s="515"/>
      <c r="X70" s="462"/>
      <c r="Y70" s="462"/>
      <c r="Z70" s="462"/>
      <c r="AA70" s="515"/>
      <c r="AB70" s="462"/>
      <c r="AC70" s="462"/>
      <c r="AD70" s="462"/>
      <c r="AE70" s="515"/>
      <c r="AF70" s="462"/>
      <c r="AG70" s="462"/>
      <c r="AH70" s="462"/>
      <c r="AI70" s="515"/>
      <c r="AJ70" s="462"/>
      <c r="AK70" s="462"/>
      <c r="AL70" s="462"/>
      <c r="AM70" s="515"/>
      <c r="AN70" s="462"/>
      <c r="AO70" s="462"/>
      <c r="AP70" s="462"/>
      <c r="AQ70" s="515"/>
      <c r="AR70" s="462"/>
      <c r="AS70" s="462"/>
      <c r="AT70" s="462"/>
      <c r="AU70" s="515"/>
      <c r="AV70" s="462"/>
      <c r="AW70" s="462"/>
      <c r="AX70" s="462"/>
      <c r="AY70" s="515"/>
      <c r="AZ70" s="462"/>
      <c r="BA70" s="463"/>
      <c r="BB70" s="515"/>
      <c r="BC70" s="462"/>
      <c r="BD70" s="257">
        <v>0</v>
      </c>
      <c r="BE70" s="257"/>
      <c r="BF70" s="257"/>
      <c r="BG70" s="462" t="e">
        <f>A70+#REF!+#REF!+#REF!+#REF!+#REF!+#REF!+#REF!+#REF!+#REF!+#REF!+#REF!</f>
        <v>#REF!</v>
      </c>
      <c r="BH70" s="463" t="e">
        <f>+#REF!+#REF!+#REF!+#REF!+#REF!+#REF!+#REF!+#REF!+#REF!+#REF!+#REF!+BI70+#REF!</f>
        <v>#REF!</v>
      </c>
      <c r="BI70" s="462" t="e">
        <f>#REF!+#REF!+#REF!+#REF!+#REF!+#REF!+#REF!+#REF!+#REF!+#REF!+#REF!+#REF!</f>
        <v>#REF!</v>
      </c>
      <c r="BJ70" s="462"/>
      <c r="BK70" s="463" t="e">
        <f>+H70+L70+P70+T70+X70+AB70+AF70+AJ70+AN70+AR70+AV70+BL70+D70</f>
        <v>#REF!</v>
      </c>
      <c r="BL70" s="462" t="e">
        <v>#REF!</v>
      </c>
      <c r="BM70" s="462"/>
      <c r="BN70" s="463">
        <v>0</v>
      </c>
      <c r="BO70" s="469">
        <f t="shared" si="42"/>
        <v>0</v>
      </c>
      <c r="BP70" s="472"/>
      <c r="BQ70" s="462"/>
      <c r="BR70" s="462"/>
      <c r="BS70" s="469">
        <f t="shared" si="8"/>
        <v>0</v>
      </c>
      <c r="BT70" s="531"/>
      <c r="BU70" s="469">
        <f t="shared" ref="BU70:BU81" si="141">IFERROR(BR70/B70,0)</f>
        <v>0</v>
      </c>
    </row>
    <row r="71" spans="1:73" ht="12.6" hidden="1" customHeight="1">
      <c r="A71" s="482" t="s">
        <v>9</v>
      </c>
      <c r="B71" s="457">
        <f>+B67+B69</f>
        <v>14122</v>
      </c>
      <c r="C71" s="458"/>
      <c r="D71" s="457">
        <f>+D67+D69</f>
        <v>945</v>
      </c>
      <c r="E71" s="457">
        <f>+E67+E69</f>
        <v>413</v>
      </c>
      <c r="F71" s="457"/>
      <c r="G71" s="511">
        <f>+G67+G69</f>
        <v>5.8732726774571429</v>
      </c>
      <c r="H71" s="457">
        <f>+H67+H69</f>
        <v>810</v>
      </c>
      <c r="I71" s="457">
        <f>+I67+I69</f>
        <v>630</v>
      </c>
      <c r="J71" s="457"/>
      <c r="K71" s="511">
        <f>+K67+K69</f>
        <v>5.8486795685714288</v>
      </c>
      <c r="L71" s="457">
        <f>+L67+L69</f>
        <v>1223</v>
      </c>
      <c r="M71" s="457">
        <f>+M67+M69</f>
        <v>233</v>
      </c>
      <c r="N71" s="457"/>
      <c r="O71" s="511">
        <f>+O67+O69</f>
        <v>4.6802486194285731</v>
      </c>
      <c r="P71" s="457">
        <f>+P67+P69</f>
        <v>1430</v>
      </c>
      <c r="Q71" s="457">
        <f>+Q67+Q69</f>
        <v>511</v>
      </c>
      <c r="R71" s="457"/>
      <c r="S71" s="511">
        <f>+S67+S69</f>
        <v>6.8612598620571434</v>
      </c>
      <c r="T71" s="457">
        <f>+T67+T69</f>
        <v>1192</v>
      </c>
      <c r="U71" s="457">
        <f>IF(ISERROR(V71/T71*1000000),0,(V71/T71*1000000))</f>
        <v>0</v>
      </c>
      <c r="V71" s="457">
        <f t="shared" ref="V71:AB71" si="142">+V67+V69</f>
        <v>0</v>
      </c>
      <c r="W71" s="511">
        <f t="shared" si="142"/>
        <v>5.9816906205857157</v>
      </c>
      <c r="X71" s="457">
        <f t="shared" si="142"/>
        <v>1290</v>
      </c>
      <c r="Y71" s="457">
        <f t="shared" si="142"/>
        <v>693</v>
      </c>
      <c r="Z71" s="457">
        <f t="shared" si="142"/>
        <v>0</v>
      </c>
      <c r="AA71" s="511">
        <f t="shared" ref="AA71" si="143">+AA67+AA69</f>
        <v>15.601871030014289</v>
      </c>
      <c r="AB71" s="457">
        <f t="shared" si="142"/>
        <v>1245</v>
      </c>
      <c r="AC71" s="457">
        <f t="shared" ref="AC71:AE71" si="144">+AC67+AC69</f>
        <v>433</v>
      </c>
      <c r="AD71" s="457">
        <f t="shared" si="144"/>
        <v>0</v>
      </c>
      <c r="AE71" s="511">
        <f t="shared" si="144"/>
        <v>10.177177241308884</v>
      </c>
      <c r="AF71" s="457">
        <f>+AF67+AF69</f>
        <v>1145</v>
      </c>
      <c r="AG71" s="457">
        <f t="shared" ref="AG71:AI71" si="145">+AG67+AG69</f>
        <v>80</v>
      </c>
      <c r="AH71" s="457">
        <f t="shared" si="145"/>
        <v>0</v>
      </c>
      <c r="AI71" s="511">
        <f t="shared" si="145"/>
        <v>2.3724290546028461</v>
      </c>
      <c r="AJ71" s="457">
        <f>+AJ67+AJ69</f>
        <v>1351</v>
      </c>
      <c r="AK71" s="457">
        <f t="shared" ref="AK71:AM71" si="146">+AK67+AK69</f>
        <v>169</v>
      </c>
      <c r="AL71" s="457">
        <f t="shared" si="146"/>
        <v>0</v>
      </c>
      <c r="AM71" s="511">
        <f t="shared" si="146"/>
        <v>3.6187102857225795</v>
      </c>
      <c r="AN71" s="457">
        <f>+AN67+AN69</f>
        <v>1295</v>
      </c>
      <c r="AO71" s="457">
        <f t="shared" ref="AO71:AQ71" si="147">+AO67+AO69</f>
        <v>453</v>
      </c>
      <c r="AP71" s="457">
        <f t="shared" si="147"/>
        <v>813</v>
      </c>
      <c r="AQ71" s="511">
        <f t="shared" si="147"/>
        <v>9.4208267761257645</v>
      </c>
      <c r="AR71" s="457">
        <f>+AR67+AR69</f>
        <v>1271</v>
      </c>
      <c r="AS71" s="457">
        <f t="shared" ref="AS71:AU71" si="148">+AS67+AS69</f>
        <v>455</v>
      </c>
      <c r="AT71" s="457">
        <f t="shared" si="148"/>
        <v>0</v>
      </c>
      <c r="AU71" s="511">
        <f t="shared" si="148"/>
        <v>8.5775615010574615</v>
      </c>
      <c r="AV71" s="457">
        <f>+AV67+AV69</f>
        <v>925</v>
      </c>
      <c r="AW71" s="457">
        <f t="shared" ref="AW71:BK71" si="149">+AW67+AW69</f>
        <v>0</v>
      </c>
      <c r="AX71" s="457">
        <f t="shared" si="149"/>
        <v>0</v>
      </c>
      <c r="AY71" s="511">
        <f t="shared" si="149"/>
        <v>0</v>
      </c>
      <c r="AZ71" s="458">
        <f t="shared" si="149"/>
        <v>2978</v>
      </c>
      <c r="BA71" s="458">
        <f t="shared" si="149"/>
        <v>1276</v>
      </c>
      <c r="BB71" s="511">
        <f t="shared" si="149"/>
        <v>16.402200865457143</v>
      </c>
      <c r="BC71" s="458">
        <f t="shared" si="149"/>
        <v>3912</v>
      </c>
      <c r="BD71" s="458">
        <f t="shared" si="149"/>
        <v>1736</v>
      </c>
      <c r="BE71" s="458"/>
      <c r="BF71" s="458"/>
      <c r="BG71" s="458">
        <f t="shared" si="149"/>
        <v>682</v>
      </c>
      <c r="BH71" s="458" t="e">
        <f t="shared" si="149"/>
        <v>#REF!</v>
      </c>
      <c r="BI71" s="458">
        <f t="shared" si="149"/>
        <v>3491</v>
      </c>
      <c r="BJ71" s="458"/>
      <c r="BK71" s="458" t="e">
        <f t="shared" si="149"/>
        <v>#REF!</v>
      </c>
      <c r="BL71" s="458">
        <v>25101</v>
      </c>
      <c r="BM71" s="458"/>
      <c r="BN71" s="458" t="e">
        <v>#REF!</v>
      </c>
      <c r="BO71" s="525">
        <f>IFERROR(BM71/BL71,0)</f>
        <v>0</v>
      </c>
      <c r="BP71" s="472"/>
      <c r="BQ71" s="457">
        <f t="shared" ref="BQ71:BR71" si="150">+BQ67+BQ69</f>
        <v>6890</v>
      </c>
      <c r="BR71" s="457">
        <f t="shared" si="150"/>
        <v>3012</v>
      </c>
      <c r="BS71" s="467">
        <f t="shared" ref="BS71:BS81" si="151">IFERROR(BR71/BQ71,0)</f>
        <v>0.43715529753265603</v>
      </c>
      <c r="BT71" s="530">
        <f t="shared" ref="BT71" si="152">+BT67+BT69</f>
        <v>44.847022378114296</v>
      </c>
      <c r="BU71" s="525">
        <f t="shared" si="141"/>
        <v>0.21328423736014729</v>
      </c>
    </row>
    <row r="72" spans="1:73" ht="12.6" hidden="1" customHeight="1">
      <c r="A72" s="474"/>
      <c r="B72" s="502"/>
      <c r="C72" s="502"/>
      <c r="D72" s="474"/>
      <c r="E72" s="474"/>
      <c r="F72" s="474"/>
      <c r="G72" s="516"/>
      <c r="H72" s="474"/>
      <c r="I72" s="474"/>
      <c r="J72" s="474"/>
      <c r="K72" s="516"/>
      <c r="L72" s="474"/>
      <c r="M72" s="474"/>
      <c r="N72" s="474"/>
      <c r="O72" s="516"/>
      <c r="P72" s="474"/>
      <c r="Q72" s="474"/>
      <c r="R72" s="474"/>
      <c r="S72" s="516"/>
      <c r="T72" s="474"/>
      <c r="U72" s="474"/>
      <c r="V72" s="474"/>
      <c r="W72" s="516"/>
      <c r="X72" s="474"/>
      <c r="Y72" s="474"/>
      <c r="Z72" s="474"/>
      <c r="AA72" s="516"/>
      <c r="AB72" s="474"/>
      <c r="AC72" s="474"/>
      <c r="AD72" s="474"/>
      <c r="AE72" s="516"/>
      <c r="AF72" s="474"/>
      <c r="AG72" s="474"/>
      <c r="AH72" s="474"/>
      <c r="AI72" s="516"/>
      <c r="AJ72" s="474"/>
      <c r="AK72" s="474"/>
      <c r="AL72" s="474"/>
      <c r="AM72" s="516"/>
      <c r="AN72" s="474"/>
      <c r="AO72" s="474"/>
      <c r="AP72" s="474"/>
      <c r="AQ72" s="516"/>
      <c r="AR72" s="474"/>
      <c r="AS72" s="474"/>
      <c r="AT72" s="474"/>
      <c r="AU72" s="516"/>
      <c r="AV72" s="474"/>
      <c r="AW72" s="474"/>
      <c r="AX72" s="474"/>
      <c r="AY72" s="516"/>
      <c r="AZ72" s="474"/>
      <c r="BA72" s="474"/>
      <c r="BB72" s="516"/>
      <c r="BC72" s="474"/>
      <c r="BD72" s="474"/>
      <c r="BE72" s="474"/>
      <c r="BF72" s="474"/>
      <c r="BG72" s="474"/>
      <c r="BH72" s="474"/>
      <c r="BI72" s="474"/>
      <c r="BJ72" s="474"/>
      <c r="BK72" s="474"/>
      <c r="BL72" s="474"/>
      <c r="BM72" s="474"/>
      <c r="BN72" s="474"/>
      <c r="BO72" s="525">
        <f t="shared" si="42"/>
        <v>0</v>
      </c>
      <c r="BP72" s="472"/>
      <c r="BQ72" s="457"/>
      <c r="BR72" s="457"/>
      <c r="BS72" s="467">
        <f t="shared" si="151"/>
        <v>0</v>
      </c>
      <c r="BT72" s="530"/>
      <c r="BU72" s="525">
        <f t="shared" si="141"/>
        <v>0</v>
      </c>
    </row>
    <row r="73" spans="1:73" ht="12.6" customHeight="1">
      <c r="A73" s="254" t="s">
        <v>109</v>
      </c>
      <c r="B73" s="129">
        <f>D73+H73+L73+P73+T73+X73+AB73+AF73+AJ73+AN73+AR73+AV73</f>
        <v>0</v>
      </c>
      <c r="C73" s="257"/>
      <c r="D73" s="129"/>
      <c r="E73" s="129"/>
      <c r="F73" s="129"/>
      <c r="G73" s="509"/>
      <c r="H73" s="129"/>
      <c r="I73" s="129"/>
      <c r="J73" s="129"/>
      <c r="K73" s="509"/>
      <c r="L73" s="129"/>
      <c r="M73" s="129"/>
      <c r="N73" s="129"/>
      <c r="O73" s="509"/>
      <c r="P73" s="129"/>
      <c r="Q73" s="129"/>
      <c r="R73" s="129"/>
      <c r="S73" s="509"/>
      <c r="T73" s="129"/>
      <c r="U73" s="129"/>
      <c r="V73" s="129">
        <f>(T73*U73)/10^6</f>
        <v>0</v>
      </c>
      <c r="W73" s="509">
        <f t="shared" ref="W73:W78" si="153">U73*(V73-C73)*66.93/10^7</f>
        <v>0</v>
      </c>
      <c r="X73" s="129"/>
      <c r="Y73" s="129"/>
      <c r="Z73" s="129"/>
      <c r="AA73" s="509">
        <f t="shared" ref="AA73:AA78" si="154">Y73*(Z73-C73)*66.69/10^7</f>
        <v>0</v>
      </c>
      <c r="AB73" s="129"/>
      <c r="AC73" s="129"/>
      <c r="AD73" s="129"/>
      <c r="AE73" s="509">
        <f t="shared" ref="AE73:AE78" si="155">AC73*(AD73-G73)*66.73/10^7</f>
        <v>0</v>
      </c>
      <c r="AF73" s="129"/>
      <c r="AG73" s="129"/>
      <c r="AH73" s="129"/>
      <c r="AI73" s="509">
        <f t="shared" ref="AI73:AI78" si="156">AG73*(AH73-K73)*67.58/10^7</f>
        <v>0</v>
      </c>
      <c r="AJ73" s="129"/>
      <c r="AK73" s="129"/>
      <c r="AL73" s="129"/>
      <c r="AM73" s="509">
        <f t="shared" ref="AM73:AM78" si="157">AK73*(AL73-O73)*67.91/10^7</f>
        <v>0</v>
      </c>
      <c r="AN73" s="129"/>
      <c r="AO73" s="129"/>
      <c r="AP73" s="129"/>
      <c r="AQ73" s="509">
        <f t="shared" ref="AQ73:AQ78" si="158">AO73*(AP73-S73)*68.01/10^7</f>
        <v>0</v>
      </c>
      <c r="AR73" s="129"/>
      <c r="AS73" s="129">
        <v>1</v>
      </c>
      <c r="AT73" s="129">
        <v>2018</v>
      </c>
      <c r="AU73" s="509">
        <f t="shared" ref="AU73:AU78" si="159">AS73*(AT73-W73)*67.01/10^7</f>
        <v>1.3522618000000002E-2</v>
      </c>
      <c r="AV73" s="129"/>
      <c r="AW73" s="129"/>
      <c r="AX73" s="129"/>
      <c r="AY73" s="509">
        <f t="shared" ref="AY73:AY78" si="160">AW73*(AX73-AA73)*66.69/10^7</f>
        <v>0</v>
      </c>
      <c r="AZ73" s="23">
        <f t="shared" ref="AZ73:BA78" si="161">+D73+H73+L73</f>
        <v>0</v>
      </c>
      <c r="BA73" s="23">
        <f t="shared" si="161"/>
        <v>0</v>
      </c>
      <c r="BB73" s="509">
        <f t="shared" ref="BB73:BB78" si="162">+G73+K73+O73</f>
        <v>0</v>
      </c>
      <c r="BC73" s="23">
        <f t="shared" ref="BC73:BD78" si="163">+P73+T73+X73</f>
        <v>0</v>
      </c>
      <c r="BD73" s="257">
        <f t="shared" si="163"/>
        <v>0</v>
      </c>
      <c r="BE73" s="257">
        <f t="shared" ref="BE73:BE78" si="164">S73+W73+AA73</f>
        <v>0</v>
      </c>
      <c r="BF73" s="257">
        <f t="shared" ref="BF73:BG78" si="165">AB73+AF73+AJ73</f>
        <v>0</v>
      </c>
      <c r="BG73" s="23">
        <f t="shared" si="165"/>
        <v>0</v>
      </c>
      <c r="BH73" s="257">
        <f t="shared" ref="BH73:BH78" si="166">AE73+AI73+AM73</f>
        <v>0</v>
      </c>
      <c r="BI73" s="23">
        <f t="shared" ref="BI73:BJ78" si="167">+AN73+AR73+AV73</f>
        <v>0</v>
      </c>
      <c r="BJ73" s="23">
        <f t="shared" si="167"/>
        <v>1</v>
      </c>
      <c r="BK73" s="257">
        <f t="shared" ref="BK73:BK78" si="168">AQ73+AU73+AY73</f>
        <v>1.3522618000000002E-2</v>
      </c>
      <c r="BL73" s="23">
        <f t="shared" ref="BL73:BN78" si="169">AZ73+BC73+BF73+BI73</f>
        <v>0</v>
      </c>
      <c r="BM73" s="23">
        <f t="shared" si="169"/>
        <v>1</v>
      </c>
      <c r="BN73" s="257">
        <f t="shared" si="169"/>
        <v>1.3522618000000002E-2</v>
      </c>
      <c r="BO73" s="466">
        <f t="shared" ref="BO73:BO78" si="170">IFERROR(BM73/BL73,0)</f>
        <v>0</v>
      </c>
      <c r="BP73" s="472"/>
      <c r="BQ73" s="23">
        <f t="shared" ref="BQ73:BR78" si="171">D73+H73+L73+P73+T73+X73</f>
        <v>0</v>
      </c>
      <c r="BR73" s="23">
        <f t="shared" si="171"/>
        <v>0</v>
      </c>
      <c r="BS73" s="466">
        <f t="shared" si="151"/>
        <v>0</v>
      </c>
      <c r="BT73" s="509">
        <f t="shared" ref="BT73:BT78" si="172">G73+K73+O73+S73+W73+AA73</f>
        <v>0</v>
      </c>
      <c r="BU73" s="466">
        <f t="shared" si="141"/>
        <v>0</v>
      </c>
    </row>
    <row r="74" spans="1:73" ht="12.6" customHeight="1">
      <c r="A74" s="254" t="s">
        <v>110</v>
      </c>
      <c r="B74" s="129">
        <f>D74+H74+L74+P74+T74+X74+AB74+AF74+AJ74+AN74+AR74+AV74</f>
        <v>0</v>
      </c>
      <c r="C74" s="257"/>
      <c r="D74" s="129"/>
      <c r="E74" s="129"/>
      <c r="F74" s="129"/>
      <c r="G74" s="509"/>
      <c r="H74" s="129"/>
      <c r="I74" s="129"/>
      <c r="J74" s="129"/>
      <c r="K74" s="509"/>
      <c r="L74" s="129"/>
      <c r="M74" s="129"/>
      <c r="N74" s="129"/>
      <c r="O74" s="509"/>
      <c r="P74" s="129"/>
      <c r="Q74" s="129"/>
      <c r="R74" s="129"/>
      <c r="S74" s="509"/>
      <c r="T74" s="129"/>
      <c r="U74" s="129"/>
      <c r="V74" s="129">
        <f>(T74*U74)/10^6</f>
        <v>0</v>
      </c>
      <c r="W74" s="509">
        <f t="shared" si="153"/>
        <v>0</v>
      </c>
      <c r="X74" s="129"/>
      <c r="Y74" s="129"/>
      <c r="Z74" s="129"/>
      <c r="AA74" s="509">
        <f t="shared" si="154"/>
        <v>0</v>
      </c>
      <c r="AB74" s="129"/>
      <c r="AC74" s="129"/>
      <c r="AD74" s="129"/>
      <c r="AE74" s="509">
        <f t="shared" si="155"/>
        <v>0</v>
      </c>
      <c r="AF74" s="129"/>
      <c r="AG74" s="129"/>
      <c r="AH74" s="129"/>
      <c r="AI74" s="509">
        <f t="shared" si="156"/>
        <v>0</v>
      </c>
      <c r="AJ74" s="129"/>
      <c r="AK74" s="129"/>
      <c r="AL74" s="129"/>
      <c r="AM74" s="509">
        <f t="shared" si="157"/>
        <v>0</v>
      </c>
      <c r="AN74" s="129"/>
      <c r="AO74" s="129"/>
      <c r="AP74" s="129"/>
      <c r="AQ74" s="509">
        <f t="shared" si="158"/>
        <v>0</v>
      </c>
      <c r="AR74" s="129"/>
      <c r="AS74" s="129"/>
      <c r="AT74" s="129"/>
      <c r="AU74" s="509">
        <f t="shared" si="159"/>
        <v>0</v>
      </c>
      <c r="AV74" s="129"/>
      <c r="AW74" s="129"/>
      <c r="AX74" s="129"/>
      <c r="AY74" s="509">
        <f t="shared" si="160"/>
        <v>0</v>
      </c>
      <c r="AZ74" s="23">
        <f t="shared" si="161"/>
        <v>0</v>
      </c>
      <c r="BA74" s="23">
        <f t="shared" si="161"/>
        <v>0</v>
      </c>
      <c r="BB74" s="509">
        <f t="shared" si="162"/>
        <v>0</v>
      </c>
      <c r="BC74" s="23">
        <f t="shared" si="163"/>
        <v>0</v>
      </c>
      <c r="BD74" s="257">
        <f t="shared" si="163"/>
        <v>0</v>
      </c>
      <c r="BE74" s="257">
        <f t="shared" si="164"/>
        <v>0</v>
      </c>
      <c r="BF74" s="257">
        <f t="shared" si="165"/>
        <v>0</v>
      </c>
      <c r="BG74" s="23">
        <f t="shared" si="165"/>
        <v>0</v>
      </c>
      <c r="BH74" s="257">
        <f t="shared" si="166"/>
        <v>0</v>
      </c>
      <c r="BI74" s="23">
        <f t="shared" si="167"/>
        <v>0</v>
      </c>
      <c r="BJ74" s="23">
        <f t="shared" si="167"/>
        <v>0</v>
      </c>
      <c r="BK74" s="257">
        <f t="shared" si="168"/>
        <v>0</v>
      </c>
      <c r="BL74" s="23">
        <f t="shared" si="169"/>
        <v>0</v>
      </c>
      <c r="BM74" s="23">
        <f t="shared" si="169"/>
        <v>0</v>
      </c>
      <c r="BN74" s="257">
        <f t="shared" si="169"/>
        <v>0</v>
      </c>
      <c r="BO74" s="466">
        <f t="shared" si="170"/>
        <v>0</v>
      </c>
      <c r="BP74" s="472"/>
      <c r="BQ74" s="23">
        <f t="shared" si="171"/>
        <v>0</v>
      </c>
      <c r="BR74" s="23">
        <f t="shared" si="171"/>
        <v>0</v>
      </c>
      <c r="BS74" s="466">
        <f t="shared" si="151"/>
        <v>0</v>
      </c>
      <c r="BT74" s="509">
        <f t="shared" si="172"/>
        <v>0</v>
      </c>
      <c r="BU74" s="466">
        <f t="shared" si="141"/>
        <v>0</v>
      </c>
    </row>
    <row r="75" spans="1:73" ht="12.6" customHeight="1">
      <c r="A75" s="254" t="s">
        <v>132</v>
      </c>
      <c r="B75" s="129">
        <f>D75+H75+L75+P75+T75+X75+AB75+AF75+AJ75+AN75+AR75+AV75</f>
        <v>0</v>
      </c>
      <c r="C75" s="257"/>
      <c r="D75" s="129"/>
      <c r="E75" s="129"/>
      <c r="F75" s="129"/>
      <c r="G75" s="509"/>
      <c r="H75" s="129"/>
      <c r="I75" s="129"/>
      <c r="J75" s="129"/>
      <c r="K75" s="509"/>
      <c r="L75" s="129"/>
      <c r="M75" s="129"/>
      <c r="N75" s="129"/>
      <c r="O75" s="509"/>
      <c r="P75" s="129"/>
      <c r="Q75" s="129"/>
      <c r="R75" s="129"/>
      <c r="S75" s="509"/>
      <c r="T75" s="129"/>
      <c r="U75" s="129"/>
      <c r="V75" s="129">
        <f>(T75*U75)/10^6</f>
        <v>0</v>
      </c>
      <c r="W75" s="509">
        <f t="shared" si="153"/>
        <v>0</v>
      </c>
      <c r="X75" s="129"/>
      <c r="Y75" s="129"/>
      <c r="Z75" s="129"/>
      <c r="AA75" s="509">
        <f t="shared" si="154"/>
        <v>0</v>
      </c>
      <c r="AB75" s="129"/>
      <c r="AC75" s="129"/>
      <c r="AD75" s="129"/>
      <c r="AE75" s="509">
        <f t="shared" si="155"/>
        <v>0</v>
      </c>
      <c r="AF75" s="129"/>
      <c r="AG75" s="129"/>
      <c r="AH75" s="129"/>
      <c r="AI75" s="509">
        <f t="shared" si="156"/>
        <v>0</v>
      </c>
      <c r="AJ75" s="129"/>
      <c r="AK75" s="129"/>
      <c r="AL75" s="129"/>
      <c r="AM75" s="509">
        <f t="shared" si="157"/>
        <v>0</v>
      </c>
      <c r="AN75" s="129"/>
      <c r="AO75" s="129"/>
      <c r="AP75" s="129"/>
      <c r="AQ75" s="509">
        <f t="shared" si="158"/>
        <v>0</v>
      </c>
      <c r="AR75" s="129"/>
      <c r="AS75" s="129"/>
      <c r="AT75" s="129"/>
      <c r="AU75" s="509">
        <f t="shared" si="159"/>
        <v>0</v>
      </c>
      <c r="AV75" s="129"/>
      <c r="AW75" s="129"/>
      <c r="AX75" s="129"/>
      <c r="AY75" s="509">
        <f t="shared" si="160"/>
        <v>0</v>
      </c>
      <c r="AZ75" s="23">
        <f t="shared" si="161"/>
        <v>0</v>
      </c>
      <c r="BA75" s="23">
        <f t="shared" si="161"/>
        <v>0</v>
      </c>
      <c r="BB75" s="509">
        <f t="shared" si="162"/>
        <v>0</v>
      </c>
      <c r="BC75" s="23">
        <f t="shared" si="163"/>
        <v>0</v>
      </c>
      <c r="BD75" s="257">
        <f t="shared" si="163"/>
        <v>0</v>
      </c>
      <c r="BE75" s="257">
        <f t="shared" si="164"/>
        <v>0</v>
      </c>
      <c r="BF75" s="257">
        <f t="shared" si="165"/>
        <v>0</v>
      </c>
      <c r="BG75" s="23">
        <f t="shared" si="165"/>
        <v>0</v>
      </c>
      <c r="BH75" s="257">
        <f t="shared" si="166"/>
        <v>0</v>
      </c>
      <c r="BI75" s="23">
        <f t="shared" si="167"/>
        <v>0</v>
      </c>
      <c r="BJ75" s="23">
        <f t="shared" si="167"/>
        <v>0</v>
      </c>
      <c r="BK75" s="257">
        <f t="shared" si="168"/>
        <v>0</v>
      </c>
      <c r="BL75" s="23">
        <f t="shared" si="169"/>
        <v>0</v>
      </c>
      <c r="BM75" s="23">
        <f t="shared" si="169"/>
        <v>0</v>
      </c>
      <c r="BN75" s="257">
        <f t="shared" si="169"/>
        <v>0</v>
      </c>
      <c r="BO75" s="466">
        <f t="shared" si="170"/>
        <v>0</v>
      </c>
      <c r="BP75" s="472"/>
      <c r="BQ75" s="23">
        <f t="shared" si="171"/>
        <v>0</v>
      </c>
      <c r="BR75" s="23">
        <f t="shared" si="171"/>
        <v>0</v>
      </c>
      <c r="BS75" s="466">
        <f t="shared" si="151"/>
        <v>0</v>
      </c>
      <c r="BT75" s="509">
        <f t="shared" si="172"/>
        <v>0</v>
      </c>
      <c r="BU75" s="466">
        <f t="shared" si="141"/>
        <v>0</v>
      </c>
    </row>
    <row r="76" spans="1:73" ht="12.6" customHeight="1">
      <c r="A76" s="254" t="s">
        <v>121</v>
      </c>
      <c r="B76" s="129"/>
      <c r="C76" s="257"/>
      <c r="D76" s="129"/>
      <c r="E76" s="129"/>
      <c r="F76" s="129"/>
      <c r="G76" s="509"/>
      <c r="H76" s="129"/>
      <c r="I76" s="129"/>
      <c r="J76" s="129"/>
      <c r="K76" s="509"/>
      <c r="L76" s="129"/>
      <c r="M76" s="129"/>
      <c r="N76" s="129"/>
      <c r="O76" s="509"/>
      <c r="P76" s="129"/>
      <c r="Q76" s="129"/>
      <c r="R76" s="129"/>
      <c r="S76" s="509"/>
      <c r="T76" s="129"/>
      <c r="U76" s="129"/>
      <c r="V76" s="129"/>
      <c r="W76" s="509">
        <f t="shared" si="153"/>
        <v>0</v>
      </c>
      <c r="X76" s="129"/>
      <c r="Y76" s="129"/>
      <c r="Z76" s="129"/>
      <c r="AA76" s="509">
        <f t="shared" si="154"/>
        <v>0</v>
      </c>
      <c r="AB76" s="129"/>
      <c r="AC76" s="129"/>
      <c r="AD76" s="129"/>
      <c r="AE76" s="509">
        <f t="shared" si="155"/>
        <v>0</v>
      </c>
      <c r="AF76" s="129"/>
      <c r="AG76" s="129"/>
      <c r="AH76" s="129"/>
      <c r="AI76" s="509">
        <f t="shared" si="156"/>
        <v>0</v>
      </c>
      <c r="AJ76" s="129"/>
      <c r="AK76" s="129"/>
      <c r="AL76" s="129"/>
      <c r="AM76" s="509">
        <f t="shared" si="157"/>
        <v>0</v>
      </c>
      <c r="AN76" s="129"/>
      <c r="AO76" s="129"/>
      <c r="AP76" s="129"/>
      <c r="AQ76" s="509">
        <f t="shared" si="158"/>
        <v>0</v>
      </c>
      <c r="AR76" s="129"/>
      <c r="AS76" s="129"/>
      <c r="AT76" s="129"/>
      <c r="AU76" s="509">
        <f t="shared" si="159"/>
        <v>0</v>
      </c>
      <c r="AV76" s="129"/>
      <c r="AW76" s="129"/>
      <c r="AX76" s="129"/>
      <c r="AY76" s="509">
        <f t="shared" si="160"/>
        <v>0</v>
      </c>
      <c r="AZ76" s="23">
        <f t="shared" si="161"/>
        <v>0</v>
      </c>
      <c r="BA76" s="23">
        <f t="shared" si="161"/>
        <v>0</v>
      </c>
      <c r="BB76" s="509">
        <f t="shared" si="162"/>
        <v>0</v>
      </c>
      <c r="BC76" s="23">
        <f t="shared" si="163"/>
        <v>0</v>
      </c>
      <c r="BD76" s="257">
        <f t="shared" si="163"/>
        <v>0</v>
      </c>
      <c r="BE76" s="257">
        <f t="shared" si="164"/>
        <v>0</v>
      </c>
      <c r="BF76" s="257">
        <f t="shared" si="165"/>
        <v>0</v>
      </c>
      <c r="BG76" s="23">
        <f t="shared" si="165"/>
        <v>0</v>
      </c>
      <c r="BH76" s="257">
        <f t="shared" si="166"/>
        <v>0</v>
      </c>
      <c r="BI76" s="23">
        <f t="shared" si="167"/>
        <v>0</v>
      </c>
      <c r="BJ76" s="23">
        <f t="shared" si="167"/>
        <v>0</v>
      </c>
      <c r="BK76" s="257">
        <f t="shared" si="168"/>
        <v>0</v>
      </c>
      <c r="BL76" s="23">
        <f t="shared" si="169"/>
        <v>0</v>
      </c>
      <c r="BM76" s="23">
        <f t="shared" si="169"/>
        <v>0</v>
      </c>
      <c r="BN76" s="257">
        <f t="shared" si="169"/>
        <v>0</v>
      </c>
      <c r="BO76" s="466">
        <f t="shared" si="170"/>
        <v>0</v>
      </c>
      <c r="BP76" s="472"/>
      <c r="BQ76" s="23">
        <f t="shared" si="171"/>
        <v>0</v>
      </c>
      <c r="BR76" s="23">
        <f t="shared" si="171"/>
        <v>0</v>
      </c>
      <c r="BS76" s="466">
        <f t="shared" si="151"/>
        <v>0</v>
      </c>
      <c r="BT76" s="509">
        <f t="shared" si="172"/>
        <v>0</v>
      </c>
      <c r="BU76" s="466">
        <f t="shared" si="141"/>
        <v>0</v>
      </c>
    </row>
    <row r="77" spans="1:73" ht="12.6" customHeight="1">
      <c r="A77" s="254" t="s">
        <v>122</v>
      </c>
      <c r="B77" s="129">
        <f>D77+H77+L77+P77+T77+X77+AB77+AF77+AJ77+AN77+AR77+AV77</f>
        <v>0</v>
      </c>
      <c r="C77" s="257"/>
      <c r="D77" s="129"/>
      <c r="E77" s="129"/>
      <c r="F77" s="129"/>
      <c r="G77" s="509"/>
      <c r="H77" s="129"/>
      <c r="I77" s="129"/>
      <c r="J77" s="129"/>
      <c r="K77" s="509"/>
      <c r="L77" s="129"/>
      <c r="M77" s="129"/>
      <c r="N77" s="129"/>
      <c r="O77" s="509"/>
      <c r="P77" s="129"/>
      <c r="Q77" s="129"/>
      <c r="R77" s="129"/>
      <c r="S77" s="509"/>
      <c r="T77" s="129"/>
      <c r="U77" s="129"/>
      <c r="V77" s="129">
        <f>(T77*U77)/10^6</f>
        <v>0</v>
      </c>
      <c r="W77" s="509">
        <f t="shared" si="153"/>
        <v>0</v>
      </c>
      <c r="X77" s="129"/>
      <c r="Y77" s="129"/>
      <c r="Z77" s="129"/>
      <c r="AA77" s="509">
        <f t="shared" si="154"/>
        <v>0</v>
      </c>
      <c r="AB77" s="129"/>
      <c r="AC77" s="129"/>
      <c r="AD77" s="129"/>
      <c r="AE77" s="509">
        <f t="shared" si="155"/>
        <v>0</v>
      </c>
      <c r="AF77" s="129"/>
      <c r="AG77" s="129"/>
      <c r="AH77" s="129"/>
      <c r="AI77" s="509">
        <f t="shared" si="156"/>
        <v>0</v>
      </c>
      <c r="AJ77" s="129"/>
      <c r="AK77" s="129"/>
      <c r="AL77" s="129"/>
      <c r="AM77" s="509">
        <f t="shared" si="157"/>
        <v>0</v>
      </c>
      <c r="AN77" s="129"/>
      <c r="AO77" s="129"/>
      <c r="AP77" s="129"/>
      <c r="AQ77" s="509">
        <f t="shared" si="158"/>
        <v>0</v>
      </c>
      <c r="AR77" s="129"/>
      <c r="AS77" s="129"/>
      <c r="AT77" s="129"/>
      <c r="AU77" s="509">
        <f t="shared" si="159"/>
        <v>0</v>
      </c>
      <c r="AV77" s="129"/>
      <c r="AW77" s="129"/>
      <c r="AX77" s="129"/>
      <c r="AY77" s="509">
        <f t="shared" si="160"/>
        <v>0</v>
      </c>
      <c r="AZ77" s="23">
        <f t="shared" si="161"/>
        <v>0</v>
      </c>
      <c r="BA77" s="23">
        <f t="shared" si="161"/>
        <v>0</v>
      </c>
      <c r="BB77" s="509">
        <f t="shared" si="162"/>
        <v>0</v>
      </c>
      <c r="BC77" s="23">
        <f t="shared" si="163"/>
        <v>0</v>
      </c>
      <c r="BD77" s="257">
        <f t="shared" si="163"/>
        <v>0</v>
      </c>
      <c r="BE77" s="257">
        <f t="shared" si="164"/>
        <v>0</v>
      </c>
      <c r="BF77" s="257">
        <f t="shared" si="165"/>
        <v>0</v>
      </c>
      <c r="BG77" s="23">
        <f t="shared" si="165"/>
        <v>0</v>
      </c>
      <c r="BH77" s="257">
        <f t="shared" si="166"/>
        <v>0</v>
      </c>
      <c r="BI77" s="23">
        <f t="shared" si="167"/>
        <v>0</v>
      </c>
      <c r="BJ77" s="23">
        <f t="shared" si="167"/>
        <v>0</v>
      </c>
      <c r="BK77" s="257">
        <f t="shared" si="168"/>
        <v>0</v>
      </c>
      <c r="BL77" s="23">
        <f t="shared" si="169"/>
        <v>0</v>
      </c>
      <c r="BM77" s="23">
        <f t="shared" si="169"/>
        <v>0</v>
      </c>
      <c r="BN77" s="257">
        <f t="shared" si="169"/>
        <v>0</v>
      </c>
      <c r="BO77" s="466">
        <f t="shared" si="170"/>
        <v>0</v>
      </c>
      <c r="BP77" s="472"/>
      <c r="BQ77" s="23">
        <f t="shared" si="171"/>
        <v>0</v>
      </c>
      <c r="BR77" s="23">
        <f t="shared" si="171"/>
        <v>0</v>
      </c>
      <c r="BS77" s="466">
        <f t="shared" si="151"/>
        <v>0</v>
      </c>
      <c r="BT77" s="509">
        <f t="shared" si="172"/>
        <v>0</v>
      </c>
      <c r="BU77" s="466">
        <f t="shared" si="141"/>
        <v>0</v>
      </c>
    </row>
    <row r="78" spans="1:73" ht="12.6" customHeight="1">
      <c r="A78" s="503" t="s">
        <v>123</v>
      </c>
      <c r="B78" s="129">
        <f>D78+H78+L78+P78+T78+X78+AB78+AF78+AJ78+AN78+AR78+AV78</f>
        <v>0</v>
      </c>
      <c r="C78" s="257"/>
      <c r="D78" s="129"/>
      <c r="E78" s="129"/>
      <c r="F78" s="129"/>
      <c r="G78" s="509"/>
      <c r="H78" s="129"/>
      <c r="I78" s="129"/>
      <c r="J78" s="129"/>
      <c r="K78" s="509"/>
      <c r="L78" s="129"/>
      <c r="M78" s="129"/>
      <c r="N78" s="129"/>
      <c r="O78" s="509"/>
      <c r="P78" s="129"/>
      <c r="Q78" s="129"/>
      <c r="R78" s="129"/>
      <c r="S78" s="509"/>
      <c r="T78" s="129"/>
      <c r="U78" s="129"/>
      <c r="V78" s="129">
        <f>(T78*U78)/10^6</f>
        <v>0</v>
      </c>
      <c r="W78" s="509">
        <f t="shared" si="153"/>
        <v>0</v>
      </c>
      <c r="X78" s="129"/>
      <c r="Y78" s="129"/>
      <c r="Z78" s="129"/>
      <c r="AA78" s="509">
        <f t="shared" si="154"/>
        <v>0</v>
      </c>
      <c r="AB78" s="129"/>
      <c r="AC78" s="129"/>
      <c r="AD78" s="129"/>
      <c r="AE78" s="509">
        <f t="shared" si="155"/>
        <v>0</v>
      </c>
      <c r="AF78" s="129"/>
      <c r="AG78" s="129"/>
      <c r="AH78" s="129"/>
      <c r="AI78" s="509">
        <f t="shared" si="156"/>
        <v>0</v>
      </c>
      <c r="AJ78" s="129"/>
      <c r="AK78" s="129"/>
      <c r="AL78" s="129"/>
      <c r="AM78" s="509">
        <f t="shared" si="157"/>
        <v>0</v>
      </c>
      <c r="AN78" s="129"/>
      <c r="AO78" s="129"/>
      <c r="AP78" s="129"/>
      <c r="AQ78" s="509">
        <f t="shared" si="158"/>
        <v>0</v>
      </c>
      <c r="AR78" s="129"/>
      <c r="AS78" s="129"/>
      <c r="AT78" s="129"/>
      <c r="AU78" s="509">
        <f t="shared" si="159"/>
        <v>0</v>
      </c>
      <c r="AV78" s="129"/>
      <c r="AW78" s="129"/>
      <c r="AX78" s="129"/>
      <c r="AY78" s="509">
        <f t="shared" si="160"/>
        <v>0</v>
      </c>
      <c r="AZ78" s="23">
        <f t="shared" si="161"/>
        <v>0</v>
      </c>
      <c r="BA78" s="23">
        <f t="shared" si="161"/>
        <v>0</v>
      </c>
      <c r="BB78" s="509">
        <f t="shared" si="162"/>
        <v>0</v>
      </c>
      <c r="BC78" s="23">
        <f t="shared" si="163"/>
        <v>0</v>
      </c>
      <c r="BD78" s="257">
        <f t="shared" si="163"/>
        <v>0</v>
      </c>
      <c r="BE78" s="257">
        <f t="shared" si="164"/>
        <v>0</v>
      </c>
      <c r="BF78" s="257">
        <f t="shared" si="165"/>
        <v>0</v>
      </c>
      <c r="BG78" s="23">
        <f t="shared" si="165"/>
        <v>0</v>
      </c>
      <c r="BH78" s="257">
        <f t="shared" si="166"/>
        <v>0</v>
      </c>
      <c r="BI78" s="23">
        <f t="shared" si="167"/>
        <v>0</v>
      </c>
      <c r="BJ78" s="23">
        <f t="shared" si="167"/>
        <v>0</v>
      </c>
      <c r="BK78" s="257">
        <f t="shared" si="168"/>
        <v>0</v>
      </c>
      <c r="BL78" s="23">
        <f t="shared" si="169"/>
        <v>0</v>
      </c>
      <c r="BM78" s="23">
        <f t="shared" si="169"/>
        <v>0</v>
      </c>
      <c r="BN78" s="257">
        <f t="shared" si="169"/>
        <v>0</v>
      </c>
      <c r="BO78" s="466">
        <f t="shared" si="170"/>
        <v>0</v>
      </c>
      <c r="BP78" s="472"/>
      <c r="BQ78" s="23">
        <f t="shared" si="171"/>
        <v>0</v>
      </c>
      <c r="BR78" s="23">
        <f t="shared" si="171"/>
        <v>0</v>
      </c>
      <c r="BS78" s="466">
        <f t="shared" si="151"/>
        <v>0</v>
      </c>
      <c r="BT78" s="509">
        <f t="shared" si="172"/>
        <v>0</v>
      </c>
      <c r="BU78" s="466">
        <f t="shared" si="141"/>
        <v>0</v>
      </c>
    </row>
    <row r="79" spans="1:73" ht="12.6" customHeight="1">
      <c r="A79" s="482" t="s">
        <v>108</v>
      </c>
      <c r="B79" s="457">
        <f>SUM(B73:B78)</f>
        <v>0</v>
      </c>
      <c r="C79" s="458"/>
      <c r="D79" s="457">
        <f>SUM(D73:D78)</f>
        <v>0</v>
      </c>
      <c r="E79" s="457">
        <f>SUM(E73:E78)</f>
        <v>0</v>
      </c>
      <c r="F79" s="457"/>
      <c r="G79" s="511">
        <f>SUM(G73:G78)</f>
        <v>0</v>
      </c>
      <c r="H79" s="457">
        <f>SUM(H73:H78)</f>
        <v>0</v>
      </c>
      <c r="I79" s="457">
        <f>SUM(I73:I78)</f>
        <v>0</v>
      </c>
      <c r="J79" s="457"/>
      <c r="K79" s="511">
        <f>SUM(K73:K78)</f>
        <v>0</v>
      </c>
      <c r="L79" s="457">
        <f>SUM(L73:L78)</f>
        <v>0</v>
      </c>
      <c r="M79" s="457">
        <f>SUM(M73:M78)</f>
        <v>0</v>
      </c>
      <c r="N79" s="457"/>
      <c r="O79" s="511">
        <f>SUM(O73:O78)</f>
        <v>0</v>
      </c>
      <c r="P79" s="457">
        <f>SUM(P73:P78)</f>
        <v>0</v>
      </c>
      <c r="Q79" s="457">
        <f>SUM(Q73:Q78)</f>
        <v>0</v>
      </c>
      <c r="R79" s="457"/>
      <c r="S79" s="511">
        <f>SUM(S73:S78)</f>
        <v>0</v>
      </c>
      <c r="T79" s="457">
        <f>SUM(T73:T78)</f>
        <v>0</v>
      </c>
      <c r="U79" s="457">
        <f>IF(ISERROR(V79/T79*1000000),0,(V79/T79*1000000))</f>
        <v>0</v>
      </c>
      <c r="V79" s="457">
        <f t="shared" ref="V79:AB79" si="173">SUM(V73:V78)</f>
        <v>0</v>
      </c>
      <c r="W79" s="511">
        <f t="shared" si="173"/>
        <v>0</v>
      </c>
      <c r="X79" s="457">
        <f t="shared" si="173"/>
        <v>0</v>
      </c>
      <c r="Y79" s="457">
        <f t="shared" si="173"/>
        <v>0</v>
      </c>
      <c r="Z79" s="457">
        <f t="shared" si="173"/>
        <v>0</v>
      </c>
      <c r="AA79" s="511">
        <f t="shared" ref="AA79" si="174">SUM(AA73:AA78)</f>
        <v>0</v>
      </c>
      <c r="AB79" s="457">
        <f t="shared" si="173"/>
        <v>0</v>
      </c>
      <c r="AC79" s="457">
        <f t="shared" ref="AC79:AE79" si="175">SUM(AC73:AC78)</f>
        <v>0</v>
      </c>
      <c r="AD79" s="457">
        <f t="shared" si="175"/>
        <v>0</v>
      </c>
      <c r="AE79" s="511">
        <f t="shared" si="175"/>
        <v>0</v>
      </c>
      <c r="AF79" s="457">
        <f>SUM(AF73:AF78)</f>
        <v>0</v>
      </c>
      <c r="AG79" s="457">
        <f t="shared" ref="AG79:AI79" si="176">SUM(AG73:AG78)</f>
        <v>0</v>
      </c>
      <c r="AH79" s="457">
        <f t="shared" si="176"/>
        <v>0</v>
      </c>
      <c r="AI79" s="511">
        <f t="shared" si="176"/>
        <v>0</v>
      </c>
      <c r="AJ79" s="457">
        <f>SUM(AJ73:AJ78)</f>
        <v>0</v>
      </c>
      <c r="AK79" s="457">
        <f t="shared" ref="AK79:AM79" si="177">SUM(AK73:AK78)</f>
        <v>0</v>
      </c>
      <c r="AL79" s="457">
        <f t="shared" si="177"/>
        <v>0</v>
      </c>
      <c r="AM79" s="511">
        <f t="shared" si="177"/>
        <v>0</v>
      </c>
      <c r="AN79" s="457">
        <f>SUM(AN73:AN78)</f>
        <v>0</v>
      </c>
      <c r="AO79" s="457">
        <f t="shared" ref="AO79:AQ79" si="178">SUM(AO73:AO78)</f>
        <v>0</v>
      </c>
      <c r="AP79" s="457">
        <f t="shared" si="178"/>
        <v>0</v>
      </c>
      <c r="AQ79" s="511">
        <f t="shared" si="178"/>
        <v>0</v>
      </c>
      <c r="AR79" s="457">
        <f>SUM(AR73:AR78)</f>
        <v>0</v>
      </c>
      <c r="AS79" s="457">
        <f t="shared" ref="AS79:AU79" si="179">SUM(AS73:AS78)</f>
        <v>1</v>
      </c>
      <c r="AT79" s="457">
        <f t="shared" si="179"/>
        <v>2018</v>
      </c>
      <c r="AU79" s="511">
        <f t="shared" si="179"/>
        <v>1.3522618000000002E-2</v>
      </c>
      <c r="AV79" s="457">
        <f>SUM(AV73:AV78)</f>
        <v>0</v>
      </c>
      <c r="AW79" s="457">
        <f t="shared" ref="AW79:AY79" si="180">SUM(AW73:AW78)</f>
        <v>0</v>
      </c>
      <c r="AX79" s="457">
        <f t="shared" si="180"/>
        <v>0</v>
      </c>
      <c r="AY79" s="511">
        <f t="shared" si="180"/>
        <v>0</v>
      </c>
      <c r="AZ79" s="457">
        <f t="shared" ref="AZ79:BN79" si="181">SUM(AZ73:AZ78)</f>
        <v>0</v>
      </c>
      <c r="BA79" s="458">
        <f t="shared" si="181"/>
        <v>0</v>
      </c>
      <c r="BB79" s="511">
        <f t="shared" si="181"/>
        <v>0</v>
      </c>
      <c r="BC79" s="457">
        <f t="shared" si="181"/>
        <v>0</v>
      </c>
      <c r="BD79" s="458">
        <f t="shared" si="181"/>
        <v>0</v>
      </c>
      <c r="BE79" s="457">
        <f t="shared" si="181"/>
        <v>0</v>
      </c>
      <c r="BF79" s="457">
        <f t="shared" si="181"/>
        <v>0</v>
      </c>
      <c r="BG79" s="457">
        <f t="shared" si="181"/>
        <v>0</v>
      </c>
      <c r="BH79" s="457">
        <f t="shared" si="181"/>
        <v>0</v>
      </c>
      <c r="BI79" s="457">
        <f t="shared" si="181"/>
        <v>0</v>
      </c>
      <c r="BJ79" s="457">
        <f t="shared" si="181"/>
        <v>1</v>
      </c>
      <c r="BK79" s="457">
        <f t="shared" si="181"/>
        <v>1.3522618000000002E-2</v>
      </c>
      <c r="BL79" s="457">
        <f t="shared" si="181"/>
        <v>0</v>
      </c>
      <c r="BM79" s="457">
        <f t="shared" si="181"/>
        <v>1</v>
      </c>
      <c r="BN79" s="457">
        <f t="shared" si="181"/>
        <v>1.3522618000000002E-2</v>
      </c>
      <c r="BO79" s="525">
        <f>IFERROR(BM79/BL79,0)</f>
        <v>0</v>
      </c>
      <c r="BP79" s="472"/>
      <c r="BQ79" s="457">
        <f t="shared" ref="BQ79:BR79" si="182">SUM(BQ73:BQ78)</f>
        <v>0</v>
      </c>
      <c r="BR79" s="457">
        <f t="shared" si="182"/>
        <v>0</v>
      </c>
      <c r="BS79" s="467">
        <f t="shared" si="151"/>
        <v>0</v>
      </c>
      <c r="BT79" s="530">
        <f t="shared" ref="BT79" si="183">SUM(BT73:BT78)</f>
        <v>0</v>
      </c>
      <c r="BU79" s="525">
        <f t="shared" si="141"/>
        <v>0</v>
      </c>
    </row>
    <row r="80" spans="1:73" ht="12.6" customHeight="1">
      <c r="A80" s="474"/>
      <c r="B80" s="502"/>
      <c r="C80" s="502"/>
      <c r="D80" s="474"/>
      <c r="E80" s="474"/>
      <c r="F80" s="474"/>
      <c r="G80" s="516"/>
      <c r="H80" s="474"/>
      <c r="I80" s="474"/>
      <c r="J80" s="474"/>
      <c r="K80" s="516"/>
      <c r="L80" s="474"/>
      <c r="M80" s="474"/>
      <c r="N80" s="474"/>
      <c r="O80" s="516"/>
      <c r="P80" s="474"/>
      <c r="Q80" s="474"/>
      <c r="R80" s="474"/>
      <c r="S80" s="516"/>
      <c r="T80" s="474"/>
      <c r="U80" s="474"/>
      <c r="V80" s="474"/>
      <c r="W80" s="516"/>
      <c r="X80" s="474"/>
      <c r="Y80" s="474"/>
      <c r="Z80" s="474"/>
      <c r="AA80" s="516"/>
      <c r="AB80" s="474"/>
      <c r="AC80" s="474"/>
      <c r="AD80" s="474"/>
      <c r="AE80" s="516"/>
      <c r="AF80" s="474"/>
      <c r="AG80" s="474"/>
      <c r="AH80" s="474"/>
      <c r="AI80" s="516"/>
      <c r="AJ80" s="474"/>
      <c r="AK80" s="474"/>
      <c r="AL80" s="474"/>
      <c r="AM80" s="516"/>
      <c r="AN80" s="474"/>
      <c r="AO80" s="474"/>
      <c r="AP80" s="474"/>
      <c r="AQ80" s="516"/>
      <c r="AR80" s="474"/>
      <c r="AS80" s="474"/>
      <c r="AT80" s="474"/>
      <c r="AU80" s="516"/>
      <c r="AV80" s="474"/>
      <c r="AW80" s="474"/>
      <c r="AX80" s="474"/>
      <c r="AY80" s="516"/>
      <c r="AZ80" s="474"/>
      <c r="BA80" s="474"/>
      <c r="BB80" s="516"/>
      <c r="BC80" s="474"/>
      <c r="BD80" s="474"/>
      <c r="BE80" s="474"/>
      <c r="BF80" s="474"/>
      <c r="BG80" s="474"/>
      <c r="BH80" s="474"/>
      <c r="BI80" s="474"/>
      <c r="BJ80" s="474"/>
      <c r="BK80" s="474"/>
      <c r="BL80" s="474"/>
      <c r="BM80" s="474"/>
      <c r="BN80" s="474"/>
      <c r="BO80" s="527">
        <f t="shared" si="42"/>
        <v>0</v>
      </c>
      <c r="BP80" s="472"/>
      <c r="BQ80" s="464"/>
      <c r="BR80" s="464"/>
      <c r="BS80" s="470">
        <f t="shared" si="151"/>
        <v>0</v>
      </c>
      <c r="BT80" s="532"/>
      <c r="BU80" s="527">
        <f t="shared" si="141"/>
        <v>0</v>
      </c>
    </row>
    <row r="81" spans="1:73" ht="12.6" customHeight="1">
      <c r="A81" s="482" t="s">
        <v>233</v>
      </c>
      <c r="B81" s="457">
        <f>B71+B79</f>
        <v>14122</v>
      </c>
      <c r="C81" s="457"/>
      <c r="D81" s="457">
        <f t="shared" ref="D81:G81" si="184">D24+D54+D61+D65+D79</f>
        <v>945</v>
      </c>
      <c r="E81" s="457">
        <f t="shared" si="184"/>
        <v>413</v>
      </c>
      <c r="F81" s="483"/>
      <c r="G81" s="511">
        <f t="shared" si="184"/>
        <v>5.8732726774571429</v>
      </c>
      <c r="H81" s="457">
        <f t="shared" ref="H81:AV81" si="185">H24+H54+H61+H65+H79</f>
        <v>810</v>
      </c>
      <c r="I81" s="457">
        <f t="shared" si="185"/>
        <v>630</v>
      </c>
      <c r="J81" s="457"/>
      <c r="K81" s="511">
        <f t="shared" ref="K81" si="186">K24+K54+K61+K65+K79</f>
        <v>5.8486795685714288</v>
      </c>
      <c r="L81" s="457">
        <f t="shared" si="185"/>
        <v>1223</v>
      </c>
      <c r="M81" s="457">
        <f t="shared" si="185"/>
        <v>233</v>
      </c>
      <c r="N81" s="457"/>
      <c r="O81" s="511">
        <f t="shared" ref="O81" si="187">O24+O54+O61+O65+O79</f>
        <v>4.6802486194285731</v>
      </c>
      <c r="P81" s="457">
        <f t="shared" si="185"/>
        <v>1430</v>
      </c>
      <c r="Q81" s="457">
        <f t="shared" ref="Q81" si="188">Q24+Q54+Q61+Q65+Q79</f>
        <v>511</v>
      </c>
      <c r="R81" s="457"/>
      <c r="S81" s="511">
        <f t="shared" ref="S81" si="189">S24+S54+S61+S65+S79</f>
        <v>6.8612598620571434</v>
      </c>
      <c r="T81" s="457">
        <f t="shared" si="185"/>
        <v>1192</v>
      </c>
      <c r="U81" s="457">
        <f t="shared" si="185"/>
        <v>532</v>
      </c>
      <c r="V81" s="457"/>
      <c r="W81" s="511">
        <f t="shared" ref="W81" si="190">W24+W54+W61+W65+W79</f>
        <v>5.9816906205857157</v>
      </c>
      <c r="X81" s="457">
        <f t="shared" si="185"/>
        <v>1290</v>
      </c>
      <c r="Y81" s="457">
        <f t="shared" ref="Y81" si="191">Y24+Y54+Y61+Y65+Y79</f>
        <v>693</v>
      </c>
      <c r="Z81" s="457">
        <f t="shared" si="185"/>
        <v>0</v>
      </c>
      <c r="AA81" s="511">
        <f t="shared" si="185"/>
        <v>15.601871030014289</v>
      </c>
      <c r="AB81" s="457">
        <f t="shared" si="185"/>
        <v>1245</v>
      </c>
      <c r="AC81" s="457">
        <f t="shared" si="185"/>
        <v>433</v>
      </c>
      <c r="AD81" s="457">
        <f t="shared" ref="AD81:AE81" si="192">AD24+AD54+AD61+AD65+AD79</f>
        <v>0</v>
      </c>
      <c r="AE81" s="511">
        <f t="shared" si="192"/>
        <v>10.177177241308884</v>
      </c>
      <c r="AF81" s="457">
        <f t="shared" si="185"/>
        <v>1145</v>
      </c>
      <c r="AG81" s="457">
        <f t="shared" ref="AG81:AI81" si="193">AG24+AG54+AG61+AG65+AG79</f>
        <v>80</v>
      </c>
      <c r="AH81" s="457">
        <f t="shared" si="193"/>
        <v>0</v>
      </c>
      <c r="AI81" s="511">
        <f t="shared" si="193"/>
        <v>2.3724290546028461</v>
      </c>
      <c r="AJ81" s="457">
        <f t="shared" si="185"/>
        <v>1351</v>
      </c>
      <c r="AK81" s="457">
        <f t="shared" si="185"/>
        <v>169</v>
      </c>
      <c r="AL81" s="457">
        <f t="shared" si="185"/>
        <v>0</v>
      </c>
      <c r="AM81" s="511">
        <f t="shared" si="185"/>
        <v>3.6187102857225795</v>
      </c>
      <c r="AN81" s="457">
        <f t="shared" si="185"/>
        <v>1295</v>
      </c>
      <c r="AO81" s="457">
        <f t="shared" ref="AO81:AQ81" si="194">AO24+AO54+AO61+AO65+AO79</f>
        <v>453</v>
      </c>
      <c r="AP81" s="457">
        <f t="shared" si="194"/>
        <v>813</v>
      </c>
      <c r="AQ81" s="511">
        <f t="shared" si="194"/>
        <v>9.4208267761257645</v>
      </c>
      <c r="AR81" s="457">
        <f t="shared" si="185"/>
        <v>1271</v>
      </c>
      <c r="AS81" s="457">
        <f t="shared" si="185"/>
        <v>456</v>
      </c>
      <c r="AT81" s="457">
        <f t="shared" si="185"/>
        <v>2018</v>
      </c>
      <c r="AU81" s="511">
        <f t="shared" si="185"/>
        <v>8.5910841190574612</v>
      </c>
      <c r="AV81" s="457">
        <f t="shared" si="185"/>
        <v>925</v>
      </c>
      <c r="AW81" s="457">
        <f t="shared" ref="AW81:AY81" si="195">AW24+AW54+AW61+AW65+AW79</f>
        <v>0</v>
      </c>
      <c r="AX81" s="457">
        <f t="shared" si="195"/>
        <v>0</v>
      </c>
      <c r="AY81" s="511">
        <f t="shared" si="195"/>
        <v>0</v>
      </c>
      <c r="AZ81" s="458">
        <f t="shared" ref="AZ81:BA81" si="196">+D81+H81+L81</f>
        <v>2978</v>
      </c>
      <c r="BA81" s="458">
        <f t="shared" si="196"/>
        <v>1276</v>
      </c>
      <c r="BB81" s="511">
        <f>+G81+K81+O81</f>
        <v>16.402200865457147</v>
      </c>
      <c r="BC81" s="458">
        <f>+P81+T81+X81</f>
        <v>3912</v>
      </c>
      <c r="BD81" s="458">
        <f>+Q81+U81+Y81</f>
        <v>1736</v>
      </c>
      <c r="BE81" s="458">
        <f>S81+W81+AA81</f>
        <v>28.44482151265715</v>
      </c>
      <c r="BF81" s="458">
        <f>AB81+AF81+AJ81</f>
        <v>3741</v>
      </c>
      <c r="BG81" s="458">
        <f>AC81+AG81+AK81</f>
        <v>682</v>
      </c>
      <c r="BH81" s="458">
        <f>AE81+AI81+AM81</f>
        <v>16.168316581634308</v>
      </c>
      <c r="BI81" s="458">
        <f>+AN81+AR81+AV81</f>
        <v>3491</v>
      </c>
      <c r="BJ81" s="458">
        <f>+AO81+AS81+AW81</f>
        <v>909</v>
      </c>
      <c r="BK81" s="458">
        <f>AQ81+AU81+AY81</f>
        <v>18.011910895183227</v>
      </c>
      <c r="BL81" s="458">
        <f>AZ81+BC81+BF81+BI81</f>
        <v>14122</v>
      </c>
      <c r="BM81" s="458">
        <f t="shared" ref="BM81:BN81" si="197">BA81+BD81+BG81+BJ81</f>
        <v>4603</v>
      </c>
      <c r="BN81" s="458">
        <f t="shared" si="197"/>
        <v>79.027249854931824</v>
      </c>
      <c r="BO81" s="525">
        <f>IFERROR(BM81/BL81,0)</f>
        <v>0.32594533352216398</v>
      </c>
      <c r="BP81" s="472"/>
      <c r="BQ81" s="457">
        <f t="shared" ref="BQ81:BR81" si="198">BQ24+BQ54+BQ61+BQ65+BQ79</f>
        <v>6890</v>
      </c>
      <c r="BR81" s="457">
        <f t="shared" si="198"/>
        <v>3012</v>
      </c>
      <c r="BS81" s="467">
        <f t="shared" si="151"/>
        <v>0.43715529753265603</v>
      </c>
      <c r="BT81" s="530">
        <f t="shared" ref="BT81" si="199">BT24+BT54+BT61+BT65+BT79</f>
        <v>44.847022378114296</v>
      </c>
      <c r="BU81" s="525">
        <f t="shared" si="141"/>
        <v>0.21328423736014729</v>
      </c>
    </row>
    <row r="82" spans="1:73" ht="12.6" customHeight="1">
      <c r="BJ82" s="21"/>
      <c r="BK82" s="21"/>
      <c r="BL82" s="21"/>
      <c r="BM82" s="21"/>
      <c r="BN82" s="21"/>
      <c r="BQ82" s="201"/>
      <c r="BR82" s="201"/>
    </row>
    <row r="83" spans="1:73" ht="12.6" customHeight="1">
      <c r="A83" s="482" t="s">
        <v>241</v>
      </c>
      <c r="B83" s="457"/>
      <c r="C83" s="457"/>
      <c r="D83" s="457"/>
      <c r="E83" s="457"/>
      <c r="F83" s="457"/>
      <c r="G83" s="511">
        <f>SUM(G6:G14)+SUM(G16:G20)+G31+G33+G39+G40+G47+G41</f>
        <v>0.39009315370000003</v>
      </c>
      <c r="H83" s="457"/>
      <c r="I83" s="457"/>
      <c r="J83" s="457"/>
      <c r="K83" s="511">
        <f>SUM(K6:K14)+SUM(K16:K20)+K31+K33+K39+K40+K47+K41</f>
        <v>0</v>
      </c>
      <c r="L83" s="457"/>
      <c r="M83" s="457"/>
      <c r="N83" s="457"/>
      <c r="O83" s="511">
        <f>SUM(O6:O14)+SUM(O16:O20)+O31+O33+O39+O40+O47+O41</f>
        <v>0.11823854480000001</v>
      </c>
      <c r="P83" s="457"/>
      <c r="Q83" s="457"/>
      <c r="R83" s="457"/>
      <c r="S83" s="511">
        <f>SUM(S6:S14)+SUM(S16:S20)+S31+S33+S39+S40+S47+S41</f>
        <v>0.32469327999999997</v>
      </c>
      <c r="T83" s="457"/>
      <c r="U83" s="457"/>
      <c r="V83" s="457"/>
      <c r="W83" s="511">
        <f>SUM(W6:W14)+SUM(W16:W20)+W31+W33+W39+W40+W47+W41</f>
        <v>0.18913079399999999</v>
      </c>
      <c r="X83" s="457"/>
      <c r="Y83" s="457"/>
      <c r="Z83" s="457"/>
      <c r="AA83" s="511">
        <f>SUM(AA6:AA14)+SUM(AA16:AA20)+AA31+AA33+AA39+AA40+AA47+AA41</f>
        <v>0.48855093299999997</v>
      </c>
      <c r="AB83" s="457"/>
      <c r="AC83" s="457"/>
      <c r="AD83" s="457"/>
      <c r="AE83" s="511">
        <f>SUM(AE6:AE14)+SUM(AE16:AE20)+AE31+AE33+AE39+AE40+AE47+AE41</f>
        <v>1.3132464000000002E-2</v>
      </c>
      <c r="AF83" s="458"/>
      <c r="AG83" s="457"/>
      <c r="AH83" s="457"/>
      <c r="AI83" s="511">
        <f>SUM(AI6:AI14)+SUM(AI16:AI20)+AI31+AI33+AI39+AI40+AI47+AI41</f>
        <v>0</v>
      </c>
      <c r="AJ83" s="458"/>
      <c r="AK83" s="457"/>
      <c r="AL83" s="457"/>
      <c r="AM83" s="511">
        <f>SUM(AM6:AM14)+SUM(AM16:AM20)+AM31+AM33+AM39+AM40+AM47+AM41</f>
        <v>0</v>
      </c>
      <c r="AN83" s="458"/>
      <c r="AO83" s="457"/>
      <c r="AP83" s="457"/>
      <c r="AQ83" s="511">
        <f>SUM(AQ6:AQ14)+SUM(AQ16:AQ20)+AQ31+AQ33+AQ39+AQ40+AQ47+AQ41</f>
        <v>0.15959226600000001</v>
      </c>
      <c r="AR83" s="458">
        <f t="shared" ref="AR83:AV85" si="200">AR26+AR56+AR63+AR67+AR81</f>
        <v>2602</v>
      </c>
      <c r="AS83" s="457"/>
      <c r="AT83" s="457"/>
      <c r="AU83" s="511">
        <f>SUM(AU6:AU14)+SUM(AU16:AU20)+AU31+AU33+AU39+AU40+AU47+AU41</f>
        <v>0.24557824800000005</v>
      </c>
      <c r="AV83" s="458">
        <f t="shared" si="200"/>
        <v>1890</v>
      </c>
      <c r="AW83" s="457"/>
      <c r="AX83" s="457"/>
      <c r="AY83" s="511">
        <f>SUM(AY6:AY14)+SUM(AY16:AY20)+AY31+AY33+AY39+AY40+AY47+AY41</f>
        <v>0</v>
      </c>
      <c r="AZ83" s="458">
        <f t="shared" ref="AZ83:BA85" si="201">+D83+H83+L83</f>
        <v>0</v>
      </c>
      <c r="BA83" s="458">
        <f t="shared" si="201"/>
        <v>0</v>
      </c>
      <c r="BB83" s="511">
        <f t="shared" ref="BB83:BB85" si="202">+G83+K83+O83</f>
        <v>0.50833169850000004</v>
      </c>
      <c r="BC83" s="458">
        <f t="shared" ref="BC83:BD85" si="203">+P83+T83+X83</f>
        <v>0</v>
      </c>
      <c r="BD83" s="458">
        <f t="shared" si="203"/>
        <v>0</v>
      </c>
      <c r="BE83" s="458">
        <f t="shared" ref="BE83:BE85" si="204">S83+W83+AA83</f>
        <v>1.0023750069999999</v>
      </c>
      <c r="BF83" s="458">
        <f t="shared" ref="BF83:BG85" si="205">AB83+AF83+AJ83</f>
        <v>0</v>
      </c>
      <c r="BG83" s="458">
        <f t="shared" si="205"/>
        <v>0</v>
      </c>
      <c r="BH83" s="458">
        <f t="shared" ref="BH83:BH85" si="206">AE83+AI83+AM83</f>
        <v>1.3132464000000002E-2</v>
      </c>
      <c r="BI83" s="458">
        <f t="shared" ref="BI83:BJ85" si="207">+AN83+AR83+AV83</f>
        <v>4492</v>
      </c>
      <c r="BJ83" s="458">
        <f t="shared" si="207"/>
        <v>0</v>
      </c>
      <c r="BK83" s="458">
        <f t="shared" ref="BK83:BK85" si="208">AQ83+AU83+AY83</f>
        <v>0.40517051400000004</v>
      </c>
      <c r="BL83" s="458">
        <f t="shared" ref="BL83:BN85" si="209">AZ83+BC83+BF83+BI83</f>
        <v>4492</v>
      </c>
      <c r="BM83" s="458">
        <f t="shared" si="209"/>
        <v>0</v>
      </c>
      <c r="BN83" s="458">
        <f t="shared" si="209"/>
        <v>1.9290096834999999</v>
      </c>
      <c r="BO83" s="525">
        <f t="shared" ref="BO83:BO85" si="210">IFERROR(BM83/BL83,0)</f>
        <v>0</v>
      </c>
      <c r="BQ83" s="457"/>
      <c r="BR83" s="457"/>
      <c r="BS83" s="525"/>
      <c r="BT83" s="511">
        <f>SUM(BT6:BT14)+SUM(BT16:BT20)+BT31+BT33+BT39+BT40+BT47+BT41</f>
        <v>1.5107067055000003</v>
      </c>
      <c r="BU83" s="525"/>
    </row>
    <row r="84" spans="1:73" ht="12.6" customHeight="1">
      <c r="AF84" s="21"/>
      <c r="AJ84" s="21"/>
      <c r="AN84" s="21"/>
      <c r="BJ84" s="21"/>
      <c r="BK84" s="21"/>
      <c r="BL84" s="21"/>
      <c r="BM84" s="21"/>
      <c r="BN84" s="21"/>
      <c r="BQ84" s="201"/>
      <c r="BR84" s="201"/>
    </row>
    <row r="85" spans="1:73" ht="12.6" customHeight="1">
      <c r="A85" s="482" t="s">
        <v>242</v>
      </c>
      <c r="B85" s="457"/>
      <c r="C85" s="457"/>
      <c r="D85" s="457"/>
      <c r="E85" s="457"/>
      <c r="F85" s="457"/>
      <c r="G85" s="530">
        <f>G81-G83</f>
        <v>5.4831795237571432</v>
      </c>
      <c r="H85" s="457"/>
      <c r="I85" s="457"/>
      <c r="J85" s="457"/>
      <c r="K85" s="530">
        <f>K81-K83</f>
        <v>5.8486795685714288</v>
      </c>
      <c r="L85" s="457"/>
      <c r="M85" s="457"/>
      <c r="N85" s="457"/>
      <c r="O85" s="530">
        <f>O81-O83</f>
        <v>4.5620100746285734</v>
      </c>
      <c r="P85" s="457"/>
      <c r="Q85" s="457"/>
      <c r="R85" s="457"/>
      <c r="S85" s="530">
        <f>S81-S83</f>
        <v>6.5365665820571435</v>
      </c>
      <c r="T85" s="457"/>
      <c r="U85" s="457"/>
      <c r="V85" s="457"/>
      <c r="W85" s="530">
        <f>W81-W83</f>
        <v>5.7925598265857161</v>
      </c>
      <c r="X85" s="457"/>
      <c r="Y85" s="457"/>
      <c r="Z85" s="457"/>
      <c r="AA85" s="530">
        <f>AA81-AA83</f>
        <v>15.113320097014288</v>
      </c>
      <c r="AB85" s="457"/>
      <c r="AC85" s="457"/>
      <c r="AD85" s="457"/>
      <c r="AE85" s="530">
        <f>AE81-AE83</f>
        <v>10.164044777308884</v>
      </c>
      <c r="AF85" s="458"/>
      <c r="AG85" s="457"/>
      <c r="AH85" s="457"/>
      <c r="AI85" s="530">
        <f>AI81-AI83</f>
        <v>2.3724290546028461</v>
      </c>
      <c r="AJ85" s="458"/>
      <c r="AK85" s="457"/>
      <c r="AL85" s="457"/>
      <c r="AM85" s="530">
        <f>AM81-AM83</f>
        <v>3.6187102857225795</v>
      </c>
      <c r="AN85" s="458"/>
      <c r="AO85" s="457"/>
      <c r="AP85" s="457"/>
      <c r="AQ85" s="530">
        <f>AQ81-AQ83</f>
        <v>9.2612345101257638</v>
      </c>
      <c r="AR85" s="458">
        <f t="shared" si="200"/>
        <v>2602</v>
      </c>
      <c r="AS85" s="457"/>
      <c r="AT85" s="457"/>
      <c r="AU85" s="530">
        <f>AU81-AU83</f>
        <v>8.3455058710574619</v>
      </c>
      <c r="AV85" s="458">
        <f t="shared" si="200"/>
        <v>1890</v>
      </c>
      <c r="AW85" s="457"/>
      <c r="AX85" s="457"/>
      <c r="AY85" s="530">
        <f>AY81-AY83</f>
        <v>0</v>
      </c>
      <c r="AZ85" s="458">
        <f t="shared" si="201"/>
        <v>0</v>
      </c>
      <c r="BA85" s="458">
        <f t="shared" si="201"/>
        <v>0</v>
      </c>
      <c r="BB85" s="511">
        <f t="shared" si="202"/>
        <v>15.893869166957145</v>
      </c>
      <c r="BC85" s="458">
        <f t="shared" si="203"/>
        <v>0</v>
      </c>
      <c r="BD85" s="458">
        <f t="shared" si="203"/>
        <v>0</v>
      </c>
      <c r="BE85" s="458">
        <f t="shared" si="204"/>
        <v>27.442446505657148</v>
      </c>
      <c r="BF85" s="458">
        <f t="shared" si="205"/>
        <v>0</v>
      </c>
      <c r="BG85" s="458">
        <f t="shared" si="205"/>
        <v>0</v>
      </c>
      <c r="BH85" s="458">
        <f t="shared" si="206"/>
        <v>16.15518411763431</v>
      </c>
      <c r="BI85" s="458">
        <f t="shared" si="207"/>
        <v>4492</v>
      </c>
      <c r="BJ85" s="458">
        <f t="shared" si="207"/>
        <v>0</v>
      </c>
      <c r="BK85" s="458">
        <f t="shared" si="208"/>
        <v>17.606740381183226</v>
      </c>
      <c r="BL85" s="458">
        <f t="shared" si="209"/>
        <v>4492</v>
      </c>
      <c r="BM85" s="458">
        <f t="shared" si="209"/>
        <v>0</v>
      </c>
      <c r="BN85" s="458">
        <f t="shared" si="209"/>
        <v>77.098240171431826</v>
      </c>
      <c r="BO85" s="525">
        <f t="shared" si="210"/>
        <v>0</v>
      </c>
      <c r="BQ85" s="457"/>
      <c r="BR85" s="457"/>
      <c r="BS85" s="525"/>
      <c r="BT85" s="530">
        <f>BT81-BT83</f>
        <v>43.336315672614298</v>
      </c>
      <c r="BU85" s="525"/>
    </row>
  </sheetData>
  <mergeCells count="19">
    <mergeCell ref="BL4:BO4"/>
    <mergeCell ref="X4:AA4"/>
    <mergeCell ref="AB4:AE4"/>
    <mergeCell ref="AZ4:BB4"/>
    <mergeCell ref="BC4:BE4"/>
    <mergeCell ref="BF4:BH4"/>
    <mergeCell ref="BQ4:BT4"/>
    <mergeCell ref="A4:A5"/>
    <mergeCell ref="D4:G4"/>
    <mergeCell ref="H4:K4"/>
    <mergeCell ref="P4:S4"/>
    <mergeCell ref="L4:O4"/>
    <mergeCell ref="T4:W4"/>
    <mergeCell ref="AV4:AY4"/>
    <mergeCell ref="AF4:AI4"/>
    <mergeCell ref="AJ4:AM4"/>
    <mergeCell ref="AN4:AQ4"/>
    <mergeCell ref="AR4:AU4"/>
    <mergeCell ref="BI4:BK4"/>
  </mergeCells>
  <phoneticPr fontId="7" type="noConversion"/>
  <pageMargins left="0.75" right="0.75" top="1" bottom="1" header="0.5" footer="0.5"/>
  <headerFooter alignWithMargins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85"/>
  <sheetViews>
    <sheetView workbookViewId="0">
      <pane xSplit="2" ySplit="5" topLeftCell="BE23" activePane="bottomRight" state="frozen"/>
      <selection activeCell="B27" sqref="B26:B27"/>
      <selection pane="topRight" activeCell="B27" sqref="B26:B27"/>
      <selection pane="bottomLeft" activeCell="B27" sqref="B26:B27"/>
      <selection pane="bottomRight" activeCell="BK43" sqref="BK43"/>
    </sheetView>
  </sheetViews>
  <sheetFormatPr defaultRowHeight="12.6" customHeight="1"/>
  <cols>
    <col min="1" max="1" width="20.42578125" customWidth="1"/>
    <col min="2" max="3" width="9.42578125" customWidth="1"/>
    <col min="4" max="6" width="8.42578125" customWidth="1"/>
    <col min="7" max="7" width="10" customWidth="1"/>
    <col min="8" max="11" width="9.28515625" customWidth="1"/>
    <col min="12" max="15" width="8.7109375" customWidth="1"/>
    <col min="16" max="51" width="9.140625" customWidth="1"/>
    <col min="52" max="61" width="9.140625" style="21" customWidth="1"/>
    <col min="62" max="66" width="9.140625" customWidth="1"/>
    <col min="67" max="67" width="9.28515625" customWidth="1"/>
    <col min="68" max="68" width="9.140625" customWidth="1"/>
    <col min="72" max="72" width="9.140625" customWidth="1"/>
  </cols>
  <sheetData>
    <row r="1" spans="1:73" s="21" customFormat="1" ht="12.6" customHeight="1">
      <c r="A1" s="28" t="s">
        <v>102</v>
      </c>
    </row>
    <row r="2" spans="1:73" ht="15.75" customHeight="1">
      <c r="A2" s="85" t="s">
        <v>137</v>
      </c>
      <c r="C2" s="53"/>
      <c r="H2" s="21"/>
      <c r="I2" s="21"/>
      <c r="J2" s="21"/>
      <c r="K2" s="21"/>
      <c r="L2" s="53"/>
      <c r="M2" s="53"/>
      <c r="N2" s="53"/>
      <c r="O2" s="53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</row>
    <row r="3" spans="1:73" ht="12.6" customHeight="1">
      <c r="A3" s="20"/>
      <c r="B3" s="53"/>
      <c r="C3" s="53"/>
      <c r="D3" s="53"/>
      <c r="E3" s="53"/>
      <c r="F3" s="53"/>
      <c r="G3" s="53"/>
      <c r="L3" s="53"/>
      <c r="M3" s="53"/>
      <c r="N3" s="53"/>
      <c r="O3" s="53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</row>
    <row r="4" spans="1:73" s="1" customFormat="1" ht="12.6" customHeight="1">
      <c r="A4" s="545" t="s">
        <v>10</v>
      </c>
      <c r="B4" s="490" t="s">
        <v>134</v>
      </c>
      <c r="C4" s="490"/>
      <c r="D4" s="544">
        <v>42461</v>
      </c>
      <c r="E4" s="544"/>
      <c r="F4" s="544"/>
      <c r="G4" s="544"/>
      <c r="H4" s="544">
        <f>D4+31</f>
        <v>42492</v>
      </c>
      <c r="I4" s="544"/>
      <c r="J4" s="544"/>
      <c r="K4" s="544"/>
      <c r="L4" s="544">
        <f>H4+31</f>
        <v>42523</v>
      </c>
      <c r="M4" s="544"/>
      <c r="N4" s="544"/>
      <c r="O4" s="544"/>
      <c r="P4" s="541">
        <f>L4+31</f>
        <v>42554</v>
      </c>
      <c r="Q4" s="542"/>
      <c r="R4" s="542"/>
      <c r="S4" s="543"/>
      <c r="T4" s="544">
        <f>P4+31</f>
        <v>42585</v>
      </c>
      <c r="U4" s="544"/>
      <c r="V4" s="544"/>
      <c r="W4" s="544"/>
      <c r="X4" s="544">
        <f>T4+31</f>
        <v>42616</v>
      </c>
      <c r="Y4" s="544"/>
      <c r="Z4" s="544"/>
      <c r="AA4" s="544"/>
      <c r="AB4" s="541">
        <f>X4+31</f>
        <v>42647</v>
      </c>
      <c r="AC4" s="542"/>
      <c r="AD4" s="542"/>
      <c r="AE4" s="543"/>
      <c r="AF4" s="541">
        <f>AB4+31</f>
        <v>42678</v>
      </c>
      <c r="AG4" s="542"/>
      <c r="AH4" s="542"/>
      <c r="AI4" s="543"/>
      <c r="AJ4" s="541">
        <f>AF4+31</f>
        <v>42709</v>
      </c>
      <c r="AK4" s="542"/>
      <c r="AL4" s="542"/>
      <c r="AM4" s="543"/>
      <c r="AN4" s="541">
        <f>AJ4+31</f>
        <v>42740</v>
      </c>
      <c r="AO4" s="542"/>
      <c r="AP4" s="542"/>
      <c r="AQ4" s="543"/>
      <c r="AR4" s="541">
        <f>AN4+31</f>
        <v>42771</v>
      </c>
      <c r="AS4" s="542"/>
      <c r="AT4" s="542"/>
      <c r="AU4" s="543"/>
      <c r="AV4" s="541">
        <f>AR4+31</f>
        <v>42802</v>
      </c>
      <c r="AW4" s="542"/>
      <c r="AX4" s="542"/>
      <c r="AY4" s="543"/>
      <c r="AZ4" s="541" t="s">
        <v>19</v>
      </c>
      <c r="BA4" s="542"/>
      <c r="BB4" s="543"/>
      <c r="BC4" s="541" t="s">
        <v>20</v>
      </c>
      <c r="BD4" s="542"/>
      <c r="BE4" s="543"/>
      <c r="BF4" s="541" t="s">
        <v>21</v>
      </c>
      <c r="BG4" s="542"/>
      <c r="BH4" s="543"/>
      <c r="BI4" s="544" t="s">
        <v>22</v>
      </c>
      <c r="BJ4" s="544"/>
      <c r="BK4" s="544"/>
      <c r="BL4" s="541" t="s">
        <v>246</v>
      </c>
      <c r="BM4" s="542"/>
      <c r="BN4" s="542"/>
      <c r="BO4" s="543"/>
      <c r="BP4" s="471"/>
      <c r="BQ4" s="541" t="s">
        <v>244</v>
      </c>
      <c r="BR4" s="542"/>
      <c r="BS4" s="542"/>
      <c r="BT4" s="543"/>
      <c r="BU4" s="524"/>
    </row>
    <row r="5" spans="1:73" s="1" customFormat="1" ht="36" customHeight="1">
      <c r="A5" s="545"/>
      <c r="B5" s="456" t="s">
        <v>68</v>
      </c>
      <c r="C5" s="456" t="s">
        <v>225</v>
      </c>
      <c r="D5" s="456" t="s">
        <v>229</v>
      </c>
      <c r="E5" s="456" t="s">
        <v>212</v>
      </c>
      <c r="F5" s="456" t="s">
        <v>213</v>
      </c>
      <c r="G5" s="456" t="s">
        <v>234</v>
      </c>
      <c r="H5" s="456" t="s">
        <v>229</v>
      </c>
      <c r="I5" s="456" t="s">
        <v>212</v>
      </c>
      <c r="J5" s="456" t="s">
        <v>213</v>
      </c>
      <c r="K5" s="456" t="s">
        <v>234</v>
      </c>
      <c r="L5" s="456" t="s">
        <v>229</v>
      </c>
      <c r="M5" s="456" t="s">
        <v>212</v>
      </c>
      <c r="N5" s="456" t="s">
        <v>213</v>
      </c>
      <c r="O5" s="456" t="s">
        <v>234</v>
      </c>
      <c r="P5" s="456" t="s">
        <v>229</v>
      </c>
      <c r="Q5" s="456" t="s">
        <v>212</v>
      </c>
      <c r="R5" s="456" t="s">
        <v>213</v>
      </c>
      <c r="S5" s="456" t="s">
        <v>234</v>
      </c>
      <c r="T5" s="456" t="s">
        <v>229</v>
      </c>
      <c r="U5" s="456" t="s">
        <v>212</v>
      </c>
      <c r="V5" s="456" t="s">
        <v>213</v>
      </c>
      <c r="W5" s="456" t="s">
        <v>234</v>
      </c>
      <c r="X5" s="456" t="s">
        <v>229</v>
      </c>
      <c r="Y5" s="456" t="s">
        <v>212</v>
      </c>
      <c r="Z5" s="456" t="s">
        <v>213</v>
      </c>
      <c r="AA5" s="456" t="s">
        <v>234</v>
      </c>
      <c r="AB5" s="456" t="s">
        <v>229</v>
      </c>
      <c r="AC5" s="456" t="s">
        <v>212</v>
      </c>
      <c r="AD5" s="456" t="s">
        <v>213</v>
      </c>
      <c r="AE5" s="456" t="s">
        <v>234</v>
      </c>
      <c r="AF5" s="456" t="s">
        <v>229</v>
      </c>
      <c r="AG5" s="456" t="s">
        <v>212</v>
      </c>
      <c r="AH5" s="456" t="s">
        <v>213</v>
      </c>
      <c r="AI5" s="456" t="s">
        <v>234</v>
      </c>
      <c r="AJ5" s="456" t="s">
        <v>229</v>
      </c>
      <c r="AK5" s="456" t="s">
        <v>212</v>
      </c>
      <c r="AL5" s="456" t="s">
        <v>213</v>
      </c>
      <c r="AM5" s="456" t="s">
        <v>234</v>
      </c>
      <c r="AN5" s="456" t="s">
        <v>229</v>
      </c>
      <c r="AO5" s="456" t="s">
        <v>212</v>
      </c>
      <c r="AP5" s="456" t="s">
        <v>213</v>
      </c>
      <c r="AQ5" s="456" t="s">
        <v>234</v>
      </c>
      <c r="AR5" s="456" t="s">
        <v>229</v>
      </c>
      <c r="AS5" s="456" t="s">
        <v>212</v>
      </c>
      <c r="AT5" s="456" t="s">
        <v>213</v>
      </c>
      <c r="AU5" s="456" t="s">
        <v>234</v>
      </c>
      <c r="AV5" s="456" t="s">
        <v>229</v>
      </c>
      <c r="AW5" s="456" t="s">
        <v>212</v>
      </c>
      <c r="AX5" s="456" t="s">
        <v>213</v>
      </c>
      <c r="AY5" s="456" t="s">
        <v>234</v>
      </c>
      <c r="AZ5" s="456" t="s">
        <v>229</v>
      </c>
      <c r="BA5" s="456" t="s">
        <v>228</v>
      </c>
      <c r="BB5" s="456" t="s">
        <v>234</v>
      </c>
      <c r="BC5" s="456" t="s">
        <v>229</v>
      </c>
      <c r="BD5" s="456" t="s">
        <v>228</v>
      </c>
      <c r="BE5" s="456" t="s">
        <v>234</v>
      </c>
      <c r="BF5" s="456" t="s">
        <v>229</v>
      </c>
      <c r="BG5" s="456" t="s">
        <v>228</v>
      </c>
      <c r="BH5" s="456" t="s">
        <v>234</v>
      </c>
      <c r="BI5" s="456" t="s">
        <v>229</v>
      </c>
      <c r="BJ5" s="456" t="s">
        <v>228</v>
      </c>
      <c r="BK5" s="456" t="s">
        <v>234</v>
      </c>
      <c r="BL5" s="456" t="s">
        <v>229</v>
      </c>
      <c r="BM5" s="456" t="s">
        <v>228</v>
      </c>
      <c r="BN5" s="456" t="s">
        <v>234</v>
      </c>
      <c r="BO5" s="456" t="s">
        <v>232</v>
      </c>
      <c r="BP5" s="471"/>
      <c r="BQ5" s="456" t="s">
        <v>229</v>
      </c>
      <c r="BR5" s="456" t="s">
        <v>212</v>
      </c>
      <c r="BS5" s="456" t="s">
        <v>232</v>
      </c>
      <c r="BT5" s="456" t="s">
        <v>234</v>
      </c>
      <c r="BU5" s="456" t="s">
        <v>240</v>
      </c>
    </row>
    <row r="6" spans="1:73" ht="12.6" customHeight="1">
      <c r="A6" s="254" t="s">
        <v>43</v>
      </c>
      <c r="B6" s="129">
        <f t="shared" ref="B6:B23" si="0">D6+H6+L6+P6+T6+X6+AB6+AF6+AJ6+AN6+AR6+AV6</f>
        <v>480</v>
      </c>
      <c r="C6" s="257"/>
      <c r="D6" s="129"/>
      <c r="E6" s="129"/>
      <c r="F6" s="129"/>
      <c r="G6" s="509">
        <f t="shared" ref="G6:G23" si="1">E6*(F6-C6)*66.47/10^7</f>
        <v>0</v>
      </c>
      <c r="H6" s="129">
        <v>80</v>
      </c>
      <c r="I6" s="129"/>
      <c r="J6" s="129"/>
      <c r="K6" s="509">
        <f t="shared" ref="K6:K23" si="2">I6*(J6-C6)*66.91/10^7</f>
        <v>0</v>
      </c>
      <c r="L6" s="129"/>
      <c r="M6" s="129"/>
      <c r="N6" s="129"/>
      <c r="O6" s="509">
        <f t="shared" ref="O6:O23" si="3">M6*(N6-C6)*67.28/10^7</f>
        <v>0</v>
      </c>
      <c r="P6" s="129">
        <v>80</v>
      </c>
      <c r="Q6" s="129"/>
      <c r="R6" s="129"/>
      <c r="S6" s="509">
        <f>Q6*(R6-C6)*67.28/10^7</f>
        <v>0</v>
      </c>
      <c r="T6" s="129"/>
      <c r="U6" s="129"/>
      <c r="V6" s="129">
        <f>(T6*U6)/10^6</f>
        <v>0</v>
      </c>
      <c r="W6" s="509">
        <f>U6*(V6-C6)*66.93/10^7</f>
        <v>0</v>
      </c>
      <c r="X6" s="129">
        <v>80</v>
      </c>
      <c r="Y6" s="129">
        <v>300</v>
      </c>
      <c r="Z6" s="129">
        <v>1716</v>
      </c>
      <c r="AA6" s="509">
        <f>296*(Z6-1248)*66.69/10^7</f>
        <v>0.92384323200000007</v>
      </c>
      <c r="AB6" s="129"/>
      <c r="AC6" s="129"/>
      <c r="AD6" s="129"/>
      <c r="AE6" s="509">
        <f>AC6*(AD6-G6)*66.73/10^7</f>
        <v>0</v>
      </c>
      <c r="AF6" s="129">
        <v>80</v>
      </c>
      <c r="AG6" s="129"/>
      <c r="AH6" s="129"/>
      <c r="AI6" s="509">
        <f>296*(AH6-1248)*67.58/10^7</f>
        <v>-2.4964592639999998</v>
      </c>
      <c r="AJ6" s="129"/>
      <c r="AK6" s="129">
        <v>149</v>
      </c>
      <c r="AL6" s="129">
        <v>2279</v>
      </c>
      <c r="AM6" s="509">
        <f>296*(AL6-1573)*67.91/10^7</f>
        <v>1.4191560160000001</v>
      </c>
      <c r="AN6" s="129">
        <v>80</v>
      </c>
      <c r="AO6" s="129">
        <v>149</v>
      </c>
      <c r="AP6" s="129">
        <v>2281</v>
      </c>
      <c r="AQ6" s="509">
        <f>296*(AP6-1782)*68.01/10^7</f>
        <v>1.004534904</v>
      </c>
      <c r="AR6" s="129"/>
      <c r="AS6" s="129"/>
      <c r="AT6" s="129"/>
      <c r="AU6" s="509">
        <f>AS6*(AT6-W6)*67.01/10^7</f>
        <v>0</v>
      </c>
      <c r="AV6" s="129">
        <v>80</v>
      </c>
      <c r="AW6" s="129"/>
      <c r="AX6" s="129"/>
      <c r="AY6" s="509">
        <f t="shared" ref="AY6:AY9" si="4">AW6*(AX6-AA6)*66.69/10^7</f>
        <v>0</v>
      </c>
      <c r="AZ6" s="23">
        <f t="shared" ref="AZ6:BA23" si="5">+D6+H6+L6</f>
        <v>80</v>
      </c>
      <c r="BA6" s="23">
        <f t="shared" si="5"/>
        <v>0</v>
      </c>
      <c r="BB6" s="509">
        <f>+G6+K6+O6</f>
        <v>0</v>
      </c>
      <c r="BC6" s="23">
        <f>+P6+T6+X6</f>
        <v>160</v>
      </c>
      <c r="BD6" s="23">
        <f>+Q6+U6+Y6</f>
        <v>300</v>
      </c>
      <c r="BE6" s="257">
        <f>S6+W6+AA6</f>
        <v>0.92384323200000007</v>
      </c>
      <c r="BF6" s="23">
        <f>AB6+AF6+AJ6</f>
        <v>80</v>
      </c>
      <c r="BG6" s="23">
        <f>AC6+AG6+AK6</f>
        <v>149</v>
      </c>
      <c r="BH6" s="257">
        <f>AE6+AI6+AM6</f>
        <v>-1.0773032479999998</v>
      </c>
      <c r="BI6" s="23">
        <f>+AN6+AR6+AV6</f>
        <v>160</v>
      </c>
      <c r="BJ6" s="23">
        <f>+AO6+AS6+AW6</f>
        <v>149</v>
      </c>
      <c r="BK6" s="257">
        <f>AQ6+AU6+AY6</f>
        <v>1.004534904</v>
      </c>
      <c r="BL6" s="23">
        <f>AZ6+BC6+BF6+BI6</f>
        <v>480</v>
      </c>
      <c r="BM6" s="23">
        <f t="shared" ref="BM6:BN21" si="6">BA6+BD6+BG6+BJ6</f>
        <v>598</v>
      </c>
      <c r="BN6" s="23">
        <f t="shared" si="6"/>
        <v>0.85107488800000031</v>
      </c>
      <c r="BO6" s="466">
        <f>IFERROR(BM6/BL6,0)</f>
        <v>1.2458333333333333</v>
      </c>
      <c r="BP6" s="472"/>
      <c r="BQ6" s="23">
        <f t="shared" ref="BQ6:BQ23" si="7">D6+H6+L6+P6+T6+X6</f>
        <v>240</v>
      </c>
      <c r="BR6" s="23">
        <f t="shared" ref="BR6:BR23" si="8">E6+I6+M6+Q6+U6+Y6</f>
        <v>300</v>
      </c>
      <c r="BS6" s="466">
        <f t="shared" ref="BS6" si="9">IFERROR(BR6/BQ6,0)</f>
        <v>1.25</v>
      </c>
      <c r="BT6" s="509">
        <f t="shared" ref="BT6:BT23" si="10">G6+K6+O6+S6+W6+AA6</f>
        <v>0.92384323200000007</v>
      </c>
      <c r="BU6" s="466">
        <f t="shared" ref="BU6:BU37" si="11">IFERROR(BR6/B6,0)</f>
        <v>0.625</v>
      </c>
    </row>
    <row r="7" spans="1:73" ht="12.6" customHeight="1">
      <c r="A7" s="254" t="s">
        <v>129</v>
      </c>
      <c r="B7" s="129">
        <f t="shared" si="0"/>
        <v>0</v>
      </c>
      <c r="C7" s="257"/>
      <c r="D7" s="129"/>
      <c r="E7" s="129"/>
      <c r="F7" s="129"/>
      <c r="G7" s="509">
        <f t="shared" si="1"/>
        <v>0</v>
      </c>
      <c r="H7" s="129"/>
      <c r="I7" s="129"/>
      <c r="J7" s="129"/>
      <c r="K7" s="509">
        <f t="shared" si="2"/>
        <v>0</v>
      </c>
      <c r="L7" s="129"/>
      <c r="M7" s="129"/>
      <c r="N7" s="129"/>
      <c r="O7" s="509">
        <f t="shared" si="3"/>
        <v>0</v>
      </c>
      <c r="P7" s="129"/>
      <c r="Q7" s="129"/>
      <c r="R7" s="129"/>
      <c r="S7" s="509">
        <f t="shared" ref="S7:S9" si="12">Q7*(R7-C7)*67.28/10^7</f>
        <v>0</v>
      </c>
      <c r="T7" s="129"/>
      <c r="U7" s="129"/>
      <c r="V7" s="129">
        <f t="shared" ref="V7:V21" si="13">(T7*U7)/10^6</f>
        <v>0</v>
      </c>
      <c r="W7" s="509">
        <f t="shared" ref="W7:W23" si="14">U7*(V7-C7)*66.93/10^7</f>
        <v>0</v>
      </c>
      <c r="X7" s="129"/>
      <c r="Y7" s="129"/>
      <c r="Z7" s="129"/>
      <c r="AA7" s="509">
        <f t="shared" ref="AA7:AA23" si="15">Y7*(Z7-C7)*66.69/10^7</f>
        <v>0</v>
      </c>
      <c r="AB7" s="129"/>
      <c r="AC7" s="129"/>
      <c r="AD7" s="129"/>
      <c r="AE7" s="509">
        <f>AC7*(AD7-G7)*66.73/10^7</f>
        <v>0</v>
      </c>
      <c r="AF7" s="129"/>
      <c r="AG7" s="129"/>
      <c r="AH7" s="129"/>
      <c r="AI7" s="509">
        <f>AG7*(AH7-K7)*67.58/10^7</f>
        <v>0</v>
      </c>
      <c r="AJ7" s="129"/>
      <c r="AK7" s="129"/>
      <c r="AL7" s="129"/>
      <c r="AM7" s="509">
        <f>AK7*(AL7-O7)*67.91/10^7</f>
        <v>0</v>
      </c>
      <c r="AN7" s="129"/>
      <c r="AO7" s="129"/>
      <c r="AP7" s="129"/>
      <c r="AQ7" s="509">
        <f>AO7*(AP7-S7)*68.01/10^7</f>
        <v>0</v>
      </c>
      <c r="AR7" s="129"/>
      <c r="AS7" s="129"/>
      <c r="AT7" s="129"/>
      <c r="AU7" s="509">
        <f>AS7*(AT7-W7)*67.01/10^7</f>
        <v>0</v>
      </c>
      <c r="AV7" s="129"/>
      <c r="AW7" s="129"/>
      <c r="AX7" s="129"/>
      <c r="AY7" s="509">
        <f t="shared" si="4"/>
        <v>0</v>
      </c>
      <c r="AZ7" s="23">
        <f t="shared" si="5"/>
        <v>0</v>
      </c>
      <c r="BA7" s="23">
        <f t="shared" si="5"/>
        <v>0</v>
      </c>
      <c r="BB7" s="509">
        <f t="shared" ref="BB7:BB23" si="16">+G7+K7+O7</f>
        <v>0</v>
      </c>
      <c r="BC7" s="23">
        <f t="shared" ref="BC7:BD23" si="17">+P7+T7+X7</f>
        <v>0</v>
      </c>
      <c r="BD7" s="257">
        <f t="shared" si="17"/>
        <v>0</v>
      </c>
      <c r="BE7" s="257">
        <f t="shared" ref="BE7:BE23" si="18">S7+W7+AA7</f>
        <v>0</v>
      </c>
      <c r="BF7" s="257">
        <f t="shared" ref="BF7:BG23" si="19">AB7+AF7+AJ7</f>
        <v>0</v>
      </c>
      <c r="BG7" s="23">
        <f t="shared" si="19"/>
        <v>0</v>
      </c>
      <c r="BH7" s="257">
        <f t="shared" ref="BH7:BH23" si="20">AE7+AI7+AM7</f>
        <v>0</v>
      </c>
      <c r="BI7" s="23">
        <f t="shared" ref="BI7:BJ23" si="21">+AN7+AR7+AV7</f>
        <v>0</v>
      </c>
      <c r="BJ7" s="23">
        <f t="shared" si="21"/>
        <v>0</v>
      </c>
      <c r="BK7" s="257">
        <f t="shared" ref="BK7:BK23" si="22">AQ7+AU7+AY7</f>
        <v>0</v>
      </c>
      <c r="BL7" s="23">
        <f t="shared" ref="BL7:BN23" si="23">AZ7+BC7+BF7+BI7</f>
        <v>0</v>
      </c>
      <c r="BM7" s="23">
        <f t="shared" si="6"/>
        <v>0</v>
      </c>
      <c r="BN7" s="257">
        <f t="shared" si="6"/>
        <v>0</v>
      </c>
      <c r="BO7" s="466">
        <f t="shared" ref="BO7:BO23" si="24">IFERROR(BM7/BL7,0)</f>
        <v>0</v>
      </c>
      <c r="BP7" s="472"/>
      <c r="BQ7" s="23">
        <f t="shared" si="7"/>
        <v>0</v>
      </c>
      <c r="BR7" s="23">
        <f t="shared" si="8"/>
        <v>0</v>
      </c>
      <c r="BS7" s="466">
        <f t="shared" ref="BS7:BS23" si="25">IFERROR(BR7/BQ7,0)</f>
        <v>0</v>
      </c>
      <c r="BT7" s="509">
        <f t="shared" si="10"/>
        <v>0</v>
      </c>
      <c r="BU7" s="466">
        <f t="shared" si="11"/>
        <v>0</v>
      </c>
    </row>
    <row r="8" spans="1:73" ht="12.6" customHeight="1">
      <c r="A8" s="254" t="s">
        <v>44</v>
      </c>
      <c r="B8" s="129">
        <f t="shared" si="0"/>
        <v>0</v>
      </c>
      <c r="C8" s="257"/>
      <c r="D8" s="129"/>
      <c r="E8" s="129"/>
      <c r="F8" s="129"/>
      <c r="G8" s="509">
        <f t="shared" si="1"/>
        <v>0</v>
      </c>
      <c r="H8" s="129"/>
      <c r="I8" s="129"/>
      <c r="J8" s="129"/>
      <c r="K8" s="509">
        <f t="shared" si="2"/>
        <v>0</v>
      </c>
      <c r="L8" s="129"/>
      <c r="M8" s="129"/>
      <c r="N8" s="129"/>
      <c r="O8" s="509">
        <f t="shared" si="3"/>
        <v>0</v>
      </c>
      <c r="P8" s="129"/>
      <c r="Q8" s="129"/>
      <c r="R8" s="129"/>
      <c r="S8" s="509">
        <f t="shared" si="12"/>
        <v>0</v>
      </c>
      <c r="T8" s="129"/>
      <c r="U8" s="129"/>
      <c r="V8" s="129">
        <f t="shared" si="13"/>
        <v>0</v>
      </c>
      <c r="W8" s="509">
        <f t="shared" si="14"/>
        <v>0</v>
      </c>
      <c r="X8" s="129"/>
      <c r="Y8" s="129"/>
      <c r="Z8" s="129"/>
      <c r="AA8" s="509">
        <f t="shared" si="15"/>
        <v>0</v>
      </c>
      <c r="AB8" s="129"/>
      <c r="AC8" s="129"/>
      <c r="AD8" s="129"/>
      <c r="AE8" s="509">
        <f>AC8*(AD8-G8)*66.73/10^7</f>
        <v>0</v>
      </c>
      <c r="AF8" s="129"/>
      <c r="AG8" s="129"/>
      <c r="AH8" s="129"/>
      <c r="AI8" s="509">
        <f>AG8*(AH8-K8)*67.58/10^7</f>
        <v>0</v>
      </c>
      <c r="AJ8" s="129"/>
      <c r="AK8" s="129"/>
      <c r="AL8" s="129"/>
      <c r="AM8" s="509">
        <f>AK8*(AL8-O8)*67.91/10^7</f>
        <v>0</v>
      </c>
      <c r="AN8" s="129"/>
      <c r="AO8" s="129"/>
      <c r="AP8" s="129"/>
      <c r="AQ8" s="509">
        <f>AO8*(AP8-S8)*68.01/10^7</f>
        <v>0</v>
      </c>
      <c r="AR8" s="129"/>
      <c r="AS8" s="129"/>
      <c r="AT8" s="129"/>
      <c r="AU8" s="509">
        <f>AS8*(AT8-W8)*67.01/10^7</f>
        <v>0</v>
      </c>
      <c r="AV8" s="129"/>
      <c r="AW8" s="129"/>
      <c r="AX8" s="129"/>
      <c r="AY8" s="509">
        <f t="shared" si="4"/>
        <v>0</v>
      </c>
      <c r="AZ8" s="23">
        <f t="shared" si="5"/>
        <v>0</v>
      </c>
      <c r="BA8" s="23">
        <f t="shared" si="5"/>
        <v>0</v>
      </c>
      <c r="BB8" s="509">
        <f t="shared" si="16"/>
        <v>0</v>
      </c>
      <c r="BC8" s="23">
        <f t="shared" si="17"/>
        <v>0</v>
      </c>
      <c r="BD8" s="257">
        <f t="shared" si="17"/>
        <v>0</v>
      </c>
      <c r="BE8" s="257">
        <f t="shared" si="18"/>
        <v>0</v>
      </c>
      <c r="BF8" s="257">
        <f t="shared" si="19"/>
        <v>0</v>
      </c>
      <c r="BG8" s="23">
        <f t="shared" si="19"/>
        <v>0</v>
      </c>
      <c r="BH8" s="257">
        <f t="shared" si="20"/>
        <v>0</v>
      </c>
      <c r="BI8" s="23">
        <f t="shared" si="21"/>
        <v>0</v>
      </c>
      <c r="BJ8" s="23">
        <f t="shared" si="21"/>
        <v>0</v>
      </c>
      <c r="BK8" s="257">
        <f t="shared" si="22"/>
        <v>0</v>
      </c>
      <c r="BL8" s="23">
        <f t="shared" si="23"/>
        <v>0</v>
      </c>
      <c r="BM8" s="23">
        <f t="shared" si="6"/>
        <v>0</v>
      </c>
      <c r="BN8" s="257">
        <f t="shared" si="6"/>
        <v>0</v>
      </c>
      <c r="BO8" s="466">
        <f t="shared" si="24"/>
        <v>0</v>
      </c>
      <c r="BP8" s="472"/>
      <c r="BQ8" s="23">
        <f t="shared" si="7"/>
        <v>0</v>
      </c>
      <c r="BR8" s="23">
        <f t="shared" si="8"/>
        <v>0</v>
      </c>
      <c r="BS8" s="466">
        <f t="shared" si="25"/>
        <v>0</v>
      </c>
      <c r="BT8" s="509">
        <f t="shared" si="10"/>
        <v>0</v>
      </c>
      <c r="BU8" s="466">
        <f t="shared" si="11"/>
        <v>0</v>
      </c>
    </row>
    <row r="9" spans="1:73" ht="12.6" customHeight="1">
      <c r="A9" s="254" t="s">
        <v>45</v>
      </c>
      <c r="B9" s="129">
        <f t="shared" si="0"/>
        <v>0</v>
      </c>
      <c r="C9" s="257"/>
      <c r="D9" s="129"/>
      <c r="E9" s="129"/>
      <c r="F9" s="129"/>
      <c r="G9" s="509">
        <f t="shared" si="1"/>
        <v>0</v>
      </c>
      <c r="H9" s="129"/>
      <c r="I9" s="129"/>
      <c r="J9" s="129"/>
      <c r="K9" s="509">
        <f t="shared" si="2"/>
        <v>0</v>
      </c>
      <c r="L9" s="129"/>
      <c r="M9" s="129"/>
      <c r="N9" s="129"/>
      <c r="O9" s="509">
        <f t="shared" si="3"/>
        <v>0</v>
      </c>
      <c r="P9" s="129"/>
      <c r="Q9" s="129"/>
      <c r="R9" s="129"/>
      <c r="S9" s="509">
        <f t="shared" si="12"/>
        <v>0</v>
      </c>
      <c r="T9" s="129"/>
      <c r="U9" s="129"/>
      <c r="V9" s="129">
        <f t="shared" si="13"/>
        <v>0</v>
      </c>
      <c r="W9" s="509">
        <f t="shared" si="14"/>
        <v>0</v>
      </c>
      <c r="X9" s="129"/>
      <c r="Y9" s="129"/>
      <c r="Z9" s="129"/>
      <c r="AA9" s="509">
        <f t="shared" si="15"/>
        <v>0</v>
      </c>
      <c r="AB9" s="129"/>
      <c r="AC9" s="129"/>
      <c r="AD9" s="129"/>
      <c r="AE9" s="509">
        <f>AC9*(AD9-G9)*66.73/10^7</f>
        <v>0</v>
      </c>
      <c r="AF9" s="129"/>
      <c r="AG9" s="129"/>
      <c r="AH9" s="129"/>
      <c r="AI9" s="509">
        <f>AG9*(AH9-K9)*67.58/10^7</f>
        <v>0</v>
      </c>
      <c r="AJ9" s="129"/>
      <c r="AK9" s="129"/>
      <c r="AL9" s="129"/>
      <c r="AM9" s="509">
        <f>AK9*(AL9-O9)*67.91/10^7</f>
        <v>0</v>
      </c>
      <c r="AN9" s="129"/>
      <c r="AO9" s="129"/>
      <c r="AP9" s="129"/>
      <c r="AQ9" s="509">
        <f>AO9*(AP9-S9)*68.01/10^7</f>
        <v>0</v>
      </c>
      <c r="AR9" s="129"/>
      <c r="AS9" s="129"/>
      <c r="AT9" s="129"/>
      <c r="AU9" s="509">
        <f>AS9*(AT9-W9)*67.01/10^7</f>
        <v>0</v>
      </c>
      <c r="AV9" s="129"/>
      <c r="AW9" s="129"/>
      <c r="AX9" s="129"/>
      <c r="AY9" s="509">
        <f t="shared" si="4"/>
        <v>0</v>
      </c>
      <c r="AZ9" s="23">
        <f t="shared" si="5"/>
        <v>0</v>
      </c>
      <c r="BA9" s="23">
        <f t="shared" si="5"/>
        <v>0</v>
      </c>
      <c r="BB9" s="509">
        <f t="shared" si="16"/>
        <v>0</v>
      </c>
      <c r="BC9" s="23">
        <f t="shared" si="17"/>
        <v>0</v>
      </c>
      <c r="BD9" s="257">
        <f t="shared" si="17"/>
        <v>0</v>
      </c>
      <c r="BE9" s="257">
        <f t="shared" si="18"/>
        <v>0</v>
      </c>
      <c r="BF9" s="257">
        <f t="shared" si="19"/>
        <v>0</v>
      </c>
      <c r="BG9" s="23">
        <f t="shared" si="19"/>
        <v>0</v>
      </c>
      <c r="BH9" s="257">
        <f t="shared" si="20"/>
        <v>0</v>
      </c>
      <c r="BI9" s="23">
        <f t="shared" si="21"/>
        <v>0</v>
      </c>
      <c r="BJ9" s="23">
        <f t="shared" si="21"/>
        <v>0</v>
      </c>
      <c r="BK9" s="257">
        <f t="shared" si="22"/>
        <v>0</v>
      </c>
      <c r="BL9" s="23">
        <f t="shared" si="23"/>
        <v>0</v>
      </c>
      <c r="BM9" s="23">
        <f t="shared" si="6"/>
        <v>0</v>
      </c>
      <c r="BN9" s="257">
        <f t="shared" si="6"/>
        <v>0</v>
      </c>
      <c r="BO9" s="466">
        <f t="shared" si="24"/>
        <v>0</v>
      </c>
      <c r="BP9" s="472"/>
      <c r="BQ9" s="23">
        <f t="shared" si="7"/>
        <v>0</v>
      </c>
      <c r="BR9" s="23">
        <f t="shared" si="8"/>
        <v>0</v>
      </c>
      <c r="BS9" s="466">
        <f t="shared" si="25"/>
        <v>0</v>
      </c>
      <c r="BT9" s="509">
        <f t="shared" si="10"/>
        <v>0</v>
      </c>
      <c r="BU9" s="466">
        <f t="shared" si="11"/>
        <v>0</v>
      </c>
    </row>
    <row r="10" spans="1:73" ht="12.6" customHeight="1">
      <c r="A10" s="254" t="s">
        <v>46</v>
      </c>
      <c r="B10" s="129">
        <f t="shared" si="0"/>
        <v>1590</v>
      </c>
      <c r="C10" s="257"/>
      <c r="D10" s="129">
        <v>130</v>
      </c>
      <c r="E10" s="129">
        <v>48</v>
      </c>
      <c r="F10" s="129">
        <v>1240.2</v>
      </c>
      <c r="G10" s="509">
        <f>E10*(F10-493)*66.47/10^7</f>
        <v>0.23839864320000004</v>
      </c>
      <c r="H10" s="129">
        <v>130</v>
      </c>
      <c r="I10" s="129"/>
      <c r="J10" s="129"/>
      <c r="K10" s="509">
        <f t="shared" si="2"/>
        <v>0</v>
      </c>
      <c r="L10" s="129">
        <v>130</v>
      </c>
      <c r="M10" s="129">
        <v>5</v>
      </c>
      <c r="N10" s="129">
        <v>1259</v>
      </c>
      <c r="O10" s="509">
        <f>5*(N10-876)*67.28/10^7</f>
        <v>1.2884119999999999E-2</v>
      </c>
      <c r="P10" s="129">
        <v>130</v>
      </c>
      <c r="Q10" s="129">
        <v>62</v>
      </c>
      <c r="R10" s="129">
        <v>1319</v>
      </c>
      <c r="S10" s="509">
        <f>62*(R10-880)*67.28/10^7</f>
        <v>0.183122704</v>
      </c>
      <c r="T10" s="129">
        <v>130</v>
      </c>
      <c r="U10" s="129">
        <v>6</v>
      </c>
      <c r="V10" s="129">
        <v>1250</v>
      </c>
      <c r="W10" s="509">
        <f>U10*(V10-904)*66.93/10^7</f>
        <v>1.3894668000000002E-2</v>
      </c>
      <c r="X10" s="129">
        <v>130</v>
      </c>
      <c r="Y10" s="129">
        <f ca="1">84-Y23</f>
        <v>28</v>
      </c>
      <c r="Z10" s="129">
        <v>1308</v>
      </c>
      <c r="AA10" s="509">
        <f ca="1">Y10*(Z10-998)*66.69/10^7</f>
        <v>5.7886919999999994E-2</v>
      </c>
      <c r="AB10" s="129">
        <v>135</v>
      </c>
      <c r="AC10" s="129"/>
      <c r="AD10" s="129"/>
      <c r="AE10" s="509">
        <f>AC10*(AD10-998)*66.73/10^7</f>
        <v>0</v>
      </c>
      <c r="AF10" s="129">
        <v>135</v>
      </c>
      <c r="AG10" s="129"/>
      <c r="AH10" s="129"/>
      <c r="AI10" s="509">
        <f>AG10*(AH10-998)*67.58/10^7</f>
        <v>0</v>
      </c>
      <c r="AJ10" s="129">
        <v>135</v>
      </c>
      <c r="AK10" s="129">
        <v>8</v>
      </c>
      <c r="AL10" s="129">
        <v>1303</v>
      </c>
      <c r="AM10" s="509">
        <f>AK10*(AL10-973)*67.91/10^7</f>
        <v>1.7928239999999998E-2</v>
      </c>
      <c r="AN10" s="129">
        <v>135</v>
      </c>
      <c r="AO10" s="129"/>
      <c r="AP10" s="129"/>
      <c r="AQ10" s="509">
        <f>AO10*(AP10-998)*68.01/10^7</f>
        <v>0</v>
      </c>
      <c r="AR10" s="129">
        <v>135</v>
      </c>
      <c r="AS10" s="129">
        <v>42</v>
      </c>
      <c r="AT10" s="129">
        <v>1351</v>
      </c>
      <c r="AU10" s="509">
        <f>AS10*(AT10-1106)*67.01/10^7</f>
        <v>6.895329E-2</v>
      </c>
      <c r="AV10" s="129">
        <v>135</v>
      </c>
      <c r="AW10" s="129"/>
      <c r="AX10" s="129"/>
      <c r="AY10" s="509">
        <f>AW10*(AX10-998)*66.69/10^7</f>
        <v>0</v>
      </c>
      <c r="AZ10" s="23">
        <f t="shared" si="5"/>
        <v>390</v>
      </c>
      <c r="BA10" s="23">
        <f t="shared" si="5"/>
        <v>53</v>
      </c>
      <c r="BB10" s="509">
        <f t="shared" si="16"/>
        <v>0.25128276320000004</v>
      </c>
      <c r="BC10" s="23">
        <f t="shared" si="17"/>
        <v>390</v>
      </c>
      <c r="BD10" s="257">
        <f t="shared" ca="1" si="17"/>
        <v>96</v>
      </c>
      <c r="BE10" s="257">
        <f t="shared" ca="1" si="18"/>
        <v>0.25490429199999998</v>
      </c>
      <c r="BF10" s="257">
        <f t="shared" si="19"/>
        <v>405</v>
      </c>
      <c r="BG10" s="23">
        <f t="shared" si="19"/>
        <v>8</v>
      </c>
      <c r="BH10" s="257">
        <f t="shared" si="20"/>
        <v>1.7928239999999998E-2</v>
      </c>
      <c r="BI10" s="23">
        <f t="shared" si="21"/>
        <v>405</v>
      </c>
      <c r="BJ10" s="23">
        <f t="shared" si="21"/>
        <v>42</v>
      </c>
      <c r="BK10" s="257">
        <f t="shared" si="22"/>
        <v>6.895329E-2</v>
      </c>
      <c r="BL10" s="23">
        <f t="shared" si="23"/>
        <v>1590</v>
      </c>
      <c r="BM10" s="23">
        <f t="shared" ca="1" si="6"/>
        <v>199</v>
      </c>
      <c r="BN10" s="257">
        <f t="shared" ca="1" si="6"/>
        <v>0.59306858520000016</v>
      </c>
      <c r="BO10" s="466">
        <f t="shared" ca="1" si="24"/>
        <v>0.12515723270440252</v>
      </c>
      <c r="BP10" s="472"/>
      <c r="BQ10" s="23">
        <f t="shared" si="7"/>
        <v>780</v>
      </c>
      <c r="BR10" s="23">
        <f t="shared" ca="1" si="8"/>
        <v>149</v>
      </c>
      <c r="BS10" s="466">
        <f t="shared" ca="1" si="25"/>
        <v>0.19102564102564101</v>
      </c>
      <c r="BT10" s="509">
        <f t="shared" ca="1" si="10"/>
        <v>0.50618705520000007</v>
      </c>
      <c r="BU10" s="466">
        <f t="shared" ca="1" si="11"/>
        <v>9.3710691823899364E-2</v>
      </c>
    </row>
    <row r="11" spans="1:73" ht="12.6" customHeight="1">
      <c r="A11" s="254" t="s">
        <v>130</v>
      </c>
      <c r="B11" s="129">
        <f t="shared" si="0"/>
        <v>0</v>
      </c>
      <c r="C11" s="257"/>
      <c r="D11" s="129"/>
      <c r="E11" s="129"/>
      <c r="F11" s="129"/>
      <c r="G11" s="509">
        <f t="shared" si="1"/>
        <v>0</v>
      </c>
      <c r="H11" s="129"/>
      <c r="I11" s="129"/>
      <c r="J11" s="129"/>
      <c r="K11" s="509">
        <f t="shared" si="2"/>
        <v>0</v>
      </c>
      <c r="L11" s="129"/>
      <c r="M11" s="129"/>
      <c r="N11" s="129"/>
      <c r="O11" s="509">
        <f t="shared" si="3"/>
        <v>0</v>
      </c>
      <c r="P11" s="129"/>
      <c r="Q11" s="129"/>
      <c r="R11" s="129"/>
      <c r="S11" s="509">
        <f t="shared" ref="S11:S14" si="26">Q11*(R11-C11)*67.28/10^7</f>
        <v>0</v>
      </c>
      <c r="T11" s="129"/>
      <c r="U11" s="129"/>
      <c r="V11" s="129">
        <f t="shared" si="13"/>
        <v>0</v>
      </c>
      <c r="W11" s="509">
        <f t="shared" si="14"/>
        <v>0</v>
      </c>
      <c r="X11" s="129"/>
      <c r="Y11" s="129"/>
      <c r="Z11" s="129"/>
      <c r="AA11" s="509">
        <f t="shared" si="15"/>
        <v>0</v>
      </c>
      <c r="AB11" s="129"/>
      <c r="AC11" s="129"/>
      <c r="AD11" s="129"/>
      <c r="AE11" s="509">
        <f>AC11*(AD11-G11)*66.73/10^7</f>
        <v>0</v>
      </c>
      <c r="AF11" s="129"/>
      <c r="AG11" s="129"/>
      <c r="AH11" s="129"/>
      <c r="AI11" s="509">
        <f>AG11*(AH11-K11)*67.58/10^7</f>
        <v>0</v>
      </c>
      <c r="AJ11" s="129"/>
      <c r="AK11" s="129"/>
      <c r="AL11" s="129"/>
      <c r="AM11" s="509">
        <f>AK11*(AL11-O11)*67.91/10^7</f>
        <v>0</v>
      </c>
      <c r="AN11" s="129"/>
      <c r="AO11" s="129"/>
      <c r="AP11" s="129"/>
      <c r="AQ11" s="509">
        <f>AO11*(AP11-S11)*68.01/10^7</f>
        <v>0</v>
      </c>
      <c r="AR11" s="129"/>
      <c r="AS11" s="129"/>
      <c r="AT11" s="129"/>
      <c r="AU11" s="509">
        <f>AS11*(AT11-W11)*67.01/10^7</f>
        <v>0</v>
      </c>
      <c r="AV11" s="129"/>
      <c r="AW11" s="129"/>
      <c r="AX11" s="129"/>
      <c r="AY11" s="509">
        <f t="shared" ref="AY11:AY12" si="27">AW11*(AX11-AA11)*66.69/10^7</f>
        <v>0</v>
      </c>
      <c r="AZ11" s="23">
        <f t="shared" si="5"/>
        <v>0</v>
      </c>
      <c r="BA11" s="23">
        <f t="shared" si="5"/>
        <v>0</v>
      </c>
      <c r="BB11" s="509">
        <f t="shared" si="16"/>
        <v>0</v>
      </c>
      <c r="BC11" s="23">
        <f t="shared" si="17"/>
        <v>0</v>
      </c>
      <c r="BD11" s="257">
        <f t="shared" si="17"/>
        <v>0</v>
      </c>
      <c r="BE11" s="257">
        <f t="shared" si="18"/>
        <v>0</v>
      </c>
      <c r="BF11" s="257">
        <f t="shared" si="19"/>
        <v>0</v>
      </c>
      <c r="BG11" s="23">
        <f t="shared" si="19"/>
        <v>0</v>
      </c>
      <c r="BH11" s="257">
        <f t="shared" si="20"/>
        <v>0</v>
      </c>
      <c r="BI11" s="23">
        <f t="shared" si="21"/>
        <v>0</v>
      </c>
      <c r="BJ11" s="23">
        <f t="shared" si="21"/>
        <v>0</v>
      </c>
      <c r="BK11" s="257">
        <f t="shared" si="22"/>
        <v>0</v>
      </c>
      <c r="BL11" s="23">
        <f t="shared" si="23"/>
        <v>0</v>
      </c>
      <c r="BM11" s="23">
        <f t="shared" si="6"/>
        <v>0</v>
      </c>
      <c r="BN11" s="257">
        <f t="shared" si="6"/>
        <v>0</v>
      </c>
      <c r="BO11" s="466">
        <f t="shared" si="24"/>
        <v>0</v>
      </c>
      <c r="BP11" s="472"/>
      <c r="BQ11" s="23">
        <f t="shared" si="7"/>
        <v>0</v>
      </c>
      <c r="BR11" s="23">
        <f t="shared" si="8"/>
        <v>0</v>
      </c>
      <c r="BS11" s="466">
        <f t="shared" si="25"/>
        <v>0</v>
      </c>
      <c r="BT11" s="509">
        <f t="shared" si="10"/>
        <v>0</v>
      </c>
      <c r="BU11" s="466">
        <f t="shared" si="11"/>
        <v>0</v>
      </c>
    </row>
    <row r="12" spans="1:73" ht="12.6" customHeight="1">
      <c r="A12" s="254" t="s">
        <v>131</v>
      </c>
      <c r="B12" s="129">
        <f t="shared" si="0"/>
        <v>0</v>
      </c>
      <c r="C12" s="257">
        <v>143.1</v>
      </c>
      <c r="D12" s="129"/>
      <c r="E12" s="129"/>
      <c r="F12" s="129"/>
      <c r="G12" s="509">
        <f t="shared" si="1"/>
        <v>0</v>
      </c>
      <c r="H12" s="129"/>
      <c r="I12" s="129"/>
      <c r="J12" s="129"/>
      <c r="K12" s="509">
        <f t="shared" si="2"/>
        <v>0</v>
      </c>
      <c r="L12" s="129"/>
      <c r="M12" s="129"/>
      <c r="N12" s="129"/>
      <c r="O12" s="509">
        <f t="shared" si="3"/>
        <v>0</v>
      </c>
      <c r="P12" s="129"/>
      <c r="Q12" s="129"/>
      <c r="R12" s="129"/>
      <c r="S12" s="509">
        <f t="shared" si="26"/>
        <v>0</v>
      </c>
      <c r="T12" s="129"/>
      <c r="U12" s="129"/>
      <c r="V12" s="129">
        <f t="shared" si="13"/>
        <v>0</v>
      </c>
      <c r="W12" s="509">
        <f t="shared" si="14"/>
        <v>0</v>
      </c>
      <c r="X12" s="129"/>
      <c r="Y12" s="129"/>
      <c r="Z12" s="129"/>
      <c r="AA12" s="509">
        <f t="shared" si="15"/>
        <v>0</v>
      </c>
      <c r="AB12" s="129"/>
      <c r="AC12" s="129"/>
      <c r="AD12" s="129"/>
      <c r="AE12" s="509">
        <f>AC12*(AD12-G12)*66.73/10^7</f>
        <v>0</v>
      </c>
      <c r="AF12" s="129"/>
      <c r="AG12" s="129"/>
      <c r="AH12" s="129"/>
      <c r="AI12" s="509">
        <f>AG12*(AH12-K12)*67.58/10^7</f>
        <v>0</v>
      </c>
      <c r="AJ12" s="129"/>
      <c r="AK12" s="129"/>
      <c r="AL12" s="129"/>
      <c r="AM12" s="509">
        <f>AK12*(AL12-O12)*67.91/10^7</f>
        <v>0</v>
      </c>
      <c r="AN12" s="129"/>
      <c r="AO12" s="129"/>
      <c r="AP12" s="129"/>
      <c r="AQ12" s="509">
        <f>AO12*(AP12-S12)*68.01/10^7</f>
        <v>0</v>
      </c>
      <c r="AR12" s="129"/>
      <c r="AS12" s="129"/>
      <c r="AT12" s="129"/>
      <c r="AU12" s="509">
        <f>AS12*(AT12-W12)*67.01/10^7</f>
        <v>0</v>
      </c>
      <c r="AV12" s="129"/>
      <c r="AW12" s="129"/>
      <c r="AX12" s="129"/>
      <c r="AY12" s="509">
        <f t="shared" si="27"/>
        <v>0</v>
      </c>
      <c r="AZ12" s="23">
        <f t="shared" si="5"/>
        <v>0</v>
      </c>
      <c r="BA12" s="23">
        <f t="shared" si="5"/>
        <v>0</v>
      </c>
      <c r="BB12" s="509">
        <f t="shared" si="16"/>
        <v>0</v>
      </c>
      <c r="BC12" s="23">
        <f t="shared" si="17"/>
        <v>0</v>
      </c>
      <c r="BD12" s="257">
        <f t="shared" si="17"/>
        <v>0</v>
      </c>
      <c r="BE12" s="257">
        <f t="shared" si="18"/>
        <v>0</v>
      </c>
      <c r="BF12" s="257">
        <f t="shared" si="19"/>
        <v>0</v>
      </c>
      <c r="BG12" s="23">
        <f t="shared" si="19"/>
        <v>0</v>
      </c>
      <c r="BH12" s="257">
        <f t="shared" si="20"/>
        <v>0</v>
      </c>
      <c r="BI12" s="23">
        <f t="shared" si="21"/>
        <v>0</v>
      </c>
      <c r="BJ12" s="23">
        <f t="shared" si="21"/>
        <v>0</v>
      </c>
      <c r="BK12" s="257">
        <f t="shared" si="22"/>
        <v>0</v>
      </c>
      <c r="BL12" s="23">
        <f t="shared" si="23"/>
        <v>0</v>
      </c>
      <c r="BM12" s="23">
        <f t="shared" si="6"/>
        <v>0</v>
      </c>
      <c r="BN12" s="257">
        <f t="shared" si="6"/>
        <v>0</v>
      </c>
      <c r="BO12" s="466">
        <f t="shared" si="24"/>
        <v>0</v>
      </c>
      <c r="BP12" s="472"/>
      <c r="BQ12" s="23">
        <f t="shared" si="7"/>
        <v>0</v>
      </c>
      <c r="BR12" s="23">
        <f t="shared" si="8"/>
        <v>0</v>
      </c>
      <c r="BS12" s="466">
        <f t="shared" si="25"/>
        <v>0</v>
      </c>
      <c r="BT12" s="509">
        <f t="shared" si="10"/>
        <v>0</v>
      </c>
      <c r="BU12" s="466">
        <f t="shared" si="11"/>
        <v>0</v>
      </c>
    </row>
    <row r="13" spans="1:73" ht="12.6" customHeight="1">
      <c r="A13" s="254" t="s">
        <v>48</v>
      </c>
      <c r="B13" s="129">
        <f t="shared" si="0"/>
        <v>0</v>
      </c>
      <c r="C13" s="257"/>
      <c r="D13" s="129"/>
      <c r="E13" s="129"/>
      <c r="F13" s="129"/>
      <c r="G13" s="509">
        <f t="shared" si="1"/>
        <v>0</v>
      </c>
      <c r="H13" s="129"/>
      <c r="I13" s="129"/>
      <c r="J13" s="129"/>
      <c r="K13" s="509">
        <f t="shared" si="2"/>
        <v>0</v>
      </c>
      <c r="L13" s="129"/>
      <c r="M13" s="129">
        <v>3</v>
      </c>
      <c r="N13" s="129">
        <v>1519.5</v>
      </c>
      <c r="O13" s="509">
        <f>M13*(N13-937)*67.28/10^7</f>
        <v>1.1757180000000001E-2</v>
      </c>
      <c r="P13" s="129"/>
      <c r="Q13" s="129"/>
      <c r="R13" s="129"/>
      <c r="S13" s="509">
        <f t="shared" si="26"/>
        <v>0</v>
      </c>
      <c r="T13" s="129"/>
      <c r="U13" s="129"/>
      <c r="V13" s="129">
        <f t="shared" si="13"/>
        <v>0</v>
      </c>
      <c r="W13" s="509">
        <f t="shared" si="14"/>
        <v>0</v>
      </c>
      <c r="X13" s="129"/>
      <c r="Y13" s="129">
        <v>6</v>
      </c>
      <c r="Z13" s="129">
        <v>1423</v>
      </c>
      <c r="AA13" s="509">
        <f>Y13*(Z13-1035)*66.69/10^7</f>
        <v>1.5525432E-2</v>
      </c>
      <c r="AB13" s="129"/>
      <c r="AC13" s="129"/>
      <c r="AD13" s="129"/>
      <c r="AE13" s="509">
        <f>AC13*(AD13-1035)*66.73/10^7</f>
        <v>0</v>
      </c>
      <c r="AF13" s="129"/>
      <c r="AG13" s="129"/>
      <c r="AH13" s="129"/>
      <c r="AI13" s="509">
        <f>AG13*(AH13-1035)*67.58/10^7</f>
        <v>0</v>
      </c>
      <c r="AJ13" s="129"/>
      <c r="AK13" s="129">
        <v>11</v>
      </c>
      <c r="AL13" s="129">
        <v>1364</v>
      </c>
      <c r="AM13" s="509">
        <f>AK13*(AL13-1041)*67.91/10^7</f>
        <v>2.4128423E-2</v>
      </c>
      <c r="AN13" s="129"/>
      <c r="AO13" s="129">
        <v>10</v>
      </c>
      <c r="AP13" s="129">
        <v>1438</v>
      </c>
      <c r="AQ13" s="509">
        <f>AO13*(AP13-1060)*68.01/10^7</f>
        <v>2.5707780000000003E-2</v>
      </c>
      <c r="AR13" s="129"/>
      <c r="AS13" s="129"/>
      <c r="AT13" s="129"/>
      <c r="AU13" s="509">
        <f>AS13*(AT13-1035)*67.01/10^7</f>
        <v>0</v>
      </c>
      <c r="AV13" s="129"/>
      <c r="AW13" s="129"/>
      <c r="AX13" s="129"/>
      <c r="AY13" s="509">
        <f>AW13*(AX13-1035)*66.69/10^7</f>
        <v>0</v>
      </c>
      <c r="AZ13" s="23">
        <f t="shared" si="5"/>
        <v>0</v>
      </c>
      <c r="BA13" s="23">
        <f t="shared" si="5"/>
        <v>3</v>
      </c>
      <c r="BB13" s="509">
        <f t="shared" si="16"/>
        <v>1.1757180000000001E-2</v>
      </c>
      <c r="BC13" s="23">
        <f t="shared" si="17"/>
        <v>0</v>
      </c>
      <c r="BD13" s="257">
        <f t="shared" si="17"/>
        <v>6</v>
      </c>
      <c r="BE13" s="257">
        <f t="shared" si="18"/>
        <v>1.5525432E-2</v>
      </c>
      <c r="BF13" s="257">
        <f t="shared" si="19"/>
        <v>0</v>
      </c>
      <c r="BG13" s="23">
        <f t="shared" si="19"/>
        <v>11</v>
      </c>
      <c r="BH13" s="257">
        <f t="shared" si="20"/>
        <v>2.4128423E-2</v>
      </c>
      <c r="BI13" s="23">
        <f t="shared" si="21"/>
        <v>0</v>
      </c>
      <c r="BJ13" s="23">
        <f t="shared" si="21"/>
        <v>10</v>
      </c>
      <c r="BK13" s="257">
        <f t="shared" si="22"/>
        <v>2.5707780000000003E-2</v>
      </c>
      <c r="BL13" s="23">
        <f t="shared" si="23"/>
        <v>0</v>
      </c>
      <c r="BM13" s="23">
        <f t="shared" si="6"/>
        <v>30</v>
      </c>
      <c r="BN13" s="257">
        <f t="shared" si="6"/>
        <v>7.7118815000000007E-2</v>
      </c>
      <c r="BO13" s="466">
        <f t="shared" si="24"/>
        <v>0</v>
      </c>
      <c r="BP13" s="472"/>
      <c r="BQ13" s="23">
        <f t="shared" si="7"/>
        <v>0</v>
      </c>
      <c r="BR13" s="23">
        <f t="shared" si="8"/>
        <v>9</v>
      </c>
      <c r="BS13" s="466">
        <f t="shared" si="25"/>
        <v>0</v>
      </c>
      <c r="BT13" s="509">
        <f t="shared" si="10"/>
        <v>2.7282612000000001E-2</v>
      </c>
      <c r="BU13" s="466">
        <f t="shared" si="11"/>
        <v>0</v>
      </c>
    </row>
    <row r="14" spans="1:73" ht="12.6" customHeight="1">
      <c r="A14" s="254" t="s">
        <v>49</v>
      </c>
      <c r="B14" s="129">
        <f t="shared" si="0"/>
        <v>1200</v>
      </c>
      <c r="C14" s="257"/>
      <c r="D14" s="129"/>
      <c r="E14" s="129"/>
      <c r="F14" s="129"/>
      <c r="G14" s="509">
        <f t="shared" si="1"/>
        <v>0</v>
      </c>
      <c r="H14" s="129"/>
      <c r="I14" s="129"/>
      <c r="J14" s="129"/>
      <c r="K14" s="509">
        <f t="shared" si="2"/>
        <v>0</v>
      </c>
      <c r="L14" s="129"/>
      <c r="M14" s="129"/>
      <c r="N14" s="129"/>
      <c r="O14" s="509">
        <f t="shared" si="3"/>
        <v>0</v>
      </c>
      <c r="P14" s="129"/>
      <c r="Q14" s="129"/>
      <c r="R14" s="129"/>
      <c r="S14" s="509">
        <f t="shared" si="26"/>
        <v>0</v>
      </c>
      <c r="T14" s="129">
        <v>100</v>
      </c>
      <c r="U14" s="129"/>
      <c r="V14" s="129">
        <f t="shared" si="13"/>
        <v>0</v>
      </c>
      <c r="W14" s="509">
        <f t="shared" si="14"/>
        <v>0</v>
      </c>
      <c r="X14" s="129">
        <v>100</v>
      </c>
      <c r="Y14" s="129"/>
      <c r="Z14" s="129"/>
      <c r="AA14" s="509">
        <f t="shared" si="15"/>
        <v>0</v>
      </c>
      <c r="AB14" s="129">
        <v>100</v>
      </c>
      <c r="AC14" s="129"/>
      <c r="AD14" s="129"/>
      <c r="AE14" s="509">
        <f>AC14*(AD14-G14)*66.73/10^7</f>
        <v>0</v>
      </c>
      <c r="AF14" s="129">
        <v>100</v>
      </c>
      <c r="AG14" s="129"/>
      <c r="AH14" s="129"/>
      <c r="AI14" s="509">
        <f>AG14*(AH14-K14)*67.58/10^7</f>
        <v>0</v>
      </c>
      <c r="AJ14" s="129">
        <v>200</v>
      </c>
      <c r="AK14" s="129"/>
      <c r="AL14" s="129"/>
      <c r="AM14" s="509">
        <f>AK14*(AL14-O14)*67.91/10^7</f>
        <v>0</v>
      </c>
      <c r="AN14" s="129">
        <v>200</v>
      </c>
      <c r="AO14" s="129"/>
      <c r="AP14" s="129"/>
      <c r="AQ14" s="509">
        <f>AO14*(AP14-S14)*68.01/10^7</f>
        <v>0</v>
      </c>
      <c r="AR14" s="129">
        <v>200</v>
      </c>
      <c r="AS14" s="129"/>
      <c r="AT14" s="129"/>
      <c r="AU14" s="509">
        <f>AS14*(AT14-W14)*67.01/10^7</f>
        <v>0</v>
      </c>
      <c r="AV14" s="129">
        <v>200</v>
      </c>
      <c r="AW14" s="129"/>
      <c r="AX14" s="129"/>
      <c r="AY14" s="509">
        <f t="shared" ref="AY14:AY17" si="28">AW14*(AX14-AA14)*66.69/10^7</f>
        <v>0</v>
      </c>
      <c r="AZ14" s="23">
        <f t="shared" si="5"/>
        <v>0</v>
      </c>
      <c r="BA14" s="23">
        <f t="shared" si="5"/>
        <v>0</v>
      </c>
      <c r="BB14" s="509">
        <f t="shared" si="16"/>
        <v>0</v>
      </c>
      <c r="BC14" s="23">
        <f t="shared" si="17"/>
        <v>200</v>
      </c>
      <c r="BD14" s="257">
        <f t="shared" si="17"/>
        <v>0</v>
      </c>
      <c r="BE14" s="257">
        <f t="shared" si="18"/>
        <v>0</v>
      </c>
      <c r="BF14" s="257">
        <f t="shared" si="19"/>
        <v>400</v>
      </c>
      <c r="BG14" s="23">
        <f t="shared" si="19"/>
        <v>0</v>
      </c>
      <c r="BH14" s="257">
        <f t="shared" si="20"/>
        <v>0</v>
      </c>
      <c r="BI14" s="23">
        <f t="shared" si="21"/>
        <v>600</v>
      </c>
      <c r="BJ14" s="23">
        <f t="shared" si="21"/>
        <v>0</v>
      </c>
      <c r="BK14" s="257">
        <f t="shared" si="22"/>
        <v>0</v>
      </c>
      <c r="BL14" s="23">
        <f t="shared" si="23"/>
        <v>1200</v>
      </c>
      <c r="BM14" s="23">
        <f t="shared" si="6"/>
        <v>0</v>
      </c>
      <c r="BN14" s="257">
        <f t="shared" si="6"/>
        <v>0</v>
      </c>
      <c r="BO14" s="466">
        <f t="shared" si="24"/>
        <v>0</v>
      </c>
      <c r="BP14" s="472"/>
      <c r="BQ14" s="23">
        <f t="shared" si="7"/>
        <v>200</v>
      </c>
      <c r="BR14" s="23">
        <f t="shared" si="8"/>
        <v>0</v>
      </c>
      <c r="BS14" s="466">
        <f t="shared" si="25"/>
        <v>0</v>
      </c>
      <c r="BT14" s="509">
        <f t="shared" si="10"/>
        <v>0</v>
      </c>
      <c r="BU14" s="466">
        <f t="shared" si="11"/>
        <v>0</v>
      </c>
    </row>
    <row r="15" spans="1:73" ht="12.6" customHeight="1">
      <c r="A15" s="254" t="s">
        <v>47</v>
      </c>
      <c r="B15" s="129">
        <f t="shared" si="0"/>
        <v>120</v>
      </c>
      <c r="C15" s="257">
        <v>149.1</v>
      </c>
      <c r="D15" s="129"/>
      <c r="E15" s="129">
        <v>27</v>
      </c>
      <c r="F15" s="129">
        <v>1277</v>
      </c>
      <c r="G15" s="509">
        <f t="shared" si="1"/>
        <v>0.20242308510000004</v>
      </c>
      <c r="H15" s="129"/>
      <c r="I15" s="129"/>
      <c r="J15" s="129"/>
      <c r="K15" s="509">
        <f t="shared" si="2"/>
        <v>0</v>
      </c>
      <c r="L15" s="129">
        <v>30</v>
      </c>
      <c r="M15" s="129"/>
      <c r="N15" s="129"/>
      <c r="O15" s="509">
        <f t="shared" si="3"/>
        <v>0</v>
      </c>
      <c r="P15" s="129"/>
      <c r="Q15" s="129">
        <v>8</v>
      </c>
      <c r="R15" s="129">
        <v>1382</v>
      </c>
      <c r="S15" s="509">
        <f>Q15*(R15-C15)*67.28/10^7</f>
        <v>6.6359609600000008E-2</v>
      </c>
      <c r="T15" s="129"/>
      <c r="U15" s="129">
        <v>6</v>
      </c>
      <c r="V15" s="129">
        <v>1300</v>
      </c>
      <c r="W15" s="509">
        <f t="shared" si="14"/>
        <v>4.6217842200000005E-2</v>
      </c>
      <c r="X15" s="129">
        <v>30</v>
      </c>
      <c r="Y15" s="129"/>
      <c r="Z15" s="129"/>
      <c r="AA15" s="509">
        <f t="shared" si="15"/>
        <v>0</v>
      </c>
      <c r="AB15" s="129"/>
      <c r="AC15" s="129"/>
      <c r="AD15" s="129"/>
      <c r="AE15" s="509">
        <f>AC15*(AD15-G15)*66.73/10^7</f>
        <v>0</v>
      </c>
      <c r="AF15" s="129"/>
      <c r="AG15" s="129"/>
      <c r="AH15" s="129"/>
      <c r="AI15" s="509">
        <f>AG15*(AH15-K15)*67.58/10^7</f>
        <v>0</v>
      </c>
      <c r="AJ15" s="129">
        <v>30</v>
      </c>
      <c r="AK15" s="129"/>
      <c r="AL15" s="129"/>
      <c r="AM15" s="509">
        <f>AK15*(AL15-O15)*67.91/10^7</f>
        <v>0</v>
      </c>
      <c r="AN15" s="129"/>
      <c r="AO15" s="129"/>
      <c r="AP15" s="129"/>
      <c r="AQ15" s="509">
        <f>AO15*(AP15-S15)*68.01/10^7</f>
        <v>0</v>
      </c>
      <c r="AR15" s="129"/>
      <c r="AS15" s="129"/>
      <c r="AT15" s="129"/>
      <c r="AU15" s="509">
        <f>AS15*(AT15-W15)*67.01/10^7</f>
        <v>0</v>
      </c>
      <c r="AV15" s="129">
        <v>30</v>
      </c>
      <c r="AW15" s="129"/>
      <c r="AX15" s="129"/>
      <c r="AY15" s="509">
        <f t="shared" si="28"/>
        <v>0</v>
      </c>
      <c r="AZ15" s="23">
        <f t="shared" si="5"/>
        <v>30</v>
      </c>
      <c r="BA15" s="23">
        <f t="shared" si="5"/>
        <v>27</v>
      </c>
      <c r="BB15" s="509">
        <f t="shared" si="16"/>
        <v>0.20242308510000004</v>
      </c>
      <c r="BC15" s="23">
        <f t="shared" si="17"/>
        <v>30</v>
      </c>
      <c r="BD15" s="257">
        <f t="shared" si="17"/>
        <v>14</v>
      </c>
      <c r="BE15" s="257">
        <f t="shared" si="18"/>
        <v>0.11257745180000001</v>
      </c>
      <c r="BF15" s="257">
        <f t="shared" si="19"/>
        <v>30</v>
      </c>
      <c r="BG15" s="23">
        <f t="shared" si="19"/>
        <v>0</v>
      </c>
      <c r="BH15" s="257">
        <f t="shared" si="20"/>
        <v>0</v>
      </c>
      <c r="BI15" s="23">
        <f t="shared" si="21"/>
        <v>30</v>
      </c>
      <c r="BJ15" s="23">
        <f t="shared" si="21"/>
        <v>0</v>
      </c>
      <c r="BK15" s="257">
        <f t="shared" si="22"/>
        <v>0</v>
      </c>
      <c r="BL15" s="23">
        <f t="shared" si="23"/>
        <v>120</v>
      </c>
      <c r="BM15" s="23">
        <f t="shared" si="6"/>
        <v>41</v>
      </c>
      <c r="BN15" s="257">
        <f t="shared" si="6"/>
        <v>0.31500053690000007</v>
      </c>
      <c r="BO15" s="466">
        <f t="shared" si="24"/>
        <v>0.34166666666666667</v>
      </c>
      <c r="BP15" s="472"/>
      <c r="BQ15" s="23">
        <f t="shared" si="7"/>
        <v>60</v>
      </c>
      <c r="BR15" s="23">
        <f t="shared" si="8"/>
        <v>41</v>
      </c>
      <c r="BS15" s="466">
        <f t="shared" si="25"/>
        <v>0.68333333333333335</v>
      </c>
      <c r="BT15" s="509">
        <f t="shared" si="10"/>
        <v>0.31500053690000007</v>
      </c>
      <c r="BU15" s="466">
        <f t="shared" si="11"/>
        <v>0.34166666666666667</v>
      </c>
    </row>
    <row r="16" spans="1:73" ht="12.6" customHeight="1">
      <c r="A16" s="254" t="s">
        <v>51</v>
      </c>
      <c r="B16" s="129">
        <f t="shared" si="0"/>
        <v>120</v>
      </c>
      <c r="C16" s="257"/>
      <c r="D16" s="129"/>
      <c r="E16" s="129">
        <v>11</v>
      </c>
      <c r="F16" s="129">
        <v>1288.5</v>
      </c>
      <c r="G16" s="509">
        <f t="shared" si="1"/>
        <v>9.4211254500000008E-2</v>
      </c>
      <c r="H16" s="129">
        <v>30</v>
      </c>
      <c r="I16" s="129"/>
      <c r="J16" s="129"/>
      <c r="K16" s="509">
        <f t="shared" si="2"/>
        <v>0</v>
      </c>
      <c r="L16" s="129"/>
      <c r="M16" s="129"/>
      <c r="N16" s="129"/>
      <c r="O16" s="509">
        <f t="shared" si="3"/>
        <v>0</v>
      </c>
      <c r="P16" s="129"/>
      <c r="Q16" s="129"/>
      <c r="R16" s="129"/>
      <c r="S16" s="509">
        <f>Q16*(R16-C16)*67.28/10^7</f>
        <v>0</v>
      </c>
      <c r="T16" s="129">
        <v>30</v>
      </c>
      <c r="U16" s="129"/>
      <c r="V16" s="129">
        <f t="shared" ref="V16" si="29">(T16*U16)/10^6</f>
        <v>0</v>
      </c>
      <c r="W16" s="509">
        <f t="shared" si="14"/>
        <v>0</v>
      </c>
      <c r="X16" s="129"/>
      <c r="Y16" s="129"/>
      <c r="Z16" s="129"/>
      <c r="AA16" s="509">
        <f t="shared" si="15"/>
        <v>0</v>
      </c>
      <c r="AB16" s="129"/>
      <c r="AC16" s="129"/>
      <c r="AD16" s="129"/>
      <c r="AE16" s="509">
        <f>AC16*(AD16-G16)*66.73/10^7</f>
        <v>0</v>
      </c>
      <c r="AF16" s="129">
        <v>30</v>
      </c>
      <c r="AG16" s="129"/>
      <c r="AH16" s="129"/>
      <c r="AI16" s="509">
        <f>AG16*(AH16-K16)*67.58/10^7</f>
        <v>0</v>
      </c>
      <c r="AJ16" s="129"/>
      <c r="AK16" s="129"/>
      <c r="AL16" s="129"/>
      <c r="AM16" s="509">
        <f>AK16*(AL16-O16)*67.91/10^7</f>
        <v>0</v>
      </c>
      <c r="AN16" s="129"/>
      <c r="AO16" s="129"/>
      <c r="AP16" s="129"/>
      <c r="AQ16" s="509">
        <f>AO16*(AP16-S16)*68.01/10^7</f>
        <v>0</v>
      </c>
      <c r="AR16" s="129">
        <v>30</v>
      </c>
      <c r="AS16" s="129"/>
      <c r="AT16" s="129"/>
      <c r="AU16" s="509">
        <f>AS16*(AT16-W16)*67.01/10^7</f>
        <v>0</v>
      </c>
      <c r="AV16" s="129"/>
      <c r="AW16" s="129"/>
      <c r="AX16" s="129"/>
      <c r="AY16" s="509">
        <f t="shared" si="28"/>
        <v>0</v>
      </c>
      <c r="AZ16" s="23">
        <f t="shared" si="5"/>
        <v>30</v>
      </c>
      <c r="BA16" s="23">
        <f t="shared" si="5"/>
        <v>11</v>
      </c>
      <c r="BB16" s="509">
        <f t="shared" si="16"/>
        <v>9.4211254500000008E-2</v>
      </c>
      <c r="BC16" s="23">
        <f t="shared" si="17"/>
        <v>30</v>
      </c>
      <c r="BD16" s="257">
        <f t="shared" si="17"/>
        <v>0</v>
      </c>
      <c r="BE16" s="257">
        <f t="shared" si="18"/>
        <v>0</v>
      </c>
      <c r="BF16" s="257">
        <f t="shared" si="19"/>
        <v>30</v>
      </c>
      <c r="BG16" s="23">
        <f t="shared" si="19"/>
        <v>0</v>
      </c>
      <c r="BH16" s="257">
        <f t="shared" si="20"/>
        <v>0</v>
      </c>
      <c r="BI16" s="23">
        <f t="shared" si="21"/>
        <v>30</v>
      </c>
      <c r="BJ16" s="23">
        <f t="shared" si="21"/>
        <v>0</v>
      </c>
      <c r="BK16" s="257">
        <f t="shared" si="22"/>
        <v>0</v>
      </c>
      <c r="BL16" s="23">
        <f t="shared" si="23"/>
        <v>120</v>
      </c>
      <c r="BM16" s="23">
        <f t="shared" si="6"/>
        <v>11</v>
      </c>
      <c r="BN16" s="257">
        <f t="shared" si="6"/>
        <v>9.4211254500000008E-2</v>
      </c>
      <c r="BO16" s="466">
        <f t="shared" si="24"/>
        <v>9.166666666666666E-2</v>
      </c>
      <c r="BP16" s="472"/>
      <c r="BQ16" s="23">
        <f t="shared" si="7"/>
        <v>60</v>
      </c>
      <c r="BR16" s="23">
        <f t="shared" si="8"/>
        <v>11</v>
      </c>
      <c r="BS16" s="466">
        <f t="shared" si="25"/>
        <v>0.18333333333333332</v>
      </c>
      <c r="BT16" s="509">
        <f t="shared" si="10"/>
        <v>9.4211254500000008E-2</v>
      </c>
      <c r="BU16" s="466">
        <f t="shared" si="11"/>
        <v>9.166666666666666E-2</v>
      </c>
    </row>
    <row r="17" spans="1:73" ht="12.6" customHeight="1">
      <c r="A17" s="254" t="s">
        <v>54</v>
      </c>
      <c r="B17" s="129">
        <f t="shared" si="0"/>
        <v>240</v>
      </c>
      <c r="C17" s="257"/>
      <c r="D17" s="129">
        <v>20</v>
      </c>
      <c r="E17" s="129">
        <v>2</v>
      </c>
      <c r="F17" s="129">
        <v>3768</v>
      </c>
      <c r="G17" s="509">
        <f>E17*(F17-2189)*66.47/10^7</f>
        <v>2.0991226000000002E-2</v>
      </c>
      <c r="H17" s="129">
        <v>20</v>
      </c>
      <c r="I17" s="129">
        <v>1</v>
      </c>
      <c r="J17" s="129">
        <v>3773</v>
      </c>
      <c r="K17" s="509">
        <f>I17*(J17-2432)*66.91/10^7</f>
        <v>8.972631E-3</v>
      </c>
      <c r="L17" s="129">
        <v>20</v>
      </c>
      <c r="M17" s="129">
        <v>12</v>
      </c>
      <c r="N17" s="129">
        <v>3831</v>
      </c>
      <c r="O17" s="509">
        <f>M17*(N17-2422)*67.28/10^7</f>
        <v>0.113757024</v>
      </c>
      <c r="P17" s="129">
        <v>20</v>
      </c>
      <c r="Q17" s="129">
        <v>1</v>
      </c>
      <c r="R17" s="129">
        <v>3956</v>
      </c>
      <c r="S17" s="509">
        <f>Q17*(R17-2488)*67.28/10^7</f>
        <v>9.876704E-3</v>
      </c>
      <c r="T17" s="129">
        <v>20</v>
      </c>
      <c r="U17" s="129">
        <v>2</v>
      </c>
      <c r="V17" s="129">
        <v>3951</v>
      </c>
      <c r="W17" s="509">
        <f>U17*(V17-2429)*66.93/10^7</f>
        <v>2.0373492E-2</v>
      </c>
      <c r="X17" s="129">
        <v>20</v>
      </c>
      <c r="Y17" s="129">
        <v>1</v>
      </c>
      <c r="Z17" s="129">
        <v>3911</v>
      </c>
      <c r="AA17" s="509">
        <f t="shared" si="15"/>
        <v>2.6082458999999999E-2</v>
      </c>
      <c r="AB17" s="129">
        <v>20</v>
      </c>
      <c r="AC17" s="129">
        <v>1</v>
      </c>
      <c r="AD17" s="129">
        <v>4293</v>
      </c>
      <c r="AE17" s="509">
        <f>AC17*(AD17-2659)*66.73/10^7</f>
        <v>1.0903682000000001E-2</v>
      </c>
      <c r="AF17" s="129">
        <v>20</v>
      </c>
      <c r="AG17" s="129"/>
      <c r="AH17" s="129"/>
      <c r="AI17" s="509">
        <f>AG17*(AH17-K17)*67.58/10^7</f>
        <v>0</v>
      </c>
      <c r="AJ17" s="129">
        <v>20</v>
      </c>
      <c r="AK17" s="129"/>
      <c r="AL17" s="129"/>
      <c r="AM17" s="509">
        <f>AK17*(AL17-O17)*67.91/10^7</f>
        <v>0</v>
      </c>
      <c r="AN17" s="129">
        <v>20</v>
      </c>
      <c r="AO17" s="129">
        <v>12</v>
      </c>
      <c r="AP17" s="129">
        <v>3849</v>
      </c>
      <c r="AQ17" s="509">
        <f>AO17*(AP17-2543)*68.01/10^7</f>
        <v>0.10658527199999999</v>
      </c>
      <c r="AR17" s="129">
        <v>20</v>
      </c>
      <c r="AS17" s="129"/>
      <c r="AT17" s="129"/>
      <c r="AU17" s="509">
        <f>AS17*(AT17-W17)*67.01/10^7</f>
        <v>0</v>
      </c>
      <c r="AV17" s="129">
        <v>20</v>
      </c>
      <c r="AW17" s="129"/>
      <c r="AX17" s="129"/>
      <c r="AY17" s="509">
        <f t="shared" si="28"/>
        <v>0</v>
      </c>
      <c r="AZ17" s="23">
        <f t="shared" si="5"/>
        <v>60</v>
      </c>
      <c r="BA17" s="23">
        <f t="shared" si="5"/>
        <v>15</v>
      </c>
      <c r="BB17" s="509">
        <f t="shared" si="16"/>
        <v>0.14372088099999999</v>
      </c>
      <c r="BC17" s="23">
        <f t="shared" si="17"/>
        <v>60</v>
      </c>
      <c r="BD17" s="257">
        <f t="shared" si="17"/>
        <v>4</v>
      </c>
      <c r="BE17" s="257">
        <f t="shared" si="18"/>
        <v>5.6332654999999995E-2</v>
      </c>
      <c r="BF17" s="257">
        <f t="shared" si="19"/>
        <v>60</v>
      </c>
      <c r="BG17" s="23">
        <f t="shared" si="19"/>
        <v>1</v>
      </c>
      <c r="BH17" s="257">
        <f t="shared" si="20"/>
        <v>1.0903682000000001E-2</v>
      </c>
      <c r="BI17" s="23">
        <f t="shared" si="21"/>
        <v>60</v>
      </c>
      <c r="BJ17" s="23">
        <f t="shared" si="21"/>
        <v>12</v>
      </c>
      <c r="BK17" s="257">
        <f t="shared" si="22"/>
        <v>0.10658527199999999</v>
      </c>
      <c r="BL17" s="23">
        <f t="shared" si="23"/>
        <v>240</v>
      </c>
      <c r="BM17" s="23">
        <f t="shared" si="6"/>
        <v>32</v>
      </c>
      <c r="BN17" s="257">
        <f t="shared" si="6"/>
        <v>0.31754248999999996</v>
      </c>
      <c r="BO17" s="466">
        <f t="shared" si="24"/>
        <v>0.13333333333333333</v>
      </c>
      <c r="BP17" s="472"/>
      <c r="BQ17" s="23">
        <f t="shared" si="7"/>
        <v>120</v>
      </c>
      <c r="BR17" s="23">
        <f t="shared" si="8"/>
        <v>19</v>
      </c>
      <c r="BS17" s="466">
        <f t="shared" si="25"/>
        <v>0.15833333333333333</v>
      </c>
      <c r="BT17" s="509">
        <f t="shared" si="10"/>
        <v>0.20005353599999998</v>
      </c>
      <c r="BU17" s="466">
        <f t="shared" si="11"/>
        <v>7.9166666666666663E-2</v>
      </c>
    </row>
    <row r="18" spans="1:73" ht="12.6" customHeight="1">
      <c r="A18" s="254" t="s">
        <v>55</v>
      </c>
      <c r="B18" s="129">
        <f t="shared" si="0"/>
        <v>960</v>
      </c>
      <c r="C18" s="257"/>
      <c r="D18" s="129">
        <v>80</v>
      </c>
      <c r="E18" s="129"/>
      <c r="F18" s="129"/>
      <c r="G18" s="509">
        <f t="shared" si="1"/>
        <v>0</v>
      </c>
      <c r="H18" s="129">
        <v>80</v>
      </c>
      <c r="I18" s="129"/>
      <c r="J18" s="129"/>
      <c r="K18" s="509">
        <f t="shared" si="2"/>
        <v>0</v>
      </c>
      <c r="L18" s="129">
        <v>80</v>
      </c>
      <c r="M18" s="129">
        <v>36</v>
      </c>
      <c r="N18" s="129">
        <v>3553.6</v>
      </c>
      <c r="O18" s="509">
        <f>M18*(N18-2552)*67.28/10^7</f>
        <v>0.24259553279999999</v>
      </c>
      <c r="P18" s="129">
        <v>80</v>
      </c>
      <c r="Q18" s="129"/>
      <c r="R18" s="129"/>
      <c r="S18" s="509">
        <f t="shared" ref="S18:S22" si="30">Q18*(R18-C18)*67.28/10^7</f>
        <v>0</v>
      </c>
      <c r="T18" s="129">
        <v>80</v>
      </c>
      <c r="U18" s="129"/>
      <c r="V18" s="129">
        <f t="shared" si="13"/>
        <v>0</v>
      </c>
      <c r="W18" s="509">
        <f t="shared" si="14"/>
        <v>0</v>
      </c>
      <c r="X18" s="129">
        <v>80</v>
      </c>
      <c r="Y18" s="129">
        <v>20</v>
      </c>
      <c r="Z18" s="129">
        <v>4137</v>
      </c>
      <c r="AA18" s="509">
        <f>Y18*(Z18-2641)*66.69/10^7</f>
        <v>0.19953648000000002</v>
      </c>
      <c r="AB18" s="129">
        <v>80</v>
      </c>
      <c r="AC18" s="129">
        <v>49</v>
      </c>
      <c r="AD18" s="129">
        <v>3692</v>
      </c>
      <c r="AE18" s="509">
        <f>AC18*(AD18-2817)*66.73/10^7</f>
        <v>0.28610487499999998</v>
      </c>
      <c r="AF18" s="129">
        <v>80</v>
      </c>
      <c r="AG18" s="129">
        <v>4</v>
      </c>
      <c r="AH18" s="129">
        <v>4340</v>
      </c>
      <c r="AI18" s="509">
        <f>AG18*(AH18-2786)*67.58/10^7</f>
        <v>4.2007727999999994E-2</v>
      </c>
      <c r="AJ18" s="129">
        <v>80</v>
      </c>
      <c r="AK18" s="129">
        <v>4</v>
      </c>
      <c r="AL18" s="129">
        <v>4865</v>
      </c>
      <c r="AM18" s="509">
        <f>AK18*(AL18-2514)*67.91/10^7</f>
        <v>6.3862563999999997E-2</v>
      </c>
      <c r="AN18" s="129">
        <v>80</v>
      </c>
      <c r="AO18" s="129"/>
      <c r="AP18" s="129"/>
      <c r="AQ18" s="509">
        <f>AO18*(AP18-2641)*68.01/10^7</f>
        <v>0</v>
      </c>
      <c r="AR18" s="129">
        <v>80</v>
      </c>
      <c r="AS18" s="129">
        <v>25</v>
      </c>
      <c r="AT18" s="129">
        <v>3498</v>
      </c>
      <c r="AU18" s="509">
        <f>AS18*(AT18-2728)*67.01/10^7</f>
        <v>0.12899425</v>
      </c>
      <c r="AV18" s="129">
        <v>80</v>
      </c>
      <c r="AW18" s="129"/>
      <c r="AX18" s="129"/>
      <c r="AY18" s="509">
        <f>AW18*(AX18-2641)*66.69/10^7</f>
        <v>0</v>
      </c>
      <c r="AZ18" s="23">
        <f t="shared" si="5"/>
        <v>240</v>
      </c>
      <c r="BA18" s="23">
        <f t="shared" si="5"/>
        <v>36</v>
      </c>
      <c r="BB18" s="509">
        <f t="shared" si="16"/>
        <v>0.24259553279999999</v>
      </c>
      <c r="BC18" s="23">
        <f t="shared" si="17"/>
        <v>240</v>
      </c>
      <c r="BD18" s="257">
        <f t="shared" si="17"/>
        <v>20</v>
      </c>
      <c r="BE18" s="257">
        <f t="shared" si="18"/>
        <v>0.19953648000000002</v>
      </c>
      <c r="BF18" s="257">
        <f t="shared" si="19"/>
        <v>240</v>
      </c>
      <c r="BG18" s="23">
        <f t="shared" si="19"/>
        <v>57</v>
      </c>
      <c r="BH18" s="257">
        <f t="shared" si="20"/>
        <v>0.39197516700000001</v>
      </c>
      <c r="BI18" s="23">
        <f t="shared" si="21"/>
        <v>240</v>
      </c>
      <c r="BJ18" s="23">
        <f t="shared" si="21"/>
        <v>25</v>
      </c>
      <c r="BK18" s="257">
        <f t="shared" si="22"/>
        <v>0.12899425</v>
      </c>
      <c r="BL18" s="23">
        <f t="shared" si="23"/>
        <v>960</v>
      </c>
      <c r="BM18" s="23">
        <f t="shared" si="6"/>
        <v>138</v>
      </c>
      <c r="BN18" s="257">
        <f t="shared" si="6"/>
        <v>0.96310142980000002</v>
      </c>
      <c r="BO18" s="466">
        <f t="shared" si="24"/>
        <v>0.14374999999999999</v>
      </c>
      <c r="BP18" s="472"/>
      <c r="BQ18" s="23">
        <f t="shared" si="7"/>
        <v>480</v>
      </c>
      <c r="BR18" s="23">
        <f t="shared" si="8"/>
        <v>56</v>
      </c>
      <c r="BS18" s="466">
        <f t="shared" si="25"/>
        <v>0.11666666666666667</v>
      </c>
      <c r="BT18" s="509">
        <f t="shared" si="10"/>
        <v>0.44213201280000003</v>
      </c>
      <c r="BU18" s="466">
        <f t="shared" si="11"/>
        <v>5.8333333333333334E-2</v>
      </c>
    </row>
    <row r="19" spans="1:73" ht="12.6" customHeight="1">
      <c r="A19" s="254" t="s">
        <v>50</v>
      </c>
      <c r="B19" s="129">
        <f t="shared" si="0"/>
        <v>450</v>
      </c>
      <c r="C19" s="257"/>
      <c r="D19" s="129">
        <v>35</v>
      </c>
      <c r="E19" s="129"/>
      <c r="F19" s="129"/>
      <c r="G19" s="509">
        <f t="shared" si="1"/>
        <v>0</v>
      </c>
      <c r="H19" s="129">
        <v>35</v>
      </c>
      <c r="I19" s="129">
        <v>20</v>
      </c>
      <c r="J19" s="129">
        <v>3536</v>
      </c>
      <c r="K19" s="509">
        <f>I19*(J19-2219)*66.91/10^7</f>
        <v>0.17624093999999998</v>
      </c>
      <c r="L19" s="129">
        <v>35</v>
      </c>
      <c r="M19" s="129">
        <v>2</v>
      </c>
      <c r="N19" s="129">
        <v>3594.9</v>
      </c>
      <c r="O19" s="509">
        <f>M19*(N19-1968)*67.28/10^7</f>
        <v>2.1891566400000003E-2</v>
      </c>
      <c r="P19" s="129">
        <v>35</v>
      </c>
      <c r="Q19" s="129"/>
      <c r="R19" s="129"/>
      <c r="S19" s="509">
        <f t="shared" si="30"/>
        <v>0</v>
      </c>
      <c r="T19" s="129">
        <v>35</v>
      </c>
      <c r="U19" s="129"/>
      <c r="V19" s="129">
        <f t="shared" si="13"/>
        <v>0</v>
      </c>
      <c r="W19" s="509">
        <f t="shared" si="14"/>
        <v>0</v>
      </c>
      <c r="X19" s="129">
        <v>35</v>
      </c>
      <c r="Y19" s="129"/>
      <c r="Z19" s="129"/>
      <c r="AA19" s="509">
        <f t="shared" si="15"/>
        <v>0</v>
      </c>
      <c r="AB19" s="129">
        <v>40</v>
      </c>
      <c r="AC19" s="129">
        <v>12</v>
      </c>
      <c r="AD19" s="129">
        <v>3594</v>
      </c>
      <c r="AE19" s="509">
        <f>AC19*(AD19-2044)*66.73/10^7</f>
        <v>0.1241178</v>
      </c>
      <c r="AF19" s="129">
        <v>40</v>
      </c>
      <c r="AG19" s="129"/>
      <c r="AH19" s="129"/>
      <c r="AI19" s="509">
        <f>AG19*(AH19-K19)*67.58/10^7</f>
        <v>0</v>
      </c>
      <c r="AJ19" s="129">
        <v>40</v>
      </c>
      <c r="AK19" s="129"/>
      <c r="AL19" s="129"/>
      <c r="AM19" s="509">
        <f>AK19*(AL19-O19)*67.91/10^7</f>
        <v>0</v>
      </c>
      <c r="AN19" s="129">
        <v>40</v>
      </c>
      <c r="AO19" s="129"/>
      <c r="AP19" s="129"/>
      <c r="AQ19" s="509">
        <f>AO19*(AP19-S19)*68.01/10^7</f>
        <v>0</v>
      </c>
      <c r="AR19" s="129">
        <v>40</v>
      </c>
      <c r="AS19" s="129"/>
      <c r="AT19" s="129"/>
      <c r="AU19" s="509">
        <f>AS19*(AT19-W19)*67.01/10^7</f>
        <v>0</v>
      </c>
      <c r="AV19" s="129">
        <v>40</v>
      </c>
      <c r="AW19" s="129"/>
      <c r="AX19" s="129"/>
      <c r="AY19" s="509">
        <f t="shared" ref="AY19:AY23" si="31">AW19*(AX19-AA19)*66.69/10^7</f>
        <v>0</v>
      </c>
      <c r="AZ19" s="23">
        <f t="shared" si="5"/>
        <v>105</v>
      </c>
      <c r="BA19" s="23">
        <f t="shared" si="5"/>
        <v>22</v>
      </c>
      <c r="BB19" s="509">
        <f t="shared" si="16"/>
        <v>0.19813250639999999</v>
      </c>
      <c r="BC19" s="23">
        <f t="shared" si="17"/>
        <v>105</v>
      </c>
      <c r="BD19" s="257">
        <f t="shared" si="17"/>
        <v>0</v>
      </c>
      <c r="BE19" s="257">
        <f t="shared" si="18"/>
        <v>0</v>
      </c>
      <c r="BF19" s="257">
        <f t="shared" si="19"/>
        <v>120</v>
      </c>
      <c r="BG19" s="23">
        <f t="shared" si="19"/>
        <v>12</v>
      </c>
      <c r="BH19" s="257">
        <f t="shared" si="20"/>
        <v>0.1241178</v>
      </c>
      <c r="BI19" s="23">
        <f t="shared" si="21"/>
        <v>120</v>
      </c>
      <c r="BJ19" s="23">
        <f t="shared" si="21"/>
        <v>0</v>
      </c>
      <c r="BK19" s="257">
        <f t="shared" si="22"/>
        <v>0</v>
      </c>
      <c r="BL19" s="23">
        <f t="shared" si="23"/>
        <v>450</v>
      </c>
      <c r="BM19" s="23">
        <f t="shared" si="6"/>
        <v>34</v>
      </c>
      <c r="BN19" s="257">
        <f t="shared" si="6"/>
        <v>0.32225030639999996</v>
      </c>
      <c r="BO19" s="466">
        <f t="shared" si="24"/>
        <v>7.5555555555555556E-2</v>
      </c>
      <c r="BP19" s="472"/>
      <c r="BQ19" s="23">
        <f t="shared" si="7"/>
        <v>210</v>
      </c>
      <c r="BR19" s="23">
        <f t="shared" si="8"/>
        <v>22</v>
      </c>
      <c r="BS19" s="466">
        <f t="shared" si="25"/>
        <v>0.10476190476190476</v>
      </c>
      <c r="BT19" s="509">
        <f t="shared" si="10"/>
        <v>0.19813250639999999</v>
      </c>
      <c r="BU19" s="466">
        <f t="shared" si="11"/>
        <v>4.8888888888888891E-2</v>
      </c>
    </row>
    <row r="20" spans="1:73" ht="12.6" customHeight="1">
      <c r="A20" s="503" t="s">
        <v>84</v>
      </c>
      <c r="B20" s="129">
        <f t="shared" si="0"/>
        <v>300</v>
      </c>
      <c r="C20" s="257"/>
      <c r="D20" s="129">
        <v>24</v>
      </c>
      <c r="E20" s="129">
        <v>24</v>
      </c>
      <c r="F20" s="129">
        <v>3694</v>
      </c>
      <c r="G20" s="509">
        <f>E20*(F20-2297)*66.47/10^7</f>
        <v>0.22286061600000001</v>
      </c>
      <c r="H20" s="129">
        <v>60</v>
      </c>
      <c r="I20" s="129">
        <v>60</v>
      </c>
      <c r="J20" s="129">
        <v>3416.5</v>
      </c>
      <c r="K20" s="509">
        <f>I20*(J20-2499)*66.91/10^7</f>
        <v>0.36833955000000002</v>
      </c>
      <c r="L20" s="129">
        <v>60</v>
      </c>
      <c r="M20" s="129">
        <v>60</v>
      </c>
      <c r="N20" s="129">
        <v>3553.6</v>
      </c>
      <c r="O20" s="509">
        <f>M20*(N20-2552)*67.28/10^7</f>
        <v>0.40432588799999997</v>
      </c>
      <c r="P20" s="129"/>
      <c r="Q20" s="129"/>
      <c r="R20" s="129"/>
      <c r="S20" s="509">
        <f t="shared" si="30"/>
        <v>0</v>
      </c>
      <c r="T20" s="129"/>
      <c r="U20" s="129"/>
      <c r="V20" s="129">
        <f t="shared" si="13"/>
        <v>0</v>
      </c>
      <c r="W20" s="509">
        <f t="shared" si="14"/>
        <v>0</v>
      </c>
      <c r="X20" s="129"/>
      <c r="Y20" s="129"/>
      <c r="Z20" s="129"/>
      <c r="AA20" s="509">
        <f t="shared" si="15"/>
        <v>0</v>
      </c>
      <c r="AB20" s="129">
        <v>60</v>
      </c>
      <c r="AC20" s="129">
        <v>32</v>
      </c>
      <c r="AD20" s="129">
        <v>4005</v>
      </c>
      <c r="AE20" s="509">
        <f>AC20*(AD20-2817)*66.73/10^7</f>
        <v>0.253680768</v>
      </c>
      <c r="AF20" s="129"/>
      <c r="AG20" s="129"/>
      <c r="AH20" s="129"/>
      <c r="AI20" s="509">
        <f>AG20*(AH20-K20)*67.58/10^7</f>
        <v>0</v>
      </c>
      <c r="AJ20" s="129">
        <v>36</v>
      </c>
      <c r="AK20" s="129"/>
      <c r="AL20" s="129"/>
      <c r="AM20" s="509">
        <f>AK20*(AL20-O20)*67.91/10^7</f>
        <v>0</v>
      </c>
      <c r="AN20" s="129"/>
      <c r="AO20" s="129"/>
      <c r="AP20" s="129"/>
      <c r="AQ20" s="509">
        <f>AO20*(AP20-S20)*68.01/10^7</f>
        <v>0</v>
      </c>
      <c r="AR20" s="129">
        <v>60</v>
      </c>
      <c r="AS20" s="129"/>
      <c r="AT20" s="129"/>
      <c r="AU20" s="509">
        <f>AS20*(AT20-W20)*67.01/10^7</f>
        <v>0</v>
      </c>
      <c r="AV20" s="129"/>
      <c r="AW20" s="129"/>
      <c r="AX20" s="129"/>
      <c r="AY20" s="509">
        <f t="shared" si="31"/>
        <v>0</v>
      </c>
      <c r="AZ20" s="23">
        <f t="shared" si="5"/>
        <v>144</v>
      </c>
      <c r="BA20" s="23">
        <f t="shared" si="5"/>
        <v>144</v>
      </c>
      <c r="BB20" s="509">
        <f t="shared" si="16"/>
        <v>0.99552605399999994</v>
      </c>
      <c r="BC20" s="23">
        <f t="shared" si="17"/>
        <v>0</v>
      </c>
      <c r="BD20" s="257">
        <f t="shared" si="17"/>
        <v>0</v>
      </c>
      <c r="BE20" s="257">
        <f t="shared" si="18"/>
        <v>0</v>
      </c>
      <c r="BF20" s="257">
        <f t="shared" si="19"/>
        <v>96</v>
      </c>
      <c r="BG20" s="23">
        <f t="shared" si="19"/>
        <v>32</v>
      </c>
      <c r="BH20" s="257">
        <f t="shared" si="20"/>
        <v>0.253680768</v>
      </c>
      <c r="BI20" s="23">
        <f t="shared" si="21"/>
        <v>60</v>
      </c>
      <c r="BJ20" s="23">
        <f t="shared" si="21"/>
        <v>0</v>
      </c>
      <c r="BK20" s="257">
        <f t="shared" si="22"/>
        <v>0</v>
      </c>
      <c r="BL20" s="23">
        <f t="shared" si="23"/>
        <v>300</v>
      </c>
      <c r="BM20" s="23">
        <f t="shared" si="6"/>
        <v>176</v>
      </c>
      <c r="BN20" s="257">
        <f t="shared" si="6"/>
        <v>1.2492068219999999</v>
      </c>
      <c r="BO20" s="466">
        <f t="shared" si="24"/>
        <v>0.58666666666666667</v>
      </c>
      <c r="BP20" s="472"/>
      <c r="BQ20" s="23">
        <f t="shared" si="7"/>
        <v>144</v>
      </c>
      <c r="BR20" s="23">
        <f t="shared" si="8"/>
        <v>144</v>
      </c>
      <c r="BS20" s="466">
        <f t="shared" si="25"/>
        <v>1</v>
      </c>
      <c r="BT20" s="509">
        <f t="shared" si="10"/>
        <v>0.99552605399999994</v>
      </c>
      <c r="BU20" s="466">
        <f t="shared" si="11"/>
        <v>0.48</v>
      </c>
    </row>
    <row r="21" spans="1:73" ht="12.6" customHeight="1">
      <c r="A21" s="254" t="s">
        <v>111</v>
      </c>
      <c r="B21" s="129">
        <f t="shared" si="0"/>
        <v>0</v>
      </c>
      <c r="C21" s="257"/>
      <c r="D21" s="129">
        <v>0</v>
      </c>
      <c r="E21" s="129"/>
      <c r="F21" s="129"/>
      <c r="G21" s="509">
        <f t="shared" si="1"/>
        <v>0</v>
      </c>
      <c r="H21" s="129"/>
      <c r="I21" s="129"/>
      <c r="J21" s="129"/>
      <c r="K21" s="509">
        <f t="shared" si="2"/>
        <v>0</v>
      </c>
      <c r="L21" s="129"/>
      <c r="M21" s="129"/>
      <c r="N21" s="129"/>
      <c r="O21" s="509">
        <f t="shared" si="3"/>
        <v>0</v>
      </c>
      <c r="P21" s="129"/>
      <c r="Q21" s="129"/>
      <c r="R21" s="129"/>
      <c r="S21" s="509">
        <f t="shared" si="30"/>
        <v>0</v>
      </c>
      <c r="T21" s="129"/>
      <c r="U21" s="129"/>
      <c r="V21" s="129">
        <f t="shared" si="13"/>
        <v>0</v>
      </c>
      <c r="W21" s="509">
        <f t="shared" si="14"/>
        <v>0</v>
      </c>
      <c r="X21" s="129"/>
      <c r="Y21" s="129"/>
      <c r="Z21" s="129"/>
      <c r="AA21" s="509">
        <f t="shared" si="15"/>
        <v>0</v>
      </c>
      <c r="AB21" s="129"/>
      <c r="AC21" s="129"/>
      <c r="AD21" s="129"/>
      <c r="AE21" s="509">
        <f>AC21*(AD21-G21)*66.73/10^7</f>
        <v>0</v>
      </c>
      <c r="AF21" s="129"/>
      <c r="AG21" s="129"/>
      <c r="AH21" s="129"/>
      <c r="AI21" s="509">
        <f>AG21*(AH21-K21)*67.58/10^7</f>
        <v>0</v>
      </c>
      <c r="AJ21" s="129"/>
      <c r="AK21" s="129"/>
      <c r="AL21" s="129"/>
      <c r="AM21" s="509">
        <f>AK21*(AL21-O21)*67.91/10^7</f>
        <v>0</v>
      </c>
      <c r="AN21" s="129"/>
      <c r="AO21" s="129"/>
      <c r="AP21" s="129"/>
      <c r="AQ21" s="509">
        <f>AO21*(AP21-S21)*68.01/10^7</f>
        <v>0</v>
      </c>
      <c r="AR21" s="129"/>
      <c r="AS21" s="129"/>
      <c r="AT21" s="129"/>
      <c r="AU21" s="509">
        <f>AS21*(AT21-W21)*67.01/10^7</f>
        <v>0</v>
      </c>
      <c r="AV21" s="129"/>
      <c r="AW21" s="129"/>
      <c r="AX21" s="129"/>
      <c r="AY21" s="509">
        <f t="shared" si="31"/>
        <v>0</v>
      </c>
      <c r="AZ21" s="23">
        <f t="shared" si="5"/>
        <v>0</v>
      </c>
      <c r="BA21" s="23">
        <f t="shared" si="5"/>
        <v>0</v>
      </c>
      <c r="BB21" s="509">
        <f t="shared" si="16"/>
        <v>0</v>
      </c>
      <c r="BC21" s="23">
        <f t="shared" si="17"/>
        <v>0</v>
      </c>
      <c r="BD21" s="257">
        <f t="shared" si="17"/>
        <v>0</v>
      </c>
      <c r="BE21" s="257">
        <f t="shared" si="18"/>
        <v>0</v>
      </c>
      <c r="BF21" s="257">
        <f t="shared" si="19"/>
        <v>0</v>
      </c>
      <c r="BG21" s="23">
        <f t="shared" si="19"/>
        <v>0</v>
      </c>
      <c r="BH21" s="257">
        <f t="shared" si="20"/>
        <v>0</v>
      </c>
      <c r="BI21" s="23">
        <f t="shared" si="21"/>
        <v>0</v>
      </c>
      <c r="BJ21" s="23">
        <f t="shared" si="21"/>
        <v>0</v>
      </c>
      <c r="BK21" s="257">
        <f t="shared" si="22"/>
        <v>0</v>
      </c>
      <c r="BL21" s="23">
        <f t="shared" si="23"/>
        <v>0</v>
      </c>
      <c r="BM21" s="23">
        <f t="shared" si="6"/>
        <v>0</v>
      </c>
      <c r="BN21" s="257">
        <f t="shared" si="6"/>
        <v>0</v>
      </c>
      <c r="BO21" s="466">
        <f t="shared" si="24"/>
        <v>0</v>
      </c>
      <c r="BP21" s="472"/>
      <c r="BQ21" s="23">
        <f t="shared" si="7"/>
        <v>0</v>
      </c>
      <c r="BR21" s="23">
        <f t="shared" si="8"/>
        <v>0</v>
      </c>
      <c r="BS21" s="466">
        <f t="shared" si="25"/>
        <v>0</v>
      </c>
      <c r="BT21" s="509">
        <f t="shared" si="10"/>
        <v>0</v>
      </c>
      <c r="BU21" s="466">
        <f t="shared" si="11"/>
        <v>0</v>
      </c>
    </row>
    <row r="22" spans="1:73" ht="12.6" customHeight="1">
      <c r="A22" s="254" t="s">
        <v>106</v>
      </c>
      <c r="B22" s="129">
        <f t="shared" si="0"/>
        <v>0</v>
      </c>
      <c r="C22" s="257"/>
      <c r="D22" s="129"/>
      <c r="E22" s="129"/>
      <c r="F22" s="129"/>
      <c r="G22" s="509">
        <f t="shared" si="1"/>
        <v>0</v>
      </c>
      <c r="H22" s="129"/>
      <c r="I22" s="129"/>
      <c r="J22" s="129"/>
      <c r="K22" s="509">
        <f t="shared" si="2"/>
        <v>0</v>
      </c>
      <c r="L22" s="129"/>
      <c r="M22" s="129"/>
      <c r="N22" s="129"/>
      <c r="O22" s="509">
        <f t="shared" si="3"/>
        <v>0</v>
      </c>
      <c r="P22" s="129"/>
      <c r="Q22" s="129"/>
      <c r="R22" s="129"/>
      <c r="S22" s="509">
        <f t="shared" si="30"/>
        <v>0</v>
      </c>
      <c r="T22" s="129"/>
      <c r="U22" s="129"/>
      <c r="V22" s="129">
        <f>(T22*U22)/10^6</f>
        <v>0</v>
      </c>
      <c r="W22" s="509">
        <f t="shared" si="14"/>
        <v>0</v>
      </c>
      <c r="X22" s="129"/>
      <c r="Y22" s="129"/>
      <c r="Z22" s="129"/>
      <c r="AA22" s="509">
        <f t="shared" si="15"/>
        <v>0</v>
      </c>
      <c r="AB22" s="129"/>
      <c r="AC22" s="129"/>
      <c r="AD22" s="129"/>
      <c r="AE22" s="509">
        <f>AC22*(AD22-G22)*66.73/10^7</f>
        <v>0</v>
      </c>
      <c r="AF22" s="129"/>
      <c r="AG22" s="129">
        <v>239</v>
      </c>
      <c r="AH22" s="129">
        <v>519</v>
      </c>
      <c r="AI22" s="509">
        <f>AG22*(AH22-K22)*67.58/10^7</f>
        <v>0.83826907799999995</v>
      </c>
      <c r="AJ22" s="129"/>
      <c r="AK22" s="129"/>
      <c r="AL22" s="129"/>
      <c r="AM22" s="509">
        <f>AK22*(AL22-O22)*67.91/10^7</f>
        <v>0</v>
      </c>
      <c r="AN22" s="129"/>
      <c r="AO22" s="129"/>
      <c r="AP22" s="129"/>
      <c r="AQ22" s="509">
        <f>AO22*(AP22-S22)*68.01/10^7</f>
        <v>0</v>
      </c>
      <c r="AR22" s="129"/>
      <c r="AS22" s="129">
        <v>143</v>
      </c>
      <c r="AT22" s="129">
        <v>1046</v>
      </c>
      <c r="AU22" s="509">
        <f>AS22*(AT22-W22)*67.01/10^7</f>
        <v>1.0023221780000002</v>
      </c>
      <c r="AV22" s="129"/>
      <c r="AW22" s="129"/>
      <c r="AX22" s="129"/>
      <c r="AY22" s="509">
        <f t="shared" si="31"/>
        <v>0</v>
      </c>
      <c r="AZ22" s="23">
        <f t="shared" si="5"/>
        <v>0</v>
      </c>
      <c r="BA22" s="23">
        <f t="shared" si="5"/>
        <v>0</v>
      </c>
      <c r="BB22" s="509">
        <f t="shared" si="16"/>
        <v>0</v>
      </c>
      <c r="BC22" s="23">
        <f t="shared" si="17"/>
        <v>0</v>
      </c>
      <c r="BD22" s="257">
        <f t="shared" si="17"/>
        <v>0</v>
      </c>
      <c r="BE22" s="257">
        <f t="shared" si="18"/>
        <v>0</v>
      </c>
      <c r="BF22" s="257">
        <f t="shared" si="19"/>
        <v>0</v>
      </c>
      <c r="BG22" s="23">
        <f t="shared" si="19"/>
        <v>239</v>
      </c>
      <c r="BH22" s="257">
        <f t="shared" si="20"/>
        <v>0.83826907799999995</v>
      </c>
      <c r="BI22" s="23">
        <f t="shared" si="21"/>
        <v>0</v>
      </c>
      <c r="BJ22" s="23">
        <f t="shared" si="21"/>
        <v>143</v>
      </c>
      <c r="BK22" s="257">
        <f t="shared" si="22"/>
        <v>1.0023221780000002</v>
      </c>
      <c r="BL22" s="23">
        <f t="shared" si="23"/>
        <v>0</v>
      </c>
      <c r="BM22" s="23">
        <f t="shared" si="23"/>
        <v>382</v>
      </c>
      <c r="BN22" s="257">
        <f t="shared" si="23"/>
        <v>1.8405912560000002</v>
      </c>
      <c r="BO22" s="466">
        <f t="shared" si="24"/>
        <v>0</v>
      </c>
      <c r="BP22" s="472"/>
      <c r="BQ22" s="23">
        <f t="shared" si="7"/>
        <v>0</v>
      </c>
      <c r="BR22" s="23">
        <f t="shared" si="8"/>
        <v>0</v>
      </c>
      <c r="BS22" s="466">
        <f t="shared" si="25"/>
        <v>0</v>
      </c>
      <c r="BT22" s="509">
        <f t="shared" si="10"/>
        <v>0</v>
      </c>
      <c r="BU22" s="466">
        <f t="shared" si="11"/>
        <v>0</v>
      </c>
    </row>
    <row r="23" spans="1:73" ht="12.6" customHeight="1">
      <c r="A23" s="503" t="s">
        <v>243</v>
      </c>
      <c r="B23" s="129">
        <f t="shared" si="0"/>
        <v>0</v>
      </c>
      <c r="C23" s="257">
        <v>143.1</v>
      </c>
      <c r="D23" s="129"/>
      <c r="E23" s="129"/>
      <c r="F23" s="129"/>
      <c r="G23" s="509">
        <f t="shared" si="1"/>
        <v>0</v>
      </c>
      <c r="H23" s="129"/>
      <c r="I23" s="129"/>
      <c r="J23" s="129"/>
      <c r="K23" s="509">
        <f t="shared" si="2"/>
        <v>0</v>
      </c>
      <c r="L23" s="129"/>
      <c r="M23" s="129">
        <v>11</v>
      </c>
      <c r="N23" s="129">
        <v>1259</v>
      </c>
      <c r="O23" s="509">
        <f t="shared" si="3"/>
        <v>8.2585527200000008E-2</v>
      </c>
      <c r="P23" s="129"/>
      <c r="Q23" s="129">
        <v>26</v>
      </c>
      <c r="R23" s="129">
        <v>1319</v>
      </c>
      <c r="S23" s="509">
        <f>Q23*(R23-C23)*67.28/10^7</f>
        <v>0.20569783520000001</v>
      </c>
      <c r="T23" s="129"/>
      <c r="U23" s="129">
        <v>3</v>
      </c>
      <c r="V23" s="129">
        <v>1250</v>
      </c>
      <c r="W23" s="509">
        <f t="shared" si="14"/>
        <v>2.2225445100000005E-2</v>
      </c>
      <c r="X23" s="129"/>
      <c r="Y23" s="129">
        <f ca="1">Y10-28</f>
        <v>0</v>
      </c>
      <c r="Z23" s="129">
        <v>1308</v>
      </c>
      <c r="AA23" s="509">
        <f t="shared" ca="1" si="15"/>
        <v>0</v>
      </c>
      <c r="AB23" s="129"/>
      <c r="AC23" s="129"/>
      <c r="AD23" s="129"/>
      <c r="AE23" s="509">
        <f>AC23*(AD23-G23)*66.73/10^7</f>
        <v>0</v>
      </c>
      <c r="AF23" s="129"/>
      <c r="AG23" s="129"/>
      <c r="AH23" s="129"/>
      <c r="AI23" s="509">
        <f>AG23*(AH23-K23)*67.58/10^7</f>
        <v>0</v>
      </c>
      <c r="AJ23" s="129"/>
      <c r="AK23" s="129"/>
      <c r="AL23" s="129"/>
      <c r="AM23" s="509">
        <f>AK23*(AL23-O23)*67.91/10^7</f>
        <v>0</v>
      </c>
      <c r="AN23" s="129"/>
      <c r="AO23" s="129"/>
      <c r="AP23" s="129"/>
      <c r="AQ23" s="509">
        <f>AO23*(AP23-S23)*68.01/10^7</f>
        <v>0</v>
      </c>
      <c r="AR23" s="129"/>
      <c r="AS23" s="129"/>
      <c r="AT23" s="129"/>
      <c r="AU23" s="509">
        <f>AS23*(AT23-W23)*67.01/10^7</f>
        <v>0</v>
      </c>
      <c r="AV23" s="129"/>
      <c r="AW23" s="129"/>
      <c r="AX23" s="129"/>
      <c r="AY23" s="509">
        <f t="shared" ca="1" si="31"/>
        <v>0</v>
      </c>
      <c r="AZ23" s="23">
        <f t="shared" si="5"/>
        <v>0</v>
      </c>
      <c r="BA23" s="23">
        <f t="shared" si="5"/>
        <v>11</v>
      </c>
      <c r="BB23" s="509">
        <f t="shared" si="16"/>
        <v>8.2585527200000008E-2</v>
      </c>
      <c r="BC23" s="23">
        <f t="shared" si="17"/>
        <v>0</v>
      </c>
      <c r="BD23" s="257">
        <f t="shared" ca="1" si="17"/>
        <v>29</v>
      </c>
      <c r="BE23" s="257">
        <f t="shared" ca="1" si="18"/>
        <v>0.22792328030000003</v>
      </c>
      <c r="BF23" s="257">
        <f t="shared" si="19"/>
        <v>0</v>
      </c>
      <c r="BG23" s="23">
        <f t="shared" si="19"/>
        <v>0</v>
      </c>
      <c r="BH23" s="257">
        <f t="shared" si="20"/>
        <v>0</v>
      </c>
      <c r="BI23" s="23">
        <f t="shared" si="21"/>
        <v>0</v>
      </c>
      <c r="BJ23" s="23">
        <f t="shared" si="21"/>
        <v>0</v>
      </c>
      <c r="BK23" s="257">
        <f t="shared" ca="1" si="22"/>
        <v>0</v>
      </c>
      <c r="BL23" s="23">
        <f t="shared" si="23"/>
        <v>0</v>
      </c>
      <c r="BM23" s="23">
        <f t="shared" ca="1" si="23"/>
        <v>40</v>
      </c>
      <c r="BN23" s="257">
        <f t="shared" ca="1" si="23"/>
        <v>0.31050880750000004</v>
      </c>
      <c r="BO23" s="466">
        <f t="shared" ca="1" si="24"/>
        <v>0</v>
      </c>
      <c r="BP23" s="472"/>
      <c r="BQ23" s="23">
        <f t="shared" si="7"/>
        <v>0</v>
      </c>
      <c r="BR23" s="23">
        <f t="shared" ca="1" si="8"/>
        <v>40</v>
      </c>
      <c r="BS23" s="466">
        <f t="shared" ca="1" si="25"/>
        <v>0</v>
      </c>
      <c r="BT23" s="509">
        <f t="shared" ca="1" si="10"/>
        <v>0.31050880750000004</v>
      </c>
      <c r="BU23" s="466">
        <f t="shared" ca="1" si="11"/>
        <v>0</v>
      </c>
    </row>
    <row r="24" spans="1:73" ht="12.6" customHeight="1">
      <c r="A24" s="482" t="s">
        <v>73</v>
      </c>
      <c r="B24" s="457">
        <f>SUM(B6:B23)</f>
        <v>5460</v>
      </c>
      <c r="C24" s="458"/>
      <c r="D24" s="457">
        <f>SUM(D6:D23)</f>
        <v>289</v>
      </c>
      <c r="E24" s="457">
        <f>SUM(E6:E23)</f>
        <v>112</v>
      </c>
      <c r="F24" s="457"/>
      <c r="G24" s="511">
        <f>SUM(G6:G23)</f>
        <v>0.77888482480000021</v>
      </c>
      <c r="H24" s="457">
        <f>SUM(H6:H23)</f>
        <v>435</v>
      </c>
      <c r="I24" s="457">
        <f>SUM(I6:I23)</f>
        <v>81</v>
      </c>
      <c r="J24" s="457"/>
      <c r="K24" s="511">
        <f>SUM(K6:K23)</f>
        <v>0.55355312099999998</v>
      </c>
      <c r="L24" s="457">
        <f>SUM(L6:L23)</f>
        <v>355</v>
      </c>
      <c r="M24" s="457">
        <f>SUM(M6:M23)</f>
        <v>129</v>
      </c>
      <c r="N24" s="457"/>
      <c r="O24" s="511">
        <f>SUM(O6:O23)</f>
        <v>0.8897968383999999</v>
      </c>
      <c r="P24" s="457">
        <f>SUM(P6:P23)</f>
        <v>345</v>
      </c>
      <c r="Q24" s="457">
        <f>SUM(Q6:Q23)</f>
        <v>97</v>
      </c>
      <c r="R24" s="457"/>
      <c r="S24" s="511">
        <f>SUM(S6:S23)</f>
        <v>0.46505685280000003</v>
      </c>
      <c r="T24" s="457">
        <f>SUM(T6:T23)</f>
        <v>395</v>
      </c>
      <c r="U24" s="457">
        <f>SUM(U6:U23)</f>
        <v>17</v>
      </c>
      <c r="V24" s="457"/>
      <c r="W24" s="511">
        <f>SUM(W6:W23)</f>
        <v>0.10271144730000002</v>
      </c>
      <c r="X24" s="457">
        <f>SUM(X6:X23)</f>
        <v>475</v>
      </c>
      <c r="Y24" s="457">
        <f ca="1">SUM(Y6:Y23)</f>
        <v>355</v>
      </c>
      <c r="Z24" s="457"/>
      <c r="AA24" s="511">
        <f ca="1">SUM(AA6:AA23)</f>
        <v>1.2228745230000002</v>
      </c>
      <c r="AB24" s="457">
        <f>SUM(AB6:AB23)</f>
        <v>435</v>
      </c>
      <c r="AC24" s="457">
        <f>SUM(AC6:AC23)</f>
        <v>94</v>
      </c>
      <c r="AD24" s="457"/>
      <c r="AE24" s="511">
        <f>SUM(AE6:AE23)</f>
        <v>0.67480712500000006</v>
      </c>
      <c r="AF24" s="457">
        <f>SUM(AF6:AF23)</f>
        <v>485</v>
      </c>
      <c r="AG24" s="457">
        <f>SUM(AG6:AG23)</f>
        <v>243</v>
      </c>
      <c r="AH24" s="457"/>
      <c r="AI24" s="511">
        <f>SUM(AI6:AI23)</f>
        <v>-1.6161824579999997</v>
      </c>
      <c r="AJ24" s="457">
        <f>SUM(AJ6:AJ23)</f>
        <v>541</v>
      </c>
      <c r="AK24" s="457">
        <f>SUM(AK6:AK23)</f>
        <v>172</v>
      </c>
      <c r="AL24" s="457"/>
      <c r="AM24" s="511">
        <f>SUM(AM6:AM23)</f>
        <v>1.5250752430000001</v>
      </c>
      <c r="AN24" s="457">
        <f>SUM(AN6:AN23)</f>
        <v>555</v>
      </c>
      <c r="AO24" s="457">
        <f>SUM(AO6:AO23)</f>
        <v>171</v>
      </c>
      <c r="AP24" s="457"/>
      <c r="AQ24" s="511">
        <f>SUM(AQ6:AQ23)</f>
        <v>1.1368279560000001</v>
      </c>
      <c r="AR24" s="457">
        <f>SUM(AR6:AR23)</f>
        <v>565</v>
      </c>
      <c r="AS24" s="457">
        <f>SUM(AS6:AS23)</f>
        <v>210</v>
      </c>
      <c r="AT24" s="457"/>
      <c r="AU24" s="511">
        <f>SUM(AU6:AU23)</f>
        <v>1.2002697180000002</v>
      </c>
      <c r="AV24" s="457">
        <f>SUM(AV6:AV23)</f>
        <v>585</v>
      </c>
      <c r="AW24" s="457">
        <f>SUM(AW6:AW23)</f>
        <v>0</v>
      </c>
      <c r="AX24" s="457"/>
      <c r="AY24" s="511">
        <f ca="1">SUM(AY6:AY23)</f>
        <v>0</v>
      </c>
      <c r="AZ24" s="457">
        <f t="shared" ref="AZ24:BN24" si="32">SUM(AZ6:AZ23)</f>
        <v>1079</v>
      </c>
      <c r="BA24" s="458">
        <f t="shared" si="32"/>
        <v>322</v>
      </c>
      <c r="BB24" s="511">
        <f t="shared" si="32"/>
        <v>2.2222347842000003</v>
      </c>
      <c r="BC24" s="457">
        <f t="shared" si="32"/>
        <v>1215</v>
      </c>
      <c r="BD24" s="458">
        <f t="shared" ca="1" si="32"/>
        <v>469</v>
      </c>
      <c r="BE24" s="511">
        <f t="shared" ca="1" si="32"/>
        <v>1.7906428231</v>
      </c>
      <c r="BF24" s="511">
        <f t="shared" si="32"/>
        <v>1461</v>
      </c>
      <c r="BG24" s="457">
        <f t="shared" si="32"/>
        <v>509</v>
      </c>
      <c r="BH24" s="458">
        <f t="shared" si="32"/>
        <v>0.58369991000000021</v>
      </c>
      <c r="BI24" s="457">
        <f t="shared" si="32"/>
        <v>1705</v>
      </c>
      <c r="BJ24" s="511">
        <f t="shared" si="32"/>
        <v>381</v>
      </c>
      <c r="BK24" s="511">
        <f t="shared" ca="1" si="32"/>
        <v>2.3370976740000007</v>
      </c>
      <c r="BL24" s="511">
        <f t="shared" si="32"/>
        <v>5460</v>
      </c>
      <c r="BM24" s="511">
        <f t="shared" ca="1" si="32"/>
        <v>1681</v>
      </c>
      <c r="BN24" s="511">
        <f t="shared" ca="1" si="32"/>
        <v>6.9336751913000008</v>
      </c>
      <c r="BO24" s="525">
        <f ca="1">IFERROR(BM24/BL24,0)</f>
        <v>0.30787545787545789</v>
      </c>
      <c r="BP24" s="472"/>
      <c r="BQ24" s="457">
        <f t="shared" ref="BQ24:BR24" si="33">SUM(BQ6:BQ23)</f>
        <v>2294</v>
      </c>
      <c r="BR24" s="457">
        <f t="shared" ca="1" si="33"/>
        <v>791</v>
      </c>
      <c r="BS24" s="467">
        <f t="shared" ref="BS24:BS70" ca="1" si="34">IFERROR(BR24/BQ24,0)</f>
        <v>0.34481255448997383</v>
      </c>
      <c r="BT24" s="511">
        <f t="shared" ref="BT24" ca="1" si="35">SUM(BT6:BT23)</f>
        <v>4.0128776073000001</v>
      </c>
      <c r="BU24" s="525">
        <f t="shared" ca="1" si="11"/>
        <v>0.14487179487179488</v>
      </c>
    </row>
    <row r="25" spans="1:73" s="31" customFormat="1" ht="12.6" customHeight="1">
      <c r="A25" s="504"/>
      <c r="B25" s="459"/>
      <c r="C25" s="460"/>
      <c r="D25" s="459"/>
      <c r="E25" s="459"/>
      <c r="F25" s="459"/>
      <c r="G25" s="512"/>
      <c r="H25" s="459"/>
      <c r="I25" s="459"/>
      <c r="J25" s="459"/>
      <c r="K25" s="512"/>
      <c r="L25" s="459"/>
      <c r="M25" s="459"/>
      <c r="N25" s="459"/>
      <c r="O25" s="512"/>
      <c r="P25" s="459"/>
      <c r="Q25" s="459"/>
      <c r="R25" s="459"/>
      <c r="S25" s="512"/>
      <c r="T25" s="459"/>
      <c r="U25" s="459"/>
      <c r="V25" s="459"/>
      <c r="W25" s="512"/>
      <c r="X25" s="459"/>
      <c r="Y25" s="459"/>
      <c r="Z25" s="459"/>
      <c r="AA25" s="512"/>
      <c r="AB25" s="459"/>
      <c r="AC25" s="459"/>
      <c r="AD25" s="459"/>
      <c r="AE25" s="512"/>
      <c r="AF25" s="459"/>
      <c r="AG25" s="459"/>
      <c r="AH25" s="459"/>
      <c r="AI25" s="512"/>
      <c r="AJ25" s="459"/>
      <c r="AK25" s="459"/>
      <c r="AL25" s="459"/>
      <c r="AM25" s="512"/>
      <c r="AN25" s="459"/>
      <c r="AO25" s="459"/>
      <c r="AP25" s="459"/>
      <c r="AQ25" s="512"/>
      <c r="AR25" s="459"/>
      <c r="AS25" s="459"/>
      <c r="AT25" s="459"/>
      <c r="AU25" s="512"/>
      <c r="AV25" s="459"/>
      <c r="AW25" s="459"/>
      <c r="AX25" s="459"/>
      <c r="AY25" s="512"/>
      <c r="AZ25" s="459"/>
      <c r="BA25" s="460"/>
      <c r="BB25" s="512"/>
      <c r="BC25" s="459"/>
      <c r="BD25" s="460"/>
      <c r="BE25" s="460"/>
      <c r="BF25" s="460"/>
      <c r="BG25" s="459"/>
      <c r="BH25" s="460"/>
      <c r="BI25" s="459"/>
      <c r="BJ25" s="459"/>
      <c r="BK25" s="460"/>
      <c r="BL25" s="459"/>
      <c r="BM25" s="459"/>
      <c r="BN25" s="460"/>
      <c r="BO25" s="526">
        <f t="shared" ref="BO25:BO80" si="36">IFERROR(BL25/BK25,0)</f>
        <v>0</v>
      </c>
      <c r="BP25" s="473"/>
      <c r="BQ25" s="522"/>
      <c r="BR25" s="492"/>
      <c r="BS25" s="468">
        <f t="shared" si="34"/>
        <v>0</v>
      </c>
      <c r="BT25" s="528"/>
      <c r="BU25" s="526">
        <f t="shared" si="11"/>
        <v>0</v>
      </c>
    </row>
    <row r="26" spans="1:73" ht="12.6" customHeight="1">
      <c r="A26" s="254" t="s">
        <v>33</v>
      </c>
      <c r="B26" s="129">
        <f t="shared" ref="B26:B53" si="37">D26+H26+L26+P26+T26+X26+AB26+AF26+AJ26+AN26+AR26+AV26</f>
        <v>0</v>
      </c>
      <c r="C26" s="257">
        <v>48.428571428571431</v>
      </c>
      <c r="D26" s="129">
        <v>0</v>
      </c>
      <c r="E26" s="129"/>
      <c r="F26" s="129"/>
      <c r="G26" s="509">
        <f t="shared" ref="G26:G53" si="38">E26*(F26-C26)*66.47/10^7</f>
        <v>0</v>
      </c>
      <c r="H26" s="129"/>
      <c r="I26" s="129"/>
      <c r="J26" s="129"/>
      <c r="K26" s="509">
        <f t="shared" ref="K26:K53" si="39">I26*(J26-C26)*66.91/10^7</f>
        <v>0</v>
      </c>
      <c r="L26" s="129"/>
      <c r="M26" s="129"/>
      <c r="N26" s="129"/>
      <c r="O26" s="509">
        <f t="shared" ref="O26:O53" si="40">M26*(N26-C26)*67.28/10^7</f>
        <v>0</v>
      </c>
      <c r="P26" s="129"/>
      <c r="Q26" s="129"/>
      <c r="R26" s="129"/>
      <c r="S26" s="509">
        <f t="shared" ref="S26:S53" si="41">Q26*(R26-C26)*67.28/10^7</f>
        <v>0</v>
      </c>
      <c r="T26" s="129"/>
      <c r="U26" s="129"/>
      <c r="V26" s="129">
        <f t="shared" ref="V26:V52" si="42">(T26*U26)/10^6</f>
        <v>0</v>
      </c>
      <c r="W26" s="509">
        <f t="shared" ref="W26:W53" si="43">U26*(V26-C26)*66.93/10^7</f>
        <v>0</v>
      </c>
      <c r="X26" s="129"/>
      <c r="Y26" s="129"/>
      <c r="Z26" s="129"/>
      <c r="AA26" s="509">
        <f t="shared" ref="AA26:AA53" si="44">Y26*(Z26-C26)*66.69/10^7</f>
        <v>0</v>
      </c>
      <c r="AB26" s="129"/>
      <c r="AC26" s="129"/>
      <c r="AD26" s="129"/>
      <c r="AE26" s="509">
        <f t="shared" ref="AE26:AE39" si="45">AC26*(AD26-G26)*66.73/10^7</f>
        <v>0</v>
      </c>
      <c r="AF26" s="129"/>
      <c r="AG26" s="129"/>
      <c r="AH26" s="129"/>
      <c r="AI26" s="509">
        <f t="shared" ref="AI26:AI39" si="46">AG26*(AH26-K26)*67.58/10^7</f>
        <v>0</v>
      </c>
      <c r="AJ26" s="129"/>
      <c r="AK26" s="129"/>
      <c r="AL26" s="129"/>
      <c r="AM26" s="509">
        <f t="shared" ref="AM26:AM39" si="47">AK26*(AL26-O26)*67.91/10^7</f>
        <v>0</v>
      </c>
      <c r="AN26" s="129"/>
      <c r="AO26" s="129"/>
      <c r="AP26" s="129"/>
      <c r="AQ26" s="509">
        <f t="shared" ref="AQ26:AQ39" si="48">AO26*(AP26-S26)*68.01/10^7</f>
        <v>0</v>
      </c>
      <c r="AR26" s="129"/>
      <c r="AS26" s="129"/>
      <c r="AT26" s="129"/>
      <c r="AU26" s="509">
        <f t="shared" ref="AU26:AU39" si="49">AS26*(AT26-W26)*67.01/10^7</f>
        <v>0</v>
      </c>
      <c r="AV26" s="129"/>
      <c r="AW26" s="129"/>
      <c r="AX26" s="129"/>
      <c r="AY26" s="509">
        <f t="shared" ref="AY26:AY39" si="50">AW26*(AX26-AA26)*66.69/10^7</f>
        <v>0</v>
      </c>
      <c r="AZ26" s="23">
        <f t="shared" ref="AZ26:BA53" si="51">+D26+H26+L26</f>
        <v>0</v>
      </c>
      <c r="BA26" s="23">
        <f t="shared" si="51"/>
        <v>0</v>
      </c>
      <c r="BB26" s="509">
        <f t="shared" ref="BB26:BB53" si="52">+G26+K26+O26</f>
        <v>0</v>
      </c>
      <c r="BC26" s="23">
        <f t="shared" ref="BC26:BD53" si="53">+P26+T26+X26</f>
        <v>0</v>
      </c>
      <c r="BD26" s="257">
        <f t="shared" si="53"/>
        <v>0</v>
      </c>
      <c r="BE26" s="257">
        <f t="shared" ref="BE26:BE53" si="54">S26+W26+AA26</f>
        <v>0</v>
      </c>
      <c r="BF26" s="257">
        <f t="shared" ref="BF26:BG53" si="55">AB26+AF26+AJ26</f>
        <v>0</v>
      </c>
      <c r="BG26" s="23">
        <f t="shared" si="55"/>
        <v>0</v>
      </c>
      <c r="BH26" s="257">
        <f t="shared" ref="BH26:BH53" si="56">AE26+AI26+AM26</f>
        <v>0</v>
      </c>
      <c r="BI26" s="23">
        <f t="shared" ref="BI26:BJ53" si="57">+AN26+AR26+AV26</f>
        <v>0</v>
      </c>
      <c r="BJ26" s="23">
        <f t="shared" si="57"/>
        <v>0</v>
      </c>
      <c r="BK26" s="257">
        <f t="shared" ref="BK26:BK53" si="58">AQ26+AU26+AY26</f>
        <v>0</v>
      </c>
      <c r="BL26" s="23">
        <f t="shared" ref="BL26:BN53" si="59">AZ26+BC26+BF26+BI26</f>
        <v>0</v>
      </c>
      <c r="BM26" s="23">
        <f t="shared" si="59"/>
        <v>0</v>
      </c>
      <c r="BN26" s="257">
        <f t="shared" si="59"/>
        <v>0</v>
      </c>
      <c r="BO26" s="466">
        <f t="shared" ref="BO26:BO53" si="60">IFERROR(BM26/BL26,0)</f>
        <v>0</v>
      </c>
      <c r="BP26" s="472"/>
      <c r="BQ26" s="23">
        <f t="shared" ref="BQ26:BQ53" si="61">D26+H26+L26+P26+T26+X26</f>
        <v>0</v>
      </c>
      <c r="BR26" s="23">
        <f t="shared" ref="BR26:BR53" si="62">E26+I26+M26+Q26+U26+Y26</f>
        <v>0</v>
      </c>
      <c r="BS26" s="466">
        <f t="shared" si="34"/>
        <v>0</v>
      </c>
      <c r="BT26" s="509">
        <f t="shared" ref="BT26:BT53" si="63">G26+K26+O26+S26+W26+AA26</f>
        <v>0</v>
      </c>
      <c r="BU26" s="466">
        <f t="shared" si="11"/>
        <v>0</v>
      </c>
    </row>
    <row r="27" spans="1:73" ht="12.6" customHeight="1">
      <c r="A27" s="254" t="s">
        <v>34</v>
      </c>
      <c r="B27" s="129">
        <f t="shared" si="37"/>
        <v>0</v>
      </c>
      <c r="C27" s="257">
        <v>66.828571428571422</v>
      </c>
      <c r="D27" s="129">
        <v>0</v>
      </c>
      <c r="E27" s="129"/>
      <c r="F27" s="129"/>
      <c r="G27" s="509">
        <f t="shared" si="38"/>
        <v>0</v>
      </c>
      <c r="H27" s="129"/>
      <c r="I27" s="129"/>
      <c r="J27" s="129"/>
      <c r="K27" s="509">
        <f t="shared" si="39"/>
        <v>0</v>
      </c>
      <c r="L27" s="129"/>
      <c r="M27" s="129"/>
      <c r="N27" s="129"/>
      <c r="O27" s="509">
        <f t="shared" si="40"/>
        <v>0</v>
      </c>
      <c r="P27" s="129"/>
      <c r="Q27" s="129"/>
      <c r="R27" s="129"/>
      <c r="S27" s="509">
        <f t="shared" si="41"/>
        <v>0</v>
      </c>
      <c r="T27" s="129"/>
      <c r="U27" s="129"/>
      <c r="V27" s="129">
        <f t="shared" si="42"/>
        <v>0</v>
      </c>
      <c r="W27" s="509">
        <f t="shared" si="43"/>
        <v>0</v>
      </c>
      <c r="X27" s="129"/>
      <c r="Y27" s="129"/>
      <c r="Z27" s="129"/>
      <c r="AA27" s="509">
        <f t="shared" si="44"/>
        <v>0</v>
      </c>
      <c r="AB27" s="129"/>
      <c r="AC27" s="129"/>
      <c r="AD27" s="129"/>
      <c r="AE27" s="509">
        <f t="shared" si="45"/>
        <v>0</v>
      </c>
      <c r="AF27" s="129"/>
      <c r="AG27" s="129"/>
      <c r="AH27" s="129"/>
      <c r="AI27" s="509">
        <f t="shared" si="46"/>
        <v>0</v>
      </c>
      <c r="AJ27" s="129"/>
      <c r="AK27" s="129"/>
      <c r="AL27" s="129"/>
      <c r="AM27" s="509">
        <f t="shared" si="47"/>
        <v>0</v>
      </c>
      <c r="AN27" s="129"/>
      <c r="AO27" s="129"/>
      <c r="AP27" s="129"/>
      <c r="AQ27" s="509">
        <f t="shared" si="48"/>
        <v>0</v>
      </c>
      <c r="AR27" s="129"/>
      <c r="AS27" s="129"/>
      <c r="AT27" s="129"/>
      <c r="AU27" s="509">
        <f t="shared" si="49"/>
        <v>0</v>
      </c>
      <c r="AV27" s="129"/>
      <c r="AW27" s="129"/>
      <c r="AX27" s="129"/>
      <c r="AY27" s="509">
        <f t="shared" si="50"/>
        <v>0</v>
      </c>
      <c r="AZ27" s="23">
        <f t="shared" si="51"/>
        <v>0</v>
      </c>
      <c r="BA27" s="23">
        <f t="shared" si="51"/>
        <v>0</v>
      </c>
      <c r="BB27" s="509">
        <f t="shared" si="52"/>
        <v>0</v>
      </c>
      <c r="BC27" s="23">
        <f t="shared" si="53"/>
        <v>0</v>
      </c>
      <c r="BD27" s="257">
        <f t="shared" si="53"/>
        <v>0</v>
      </c>
      <c r="BE27" s="257">
        <f t="shared" si="54"/>
        <v>0</v>
      </c>
      <c r="BF27" s="257">
        <f t="shared" si="55"/>
        <v>0</v>
      </c>
      <c r="BG27" s="23">
        <f t="shared" si="55"/>
        <v>0</v>
      </c>
      <c r="BH27" s="257">
        <f t="shared" si="56"/>
        <v>0</v>
      </c>
      <c r="BI27" s="23">
        <f t="shared" si="57"/>
        <v>0</v>
      </c>
      <c r="BJ27" s="23">
        <f t="shared" si="57"/>
        <v>0</v>
      </c>
      <c r="BK27" s="257">
        <f t="shared" si="58"/>
        <v>0</v>
      </c>
      <c r="BL27" s="23">
        <f t="shared" si="59"/>
        <v>0</v>
      </c>
      <c r="BM27" s="23">
        <f t="shared" si="59"/>
        <v>0</v>
      </c>
      <c r="BN27" s="257">
        <f t="shared" si="59"/>
        <v>0</v>
      </c>
      <c r="BO27" s="466">
        <f t="shared" si="60"/>
        <v>0</v>
      </c>
      <c r="BP27" s="472"/>
      <c r="BQ27" s="23">
        <f t="shared" si="61"/>
        <v>0</v>
      </c>
      <c r="BR27" s="23">
        <f t="shared" si="62"/>
        <v>0</v>
      </c>
      <c r="BS27" s="466">
        <f t="shared" si="34"/>
        <v>0</v>
      </c>
      <c r="BT27" s="509">
        <f t="shared" si="63"/>
        <v>0</v>
      </c>
      <c r="BU27" s="466">
        <f t="shared" si="11"/>
        <v>0</v>
      </c>
    </row>
    <row r="28" spans="1:73" ht="12.6" customHeight="1">
      <c r="A28" s="254" t="s">
        <v>62</v>
      </c>
      <c r="B28" s="129">
        <f t="shared" si="37"/>
        <v>0</v>
      </c>
      <c r="C28" s="257">
        <v>0</v>
      </c>
      <c r="D28" s="129"/>
      <c r="E28" s="129"/>
      <c r="F28" s="129"/>
      <c r="G28" s="509">
        <f t="shared" si="38"/>
        <v>0</v>
      </c>
      <c r="H28" s="129"/>
      <c r="I28" s="129"/>
      <c r="J28" s="129"/>
      <c r="K28" s="509">
        <f t="shared" si="39"/>
        <v>0</v>
      </c>
      <c r="L28" s="129"/>
      <c r="M28" s="129"/>
      <c r="N28" s="129"/>
      <c r="O28" s="509">
        <f t="shared" si="40"/>
        <v>0</v>
      </c>
      <c r="P28" s="129"/>
      <c r="Q28" s="129"/>
      <c r="R28" s="129"/>
      <c r="S28" s="509">
        <f t="shared" si="41"/>
        <v>0</v>
      </c>
      <c r="T28" s="129"/>
      <c r="U28" s="129"/>
      <c r="V28" s="129">
        <f t="shared" si="42"/>
        <v>0</v>
      </c>
      <c r="W28" s="509">
        <f t="shared" si="43"/>
        <v>0</v>
      </c>
      <c r="X28" s="129"/>
      <c r="Y28" s="129"/>
      <c r="Z28" s="129"/>
      <c r="AA28" s="509">
        <f t="shared" si="44"/>
        <v>0</v>
      </c>
      <c r="AB28" s="129"/>
      <c r="AC28" s="129"/>
      <c r="AD28" s="129"/>
      <c r="AE28" s="509">
        <f t="shared" si="45"/>
        <v>0</v>
      </c>
      <c r="AF28" s="129"/>
      <c r="AG28" s="129"/>
      <c r="AH28" s="129"/>
      <c r="AI28" s="509">
        <f t="shared" si="46"/>
        <v>0</v>
      </c>
      <c r="AJ28" s="129"/>
      <c r="AK28" s="129"/>
      <c r="AL28" s="129"/>
      <c r="AM28" s="509">
        <f t="shared" si="47"/>
        <v>0</v>
      </c>
      <c r="AN28" s="129"/>
      <c r="AO28" s="129"/>
      <c r="AP28" s="129"/>
      <c r="AQ28" s="509">
        <f t="shared" si="48"/>
        <v>0</v>
      </c>
      <c r="AR28" s="129"/>
      <c r="AS28" s="129"/>
      <c r="AT28" s="129"/>
      <c r="AU28" s="509">
        <f t="shared" si="49"/>
        <v>0</v>
      </c>
      <c r="AV28" s="129"/>
      <c r="AW28" s="129"/>
      <c r="AX28" s="129"/>
      <c r="AY28" s="509">
        <f t="shared" si="50"/>
        <v>0</v>
      </c>
      <c r="AZ28" s="23">
        <f t="shared" si="51"/>
        <v>0</v>
      </c>
      <c r="BA28" s="23">
        <f t="shared" si="51"/>
        <v>0</v>
      </c>
      <c r="BB28" s="509">
        <f t="shared" si="52"/>
        <v>0</v>
      </c>
      <c r="BC28" s="23">
        <f t="shared" si="53"/>
        <v>0</v>
      </c>
      <c r="BD28" s="257">
        <f t="shared" si="53"/>
        <v>0</v>
      </c>
      <c r="BE28" s="257">
        <f t="shared" si="54"/>
        <v>0</v>
      </c>
      <c r="BF28" s="257">
        <f t="shared" si="55"/>
        <v>0</v>
      </c>
      <c r="BG28" s="23">
        <f t="shared" si="55"/>
        <v>0</v>
      </c>
      <c r="BH28" s="257">
        <f t="shared" si="56"/>
        <v>0</v>
      </c>
      <c r="BI28" s="23">
        <f t="shared" si="57"/>
        <v>0</v>
      </c>
      <c r="BJ28" s="23">
        <f t="shared" si="57"/>
        <v>0</v>
      </c>
      <c r="BK28" s="257">
        <f t="shared" si="58"/>
        <v>0</v>
      </c>
      <c r="BL28" s="23">
        <f t="shared" si="59"/>
        <v>0</v>
      </c>
      <c r="BM28" s="23">
        <f t="shared" si="59"/>
        <v>0</v>
      </c>
      <c r="BN28" s="257">
        <f t="shared" si="59"/>
        <v>0</v>
      </c>
      <c r="BO28" s="466">
        <f t="shared" si="60"/>
        <v>0</v>
      </c>
      <c r="BP28" s="472"/>
      <c r="BQ28" s="23">
        <f t="shared" si="61"/>
        <v>0</v>
      </c>
      <c r="BR28" s="23">
        <f t="shared" si="62"/>
        <v>0</v>
      </c>
      <c r="BS28" s="466">
        <f t="shared" si="34"/>
        <v>0</v>
      </c>
      <c r="BT28" s="509">
        <f t="shared" si="63"/>
        <v>0</v>
      </c>
      <c r="BU28" s="466">
        <f t="shared" si="11"/>
        <v>0</v>
      </c>
    </row>
    <row r="29" spans="1:73" ht="12.6" customHeight="1">
      <c r="A29" s="254" t="s">
        <v>32</v>
      </c>
      <c r="B29" s="129">
        <f t="shared" si="37"/>
        <v>221</v>
      </c>
      <c r="C29" s="257">
        <v>48.428571428571431</v>
      </c>
      <c r="D29" s="129">
        <v>56</v>
      </c>
      <c r="E29" s="129">
        <v>58</v>
      </c>
      <c r="F29" s="129">
        <v>793</v>
      </c>
      <c r="G29" s="509">
        <f t="shared" si="38"/>
        <v>0.28705164457142857</v>
      </c>
      <c r="H29" s="129"/>
      <c r="I29" s="129"/>
      <c r="J29" s="129"/>
      <c r="K29" s="509">
        <f t="shared" si="39"/>
        <v>0</v>
      </c>
      <c r="L29" s="129"/>
      <c r="M29" s="129"/>
      <c r="N29" s="129"/>
      <c r="O29" s="509">
        <f t="shared" si="40"/>
        <v>0</v>
      </c>
      <c r="P29" s="129">
        <v>55</v>
      </c>
      <c r="Q29" s="129"/>
      <c r="R29" s="129"/>
      <c r="S29" s="509">
        <f t="shared" si="41"/>
        <v>0</v>
      </c>
      <c r="T29" s="129"/>
      <c r="U29" s="129"/>
      <c r="V29" s="129">
        <f t="shared" si="42"/>
        <v>0</v>
      </c>
      <c r="W29" s="509">
        <f t="shared" si="43"/>
        <v>0</v>
      </c>
      <c r="X29" s="129"/>
      <c r="Y29" s="129">
        <v>72</v>
      </c>
      <c r="Z29" s="129">
        <v>853</v>
      </c>
      <c r="AA29" s="509">
        <f t="shared" si="44"/>
        <v>0.38632945371428568</v>
      </c>
      <c r="AB29" s="129"/>
      <c r="AC29" s="129"/>
      <c r="AD29" s="129"/>
      <c r="AE29" s="509">
        <f t="shared" si="45"/>
        <v>0</v>
      </c>
      <c r="AF29" s="129">
        <v>55</v>
      </c>
      <c r="AG29" s="129"/>
      <c r="AH29" s="129"/>
      <c r="AI29" s="509">
        <f t="shared" si="46"/>
        <v>0</v>
      </c>
      <c r="AJ29" s="129"/>
      <c r="AK29" s="129">
        <v>58</v>
      </c>
      <c r="AL29" s="129">
        <v>997</v>
      </c>
      <c r="AM29" s="509">
        <f t="shared" si="47"/>
        <v>0.39269636599999996</v>
      </c>
      <c r="AN29" s="129"/>
      <c r="AO29" s="129">
        <v>29</v>
      </c>
      <c r="AP29" s="129">
        <v>993</v>
      </c>
      <c r="AQ29" s="509">
        <f t="shared" si="48"/>
        <v>0.19584839700000001</v>
      </c>
      <c r="AR29" s="129"/>
      <c r="AS29" s="129"/>
      <c r="AT29" s="129"/>
      <c r="AU29" s="509">
        <f t="shared" si="49"/>
        <v>0</v>
      </c>
      <c r="AV29" s="129">
        <v>55</v>
      </c>
      <c r="AW29" s="129"/>
      <c r="AX29" s="129"/>
      <c r="AY29" s="509">
        <f t="shared" si="50"/>
        <v>0</v>
      </c>
      <c r="AZ29" s="23">
        <f t="shared" si="51"/>
        <v>56</v>
      </c>
      <c r="BA29" s="23">
        <f t="shared" si="51"/>
        <v>58</v>
      </c>
      <c r="BB29" s="509">
        <f t="shared" si="52"/>
        <v>0.28705164457142857</v>
      </c>
      <c r="BC29" s="23">
        <f t="shared" si="53"/>
        <v>55</v>
      </c>
      <c r="BD29" s="257">
        <f t="shared" si="53"/>
        <v>72</v>
      </c>
      <c r="BE29" s="257">
        <f t="shared" si="54"/>
        <v>0.38632945371428568</v>
      </c>
      <c r="BF29" s="257">
        <f t="shared" si="55"/>
        <v>55</v>
      </c>
      <c r="BG29" s="23">
        <f t="shared" si="55"/>
        <v>58</v>
      </c>
      <c r="BH29" s="257">
        <f t="shared" si="56"/>
        <v>0.39269636599999996</v>
      </c>
      <c r="BI29" s="23">
        <f t="shared" si="57"/>
        <v>55</v>
      </c>
      <c r="BJ29" s="23">
        <f t="shared" si="57"/>
        <v>29</v>
      </c>
      <c r="BK29" s="257">
        <f t="shared" si="58"/>
        <v>0.19584839700000001</v>
      </c>
      <c r="BL29" s="23">
        <f t="shared" si="59"/>
        <v>221</v>
      </c>
      <c r="BM29" s="23">
        <f t="shared" si="59"/>
        <v>217</v>
      </c>
      <c r="BN29" s="257">
        <f t="shared" si="59"/>
        <v>1.2619258612857143</v>
      </c>
      <c r="BO29" s="466">
        <f t="shared" si="60"/>
        <v>0.98190045248868774</v>
      </c>
      <c r="BP29" s="472"/>
      <c r="BQ29" s="23">
        <f t="shared" si="61"/>
        <v>111</v>
      </c>
      <c r="BR29" s="23">
        <f t="shared" si="62"/>
        <v>130</v>
      </c>
      <c r="BS29" s="466">
        <f t="shared" si="34"/>
        <v>1.1711711711711712</v>
      </c>
      <c r="BT29" s="509">
        <f t="shared" si="63"/>
        <v>0.67338109828571424</v>
      </c>
      <c r="BU29" s="466">
        <f t="shared" si="11"/>
        <v>0.58823529411764708</v>
      </c>
    </row>
    <row r="30" spans="1:73" ht="12.6" customHeight="1">
      <c r="A30" s="254" t="s">
        <v>31</v>
      </c>
      <c r="B30" s="129">
        <f t="shared" si="37"/>
        <v>0</v>
      </c>
      <c r="C30" s="257">
        <v>66.828571428571422</v>
      </c>
      <c r="D30" s="129"/>
      <c r="E30" s="129"/>
      <c r="F30" s="129"/>
      <c r="G30" s="509">
        <f t="shared" si="38"/>
        <v>0</v>
      </c>
      <c r="H30" s="129"/>
      <c r="I30" s="129"/>
      <c r="J30" s="129"/>
      <c r="K30" s="509">
        <f t="shared" si="39"/>
        <v>0</v>
      </c>
      <c r="L30" s="129"/>
      <c r="M30" s="129">
        <v>43</v>
      </c>
      <c r="N30" s="129">
        <v>801.3</v>
      </c>
      <c r="O30" s="509">
        <f t="shared" si="40"/>
        <v>0.21248552217142858</v>
      </c>
      <c r="P30" s="129"/>
      <c r="Q30" s="129"/>
      <c r="R30" s="129"/>
      <c r="S30" s="509">
        <f t="shared" si="41"/>
        <v>0</v>
      </c>
      <c r="T30" s="129"/>
      <c r="U30" s="129"/>
      <c r="V30" s="129">
        <f t="shared" si="42"/>
        <v>0</v>
      </c>
      <c r="W30" s="509">
        <f t="shared" si="43"/>
        <v>0</v>
      </c>
      <c r="X30" s="129"/>
      <c r="Y30" s="129"/>
      <c r="Z30" s="129"/>
      <c r="AA30" s="509">
        <f t="shared" si="44"/>
        <v>0</v>
      </c>
      <c r="AB30" s="129"/>
      <c r="AC30" s="129"/>
      <c r="AD30" s="129"/>
      <c r="AE30" s="509">
        <f t="shared" si="45"/>
        <v>0</v>
      </c>
      <c r="AF30" s="129"/>
      <c r="AG30" s="129"/>
      <c r="AH30" s="129"/>
      <c r="AI30" s="509">
        <f t="shared" si="46"/>
        <v>0</v>
      </c>
      <c r="AJ30" s="129"/>
      <c r="AK30" s="129"/>
      <c r="AL30" s="129"/>
      <c r="AM30" s="509">
        <f t="shared" si="47"/>
        <v>0</v>
      </c>
      <c r="AN30" s="129"/>
      <c r="AO30" s="129"/>
      <c r="AP30" s="129"/>
      <c r="AQ30" s="509">
        <f t="shared" si="48"/>
        <v>0</v>
      </c>
      <c r="AR30" s="129"/>
      <c r="AS30" s="129"/>
      <c r="AT30" s="129"/>
      <c r="AU30" s="509">
        <f t="shared" si="49"/>
        <v>0</v>
      </c>
      <c r="AV30" s="129"/>
      <c r="AW30" s="129"/>
      <c r="AX30" s="129"/>
      <c r="AY30" s="509">
        <f t="shared" si="50"/>
        <v>0</v>
      </c>
      <c r="AZ30" s="23">
        <f t="shared" si="51"/>
        <v>0</v>
      </c>
      <c r="BA30" s="23">
        <f t="shared" si="51"/>
        <v>43</v>
      </c>
      <c r="BB30" s="509">
        <f t="shared" si="52"/>
        <v>0.21248552217142858</v>
      </c>
      <c r="BC30" s="23">
        <f t="shared" si="53"/>
        <v>0</v>
      </c>
      <c r="BD30" s="257">
        <f t="shared" si="53"/>
        <v>0</v>
      </c>
      <c r="BE30" s="257">
        <f t="shared" si="54"/>
        <v>0</v>
      </c>
      <c r="BF30" s="257">
        <f t="shared" si="55"/>
        <v>0</v>
      </c>
      <c r="BG30" s="23">
        <f t="shared" si="55"/>
        <v>0</v>
      </c>
      <c r="BH30" s="257">
        <f t="shared" si="56"/>
        <v>0</v>
      </c>
      <c r="BI30" s="23">
        <f t="shared" si="57"/>
        <v>0</v>
      </c>
      <c r="BJ30" s="23">
        <f t="shared" si="57"/>
        <v>0</v>
      </c>
      <c r="BK30" s="257">
        <f t="shared" si="58"/>
        <v>0</v>
      </c>
      <c r="BL30" s="23">
        <f t="shared" si="59"/>
        <v>0</v>
      </c>
      <c r="BM30" s="23">
        <f t="shared" si="59"/>
        <v>43</v>
      </c>
      <c r="BN30" s="257">
        <f t="shared" si="59"/>
        <v>0.21248552217142858</v>
      </c>
      <c r="BO30" s="466">
        <f t="shared" si="60"/>
        <v>0</v>
      </c>
      <c r="BP30" s="472"/>
      <c r="BQ30" s="23">
        <f t="shared" si="61"/>
        <v>0</v>
      </c>
      <c r="BR30" s="23">
        <f t="shared" si="62"/>
        <v>43</v>
      </c>
      <c r="BS30" s="466">
        <f t="shared" si="34"/>
        <v>0</v>
      </c>
      <c r="BT30" s="509">
        <f t="shared" si="63"/>
        <v>0.21248552217142858</v>
      </c>
      <c r="BU30" s="466">
        <f t="shared" si="11"/>
        <v>0</v>
      </c>
    </row>
    <row r="31" spans="1:73" ht="12.6" customHeight="1">
      <c r="A31" s="254" t="s">
        <v>35</v>
      </c>
      <c r="B31" s="129">
        <f t="shared" si="37"/>
        <v>0</v>
      </c>
      <c r="C31" s="257"/>
      <c r="D31" s="129"/>
      <c r="E31" s="129"/>
      <c r="F31" s="129"/>
      <c r="G31" s="509">
        <f t="shared" si="38"/>
        <v>0</v>
      </c>
      <c r="H31" s="129"/>
      <c r="I31" s="129"/>
      <c r="J31" s="129"/>
      <c r="K31" s="509">
        <f t="shared" si="39"/>
        <v>0</v>
      </c>
      <c r="L31" s="129"/>
      <c r="M31" s="129"/>
      <c r="N31" s="129"/>
      <c r="O31" s="509">
        <f t="shared" si="40"/>
        <v>0</v>
      </c>
      <c r="P31" s="129"/>
      <c r="Q31" s="129"/>
      <c r="R31" s="129"/>
      <c r="S31" s="509">
        <f t="shared" si="41"/>
        <v>0</v>
      </c>
      <c r="T31" s="129"/>
      <c r="U31" s="129"/>
      <c r="V31" s="129">
        <f t="shared" si="42"/>
        <v>0</v>
      </c>
      <c r="W31" s="509">
        <f t="shared" si="43"/>
        <v>0</v>
      </c>
      <c r="X31" s="129"/>
      <c r="Y31" s="129"/>
      <c r="Z31" s="129"/>
      <c r="AA31" s="509">
        <f t="shared" si="44"/>
        <v>0</v>
      </c>
      <c r="AB31" s="129"/>
      <c r="AC31" s="129"/>
      <c r="AD31" s="129"/>
      <c r="AE31" s="509">
        <f t="shared" si="45"/>
        <v>0</v>
      </c>
      <c r="AF31" s="129"/>
      <c r="AG31" s="129"/>
      <c r="AH31" s="129"/>
      <c r="AI31" s="509">
        <f t="shared" si="46"/>
        <v>0</v>
      </c>
      <c r="AJ31" s="129"/>
      <c r="AK31" s="129"/>
      <c r="AL31" s="129"/>
      <c r="AM31" s="509">
        <f t="shared" si="47"/>
        <v>0</v>
      </c>
      <c r="AN31" s="129"/>
      <c r="AO31" s="129"/>
      <c r="AP31" s="129"/>
      <c r="AQ31" s="509">
        <f t="shared" si="48"/>
        <v>0</v>
      </c>
      <c r="AR31" s="129"/>
      <c r="AS31" s="129"/>
      <c r="AT31" s="129"/>
      <c r="AU31" s="509">
        <f t="shared" si="49"/>
        <v>0</v>
      </c>
      <c r="AV31" s="129"/>
      <c r="AW31" s="129"/>
      <c r="AX31" s="129"/>
      <c r="AY31" s="509">
        <f t="shared" si="50"/>
        <v>0</v>
      </c>
      <c r="AZ31" s="23">
        <f t="shared" si="51"/>
        <v>0</v>
      </c>
      <c r="BA31" s="23">
        <f t="shared" si="51"/>
        <v>0</v>
      </c>
      <c r="BB31" s="509">
        <f t="shared" si="52"/>
        <v>0</v>
      </c>
      <c r="BC31" s="23">
        <f t="shared" si="53"/>
        <v>0</v>
      </c>
      <c r="BD31" s="257">
        <f t="shared" si="53"/>
        <v>0</v>
      </c>
      <c r="BE31" s="257">
        <f t="shared" si="54"/>
        <v>0</v>
      </c>
      <c r="BF31" s="257">
        <f t="shared" si="55"/>
        <v>0</v>
      </c>
      <c r="BG31" s="23">
        <f t="shared" si="55"/>
        <v>0</v>
      </c>
      <c r="BH31" s="257">
        <f t="shared" si="56"/>
        <v>0</v>
      </c>
      <c r="BI31" s="23">
        <f t="shared" si="57"/>
        <v>0</v>
      </c>
      <c r="BJ31" s="23">
        <f t="shared" si="57"/>
        <v>0</v>
      </c>
      <c r="BK31" s="257">
        <f t="shared" si="58"/>
        <v>0</v>
      </c>
      <c r="BL31" s="23">
        <f t="shared" si="59"/>
        <v>0</v>
      </c>
      <c r="BM31" s="23">
        <f t="shared" si="59"/>
        <v>0</v>
      </c>
      <c r="BN31" s="257">
        <f t="shared" si="59"/>
        <v>0</v>
      </c>
      <c r="BO31" s="466">
        <f t="shared" si="60"/>
        <v>0</v>
      </c>
      <c r="BP31" s="472"/>
      <c r="BQ31" s="23">
        <f t="shared" si="61"/>
        <v>0</v>
      </c>
      <c r="BR31" s="23">
        <f t="shared" si="62"/>
        <v>0</v>
      </c>
      <c r="BS31" s="466">
        <f t="shared" si="34"/>
        <v>0</v>
      </c>
      <c r="BT31" s="509">
        <f t="shared" si="63"/>
        <v>0</v>
      </c>
      <c r="BU31" s="466">
        <f t="shared" si="11"/>
        <v>0</v>
      </c>
    </row>
    <row r="32" spans="1:73" ht="12.6" customHeight="1">
      <c r="A32" s="254" t="s">
        <v>83</v>
      </c>
      <c r="B32" s="129">
        <f t="shared" si="37"/>
        <v>0</v>
      </c>
      <c r="C32" s="257">
        <v>57.985714285714288</v>
      </c>
      <c r="D32" s="129"/>
      <c r="E32" s="129"/>
      <c r="F32" s="129"/>
      <c r="G32" s="509">
        <f t="shared" si="38"/>
        <v>0</v>
      </c>
      <c r="H32" s="129"/>
      <c r="I32" s="129">
        <v>5</v>
      </c>
      <c r="J32" s="129">
        <v>723.7</v>
      </c>
      <c r="K32" s="509">
        <f t="shared" si="39"/>
        <v>2.2271471428571429E-2</v>
      </c>
      <c r="L32" s="129"/>
      <c r="M32" s="129"/>
      <c r="N32" s="129"/>
      <c r="O32" s="509">
        <f t="shared" si="40"/>
        <v>0</v>
      </c>
      <c r="P32" s="129"/>
      <c r="Q32" s="129"/>
      <c r="R32" s="129"/>
      <c r="S32" s="509">
        <f t="shared" si="41"/>
        <v>0</v>
      </c>
      <c r="T32" s="129"/>
      <c r="U32" s="129"/>
      <c r="V32" s="129">
        <f t="shared" si="42"/>
        <v>0</v>
      </c>
      <c r="W32" s="509">
        <f t="shared" si="43"/>
        <v>0</v>
      </c>
      <c r="X32" s="129"/>
      <c r="Y32" s="129"/>
      <c r="Z32" s="129"/>
      <c r="AA32" s="509">
        <f t="shared" si="44"/>
        <v>0</v>
      </c>
      <c r="AB32" s="129"/>
      <c r="AC32" s="129"/>
      <c r="AD32" s="129"/>
      <c r="AE32" s="509">
        <f t="shared" si="45"/>
        <v>0</v>
      </c>
      <c r="AF32" s="129"/>
      <c r="AG32" s="129"/>
      <c r="AH32" s="129"/>
      <c r="AI32" s="509">
        <f t="shared" si="46"/>
        <v>0</v>
      </c>
      <c r="AJ32" s="129"/>
      <c r="AK32" s="129"/>
      <c r="AL32" s="129"/>
      <c r="AM32" s="509">
        <f t="shared" si="47"/>
        <v>0</v>
      </c>
      <c r="AN32" s="129"/>
      <c r="AO32" s="129"/>
      <c r="AP32" s="129"/>
      <c r="AQ32" s="509">
        <f t="shared" si="48"/>
        <v>0</v>
      </c>
      <c r="AR32" s="129"/>
      <c r="AS32" s="129"/>
      <c r="AT32" s="129"/>
      <c r="AU32" s="509">
        <f t="shared" si="49"/>
        <v>0</v>
      </c>
      <c r="AV32" s="129"/>
      <c r="AW32" s="129"/>
      <c r="AX32" s="129"/>
      <c r="AY32" s="509">
        <f t="shared" si="50"/>
        <v>0</v>
      </c>
      <c r="AZ32" s="23">
        <f t="shared" si="51"/>
        <v>0</v>
      </c>
      <c r="BA32" s="23">
        <f t="shared" si="51"/>
        <v>5</v>
      </c>
      <c r="BB32" s="509">
        <f t="shared" si="52"/>
        <v>2.2271471428571429E-2</v>
      </c>
      <c r="BC32" s="23">
        <f t="shared" si="53"/>
        <v>0</v>
      </c>
      <c r="BD32" s="257">
        <f t="shared" si="53"/>
        <v>0</v>
      </c>
      <c r="BE32" s="257">
        <f t="shared" si="54"/>
        <v>0</v>
      </c>
      <c r="BF32" s="257">
        <f t="shared" si="55"/>
        <v>0</v>
      </c>
      <c r="BG32" s="23">
        <f t="shared" si="55"/>
        <v>0</v>
      </c>
      <c r="BH32" s="257">
        <f t="shared" si="56"/>
        <v>0</v>
      </c>
      <c r="BI32" s="23">
        <f t="shared" si="57"/>
        <v>0</v>
      </c>
      <c r="BJ32" s="23">
        <f t="shared" si="57"/>
        <v>0</v>
      </c>
      <c r="BK32" s="257">
        <f t="shared" si="58"/>
        <v>0</v>
      </c>
      <c r="BL32" s="23">
        <f t="shared" si="59"/>
        <v>0</v>
      </c>
      <c r="BM32" s="23">
        <f t="shared" si="59"/>
        <v>5</v>
      </c>
      <c r="BN32" s="257">
        <f t="shared" si="59"/>
        <v>2.2271471428571429E-2</v>
      </c>
      <c r="BO32" s="466">
        <f t="shared" si="60"/>
        <v>0</v>
      </c>
      <c r="BP32" s="472"/>
      <c r="BQ32" s="23">
        <f t="shared" si="61"/>
        <v>0</v>
      </c>
      <c r="BR32" s="23">
        <f t="shared" si="62"/>
        <v>5</v>
      </c>
      <c r="BS32" s="466">
        <f t="shared" si="34"/>
        <v>0</v>
      </c>
      <c r="BT32" s="509">
        <f t="shared" si="63"/>
        <v>2.2271471428571429E-2</v>
      </c>
      <c r="BU32" s="466">
        <f t="shared" si="11"/>
        <v>0</v>
      </c>
    </row>
    <row r="33" spans="1:73" ht="12.6" customHeight="1">
      <c r="A33" s="254" t="s">
        <v>37</v>
      </c>
      <c r="B33" s="129">
        <f t="shared" si="37"/>
        <v>0</v>
      </c>
      <c r="C33" s="257"/>
      <c r="D33" s="129"/>
      <c r="E33" s="129"/>
      <c r="F33" s="129"/>
      <c r="G33" s="509">
        <f t="shared" si="38"/>
        <v>0</v>
      </c>
      <c r="H33" s="129"/>
      <c r="I33" s="129">
        <v>5</v>
      </c>
      <c r="J33" s="129">
        <v>882</v>
      </c>
      <c r="K33" s="509">
        <f>I33*(J33-783)*66.91/10^7</f>
        <v>3.3120449999999996E-3</v>
      </c>
      <c r="L33" s="129"/>
      <c r="M33" s="129"/>
      <c r="N33" s="129"/>
      <c r="O33" s="509">
        <f t="shared" si="40"/>
        <v>0</v>
      </c>
      <c r="P33" s="129"/>
      <c r="Q33" s="129"/>
      <c r="R33" s="129"/>
      <c r="S33" s="509">
        <f t="shared" si="41"/>
        <v>0</v>
      </c>
      <c r="T33" s="129"/>
      <c r="U33" s="129"/>
      <c r="V33" s="129">
        <f t="shared" si="42"/>
        <v>0</v>
      </c>
      <c r="W33" s="509">
        <f t="shared" si="43"/>
        <v>0</v>
      </c>
      <c r="X33" s="129"/>
      <c r="Y33" s="129"/>
      <c r="Z33" s="129"/>
      <c r="AA33" s="509">
        <f t="shared" si="44"/>
        <v>0</v>
      </c>
      <c r="AB33" s="129"/>
      <c r="AC33" s="129"/>
      <c r="AD33" s="129"/>
      <c r="AE33" s="509">
        <f t="shared" si="45"/>
        <v>0</v>
      </c>
      <c r="AF33" s="129"/>
      <c r="AG33" s="129"/>
      <c r="AH33" s="129"/>
      <c r="AI33" s="509">
        <f t="shared" si="46"/>
        <v>0</v>
      </c>
      <c r="AJ33" s="129"/>
      <c r="AK33" s="129"/>
      <c r="AL33" s="129"/>
      <c r="AM33" s="509">
        <f t="shared" si="47"/>
        <v>0</v>
      </c>
      <c r="AN33" s="129"/>
      <c r="AO33" s="129"/>
      <c r="AP33" s="129"/>
      <c r="AQ33" s="509">
        <f t="shared" si="48"/>
        <v>0</v>
      </c>
      <c r="AR33" s="129"/>
      <c r="AS33" s="129"/>
      <c r="AT33" s="129"/>
      <c r="AU33" s="509">
        <f t="shared" si="49"/>
        <v>0</v>
      </c>
      <c r="AV33" s="129"/>
      <c r="AW33" s="129"/>
      <c r="AX33" s="129"/>
      <c r="AY33" s="509">
        <f t="shared" si="50"/>
        <v>0</v>
      </c>
      <c r="AZ33" s="23">
        <f t="shared" si="51"/>
        <v>0</v>
      </c>
      <c r="BA33" s="23">
        <f t="shared" si="51"/>
        <v>5</v>
      </c>
      <c r="BB33" s="509">
        <f t="shared" si="52"/>
        <v>3.3120449999999996E-3</v>
      </c>
      <c r="BC33" s="23">
        <f t="shared" si="53"/>
        <v>0</v>
      </c>
      <c r="BD33" s="257">
        <f t="shared" si="53"/>
        <v>0</v>
      </c>
      <c r="BE33" s="257">
        <f t="shared" si="54"/>
        <v>0</v>
      </c>
      <c r="BF33" s="257">
        <f t="shared" si="55"/>
        <v>0</v>
      </c>
      <c r="BG33" s="23">
        <f t="shared" si="55"/>
        <v>0</v>
      </c>
      <c r="BH33" s="257">
        <f t="shared" si="56"/>
        <v>0</v>
      </c>
      <c r="BI33" s="23">
        <f t="shared" si="57"/>
        <v>0</v>
      </c>
      <c r="BJ33" s="23">
        <f t="shared" si="57"/>
        <v>0</v>
      </c>
      <c r="BK33" s="257">
        <f t="shared" si="58"/>
        <v>0</v>
      </c>
      <c r="BL33" s="23">
        <f t="shared" si="59"/>
        <v>0</v>
      </c>
      <c r="BM33" s="23">
        <f t="shared" si="59"/>
        <v>5</v>
      </c>
      <c r="BN33" s="257">
        <f t="shared" si="59"/>
        <v>3.3120449999999996E-3</v>
      </c>
      <c r="BO33" s="466">
        <f t="shared" si="60"/>
        <v>0</v>
      </c>
      <c r="BP33" s="472"/>
      <c r="BQ33" s="23">
        <f t="shared" si="61"/>
        <v>0</v>
      </c>
      <c r="BR33" s="23">
        <f t="shared" si="62"/>
        <v>5</v>
      </c>
      <c r="BS33" s="466">
        <f t="shared" si="34"/>
        <v>0</v>
      </c>
      <c r="BT33" s="509">
        <f t="shared" si="63"/>
        <v>3.3120449999999996E-3</v>
      </c>
      <c r="BU33" s="466">
        <f t="shared" si="11"/>
        <v>0</v>
      </c>
    </row>
    <row r="34" spans="1:73" ht="12.6" customHeight="1">
      <c r="A34" s="254" t="s">
        <v>38</v>
      </c>
      <c r="B34" s="129">
        <f t="shared" si="37"/>
        <v>0</v>
      </c>
      <c r="C34" s="257"/>
      <c r="D34" s="129"/>
      <c r="E34" s="129"/>
      <c r="F34" s="129"/>
      <c r="G34" s="509">
        <f t="shared" si="38"/>
        <v>0</v>
      </c>
      <c r="H34" s="129"/>
      <c r="I34" s="129"/>
      <c r="J34" s="129"/>
      <c r="K34" s="509">
        <f t="shared" si="39"/>
        <v>0</v>
      </c>
      <c r="L34" s="129"/>
      <c r="M34" s="129"/>
      <c r="N34" s="129"/>
      <c r="O34" s="509">
        <f t="shared" si="40"/>
        <v>0</v>
      </c>
      <c r="P34" s="129"/>
      <c r="Q34" s="129"/>
      <c r="R34" s="129"/>
      <c r="S34" s="509">
        <f t="shared" si="41"/>
        <v>0</v>
      </c>
      <c r="T34" s="129"/>
      <c r="U34" s="129"/>
      <c r="V34" s="129">
        <f t="shared" si="42"/>
        <v>0</v>
      </c>
      <c r="W34" s="509">
        <f t="shared" si="43"/>
        <v>0</v>
      </c>
      <c r="X34" s="129"/>
      <c r="Y34" s="129"/>
      <c r="Z34" s="129"/>
      <c r="AA34" s="509">
        <f t="shared" si="44"/>
        <v>0</v>
      </c>
      <c r="AB34" s="129"/>
      <c r="AC34" s="129"/>
      <c r="AD34" s="129"/>
      <c r="AE34" s="509">
        <f t="shared" si="45"/>
        <v>0</v>
      </c>
      <c r="AF34" s="129"/>
      <c r="AG34" s="129"/>
      <c r="AH34" s="129"/>
      <c r="AI34" s="509">
        <f t="shared" si="46"/>
        <v>0</v>
      </c>
      <c r="AJ34" s="129"/>
      <c r="AK34" s="129"/>
      <c r="AL34" s="129"/>
      <c r="AM34" s="509">
        <f t="shared" si="47"/>
        <v>0</v>
      </c>
      <c r="AN34" s="129"/>
      <c r="AO34" s="129"/>
      <c r="AP34" s="129"/>
      <c r="AQ34" s="509">
        <f t="shared" si="48"/>
        <v>0</v>
      </c>
      <c r="AR34" s="129"/>
      <c r="AS34" s="129"/>
      <c r="AT34" s="129"/>
      <c r="AU34" s="509">
        <f t="shared" si="49"/>
        <v>0</v>
      </c>
      <c r="AV34" s="129"/>
      <c r="AW34" s="129"/>
      <c r="AX34" s="129"/>
      <c r="AY34" s="509">
        <f t="shared" si="50"/>
        <v>0</v>
      </c>
      <c r="AZ34" s="23">
        <f t="shared" si="51"/>
        <v>0</v>
      </c>
      <c r="BA34" s="23">
        <f t="shared" si="51"/>
        <v>0</v>
      </c>
      <c r="BB34" s="509">
        <f t="shared" si="52"/>
        <v>0</v>
      </c>
      <c r="BC34" s="23">
        <f t="shared" si="53"/>
        <v>0</v>
      </c>
      <c r="BD34" s="257">
        <f t="shared" si="53"/>
        <v>0</v>
      </c>
      <c r="BE34" s="257">
        <f t="shared" si="54"/>
        <v>0</v>
      </c>
      <c r="BF34" s="257">
        <f t="shared" si="55"/>
        <v>0</v>
      </c>
      <c r="BG34" s="23">
        <f t="shared" si="55"/>
        <v>0</v>
      </c>
      <c r="BH34" s="257">
        <f t="shared" si="56"/>
        <v>0</v>
      </c>
      <c r="BI34" s="23">
        <f t="shared" si="57"/>
        <v>0</v>
      </c>
      <c r="BJ34" s="23">
        <f t="shared" si="57"/>
        <v>0</v>
      </c>
      <c r="BK34" s="257">
        <f t="shared" si="58"/>
        <v>0</v>
      </c>
      <c r="BL34" s="23">
        <f t="shared" si="59"/>
        <v>0</v>
      </c>
      <c r="BM34" s="23">
        <f t="shared" si="59"/>
        <v>0</v>
      </c>
      <c r="BN34" s="257">
        <f t="shared" si="59"/>
        <v>0</v>
      </c>
      <c r="BO34" s="466">
        <f t="shared" si="60"/>
        <v>0</v>
      </c>
      <c r="BP34" s="472"/>
      <c r="BQ34" s="23">
        <f t="shared" si="61"/>
        <v>0</v>
      </c>
      <c r="BR34" s="23">
        <f t="shared" si="62"/>
        <v>0</v>
      </c>
      <c r="BS34" s="466">
        <f t="shared" si="34"/>
        <v>0</v>
      </c>
      <c r="BT34" s="509">
        <f t="shared" si="63"/>
        <v>0</v>
      </c>
      <c r="BU34" s="466">
        <f t="shared" si="11"/>
        <v>0</v>
      </c>
    </row>
    <row r="35" spans="1:73" ht="12.6" customHeight="1">
      <c r="A35" s="254" t="s">
        <v>39</v>
      </c>
      <c r="B35" s="129">
        <f t="shared" si="37"/>
        <v>0</v>
      </c>
      <c r="C35" s="257"/>
      <c r="D35" s="129"/>
      <c r="E35" s="129"/>
      <c r="F35" s="129"/>
      <c r="G35" s="509">
        <f t="shared" si="38"/>
        <v>0</v>
      </c>
      <c r="H35" s="129"/>
      <c r="I35" s="129"/>
      <c r="J35" s="129"/>
      <c r="K35" s="509">
        <f t="shared" si="39"/>
        <v>0</v>
      </c>
      <c r="L35" s="129"/>
      <c r="M35" s="129">
        <v>26</v>
      </c>
      <c r="N35" s="129">
        <v>1187.8</v>
      </c>
      <c r="O35" s="509">
        <f t="shared" si="40"/>
        <v>0.2077794784</v>
      </c>
      <c r="P35" s="129"/>
      <c r="Q35" s="129"/>
      <c r="R35" s="129"/>
      <c r="S35" s="509">
        <f t="shared" si="41"/>
        <v>0</v>
      </c>
      <c r="T35" s="129"/>
      <c r="U35" s="129"/>
      <c r="V35" s="129">
        <f t="shared" si="42"/>
        <v>0</v>
      </c>
      <c r="W35" s="509">
        <f t="shared" si="43"/>
        <v>0</v>
      </c>
      <c r="X35" s="129"/>
      <c r="Y35" s="129"/>
      <c r="Z35" s="129"/>
      <c r="AA35" s="509">
        <f t="shared" si="44"/>
        <v>0</v>
      </c>
      <c r="AB35" s="129"/>
      <c r="AC35" s="129"/>
      <c r="AD35" s="129"/>
      <c r="AE35" s="509">
        <f t="shared" si="45"/>
        <v>0</v>
      </c>
      <c r="AF35" s="129"/>
      <c r="AG35" s="129"/>
      <c r="AH35" s="129"/>
      <c r="AI35" s="509">
        <f t="shared" si="46"/>
        <v>0</v>
      </c>
      <c r="AJ35" s="129"/>
      <c r="AK35" s="129"/>
      <c r="AL35" s="129"/>
      <c r="AM35" s="509">
        <f t="shared" si="47"/>
        <v>0</v>
      </c>
      <c r="AN35" s="129"/>
      <c r="AO35" s="129"/>
      <c r="AP35" s="129"/>
      <c r="AQ35" s="509">
        <f t="shared" si="48"/>
        <v>0</v>
      </c>
      <c r="AR35" s="129"/>
      <c r="AS35" s="129"/>
      <c r="AT35" s="129"/>
      <c r="AU35" s="509">
        <f t="shared" si="49"/>
        <v>0</v>
      </c>
      <c r="AV35" s="129"/>
      <c r="AW35" s="129"/>
      <c r="AX35" s="129"/>
      <c r="AY35" s="509">
        <f t="shared" si="50"/>
        <v>0</v>
      </c>
      <c r="AZ35" s="23">
        <f t="shared" si="51"/>
        <v>0</v>
      </c>
      <c r="BA35" s="23">
        <f t="shared" si="51"/>
        <v>26</v>
      </c>
      <c r="BB35" s="509">
        <f t="shared" si="52"/>
        <v>0.2077794784</v>
      </c>
      <c r="BC35" s="23">
        <f t="shared" si="53"/>
        <v>0</v>
      </c>
      <c r="BD35" s="257">
        <f t="shared" si="53"/>
        <v>0</v>
      </c>
      <c r="BE35" s="257">
        <f t="shared" si="54"/>
        <v>0</v>
      </c>
      <c r="BF35" s="257">
        <f t="shared" si="55"/>
        <v>0</v>
      </c>
      <c r="BG35" s="23">
        <f t="shared" si="55"/>
        <v>0</v>
      </c>
      <c r="BH35" s="257">
        <f t="shared" si="56"/>
        <v>0</v>
      </c>
      <c r="BI35" s="23">
        <f t="shared" si="57"/>
        <v>0</v>
      </c>
      <c r="BJ35" s="23">
        <f t="shared" si="57"/>
        <v>0</v>
      </c>
      <c r="BK35" s="257">
        <f t="shared" si="58"/>
        <v>0</v>
      </c>
      <c r="BL35" s="23">
        <f t="shared" si="59"/>
        <v>0</v>
      </c>
      <c r="BM35" s="23">
        <f t="shared" si="59"/>
        <v>26</v>
      </c>
      <c r="BN35" s="257">
        <f t="shared" si="59"/>
        <v>0.2077794784</v>
      </c>
      <c r="BO35" s="466">
        <f t="shared" si="60"/>
        <v>0</v>
      </c>
      <c r="BP35" s="472"/>
      <c r="BQ35" s="23">
        <f t="shared" si="61"/>
        <v>0</v>
      </c>
      <c r="BR35" s="23">
        <f t="shared" si="62"/>
        <v>26</v>
      </c>
      <c r="BS35" s="466">
        <f t="shared" si="34"/>
        <v>0</v>
      </c>
      <c r="BT35" s="509">
        <f t="shared" si="63"/>
        <v>0.2077794784</v>
      </c>
      <c r="BU35" s="466">
        <f t="shared" si="11"/>
        <v>0</v>
      </c>
    </row>
    <row r="36" spans="1:73" ht="12.6" customHeight="1">
      <c r="A36" s="254" t="s">
        <v>11</v>
      </c>
      <c r="B36" s="129">
        <f t="shared" si="37"/>
        <v>0</v>
      </c>
      <c r="C36" s="257">
        <v>18.399999999999999</v>
      </c>
      <c r="D36" s="129"/>
      <c r="E36" s="129"/>
      <c r="F36" s="129"/>
      <c r="G36" s="509">
        <f t="shared" si="38"/>
        <v>0</v>
      </c>
      <c r="H36" s="129"/>
      <c r="I36" s="129"/>
      <c r="J36" s="129"/>
      <c r="K36" s="509">
        <f t="shared" si="39"/>
        <v>0</v>
      </c>
      <c r="L36" s="129"/>
      <c r="M36" s="129"/>
      <c r="N36" s="129"/>
      <c r="O36" s="509">
        <f t="shared" si="40"/>
        <v>0</v>
      </c>
      <c r="P36" s="129"/>
      <c r="Q36" s="129">
        <v>20</v>
      </c>
      <c r="R36" s="129">
        <v>1146</v>
      </c>
      <c r="S36" s="509">
        <f t="shared" si="41"/>
        <v>0.151729856</v>
      </c>
      <c r="T36" s="129"/>
      <c r="U36" s="129"/>
      <c r="V36" s="129">
        <f t="shared" si="42"/>
        <v>0</v>
      </c>
      <c r="W36" s="509">
        <f t="shared" si="43"/>
        <v>0</v>
      </c>
      <c r="X36" s="129"/>
      <c r="Y36" s="129"/>
      <c r="Z36" s="129"/>
      <c r="AA36" s="509">
        <f t="shared" si="44"/>
        <v>0</v>
      </c>
      <c r="AB36" s="129"/>
      <c r="AC36" s="129"/>
      <c r="AD36" s="129"/>
      <c r="AE36" s="509">
        <f t="shared" si="45"/>
        <v>0</v>
      </c>
      <c r="AF36" s="129"/>
      <c r="AG36" s="129"/>
      <c r="AH36" s="129"/>
      <c r="AI36" s="509">
        <f t="shared" si="46"/>
        <v>0</v>
      </c>
      <c r="AJ36" s="129"/>
      <c r="AK36" s="129"/>
      <c r="AL36" s="129"/>
      <c r="AM36" s="509">
        <f t="shared" si="47"/>
        <v>0</v>
      </c>
      <c r="AN36" s="129"/>
      <c r="AO36" s="129"/>
      <c r="AP36" s="129"/>
      <c r="AQ36" s="509">
        <f t="shared" si="48"/>
        <v>0</v>
      </c>
      <c r="AR36" s="129"/>
      <c r="AS36" s="129"/>
      <c r="AT36" s="129"/>
      <c r="AU36" s="509">
        <f t="shared" si="49"/>
        <v>0</v>
      </c>
      <c r="AV36" s="129"/>
      <c r="AW36" s="129"/>
      <c r="AX36" s="129"/>
      <c r="AY36" s="509">
        <f t="shared" si="50"/>
        <v>0</v>
      </c>
      <c r="AZ36" s="23">
        <f t="shared" si="51"/>
        <v>0</v>
      </c>
      <c r="BA36" s="23">
        <f t="shared" si="51"/>
        <v>0</v>
      </c>
      <c r="BB36" s="509">
        <f t="shared" si="52"/>
        <v>0</v>
      </c>
      <c r="BC36" s="23">
        <f t="shared" si="53"/>
        <v>0</v>
      </c>
      <c r="BD36" s="257">
        <f t="shared" si="53"/>
        <v>20</v>
      </c>
      <c r="BE36" s="257">
        <f t="shared" si="54"/>
        <v>0.151729856</v>
      </c>
      <c r="BF36" s="257">
        <f t="shared" si="55"/>
        <v>0</v>
      </c>
      <c r="BG36" s="23">
        <f t="shared" si="55"/>
        <v>0</v>
      </c>
      <c r="BH36" s="257">
        <f t="shared" si="56"/>
        <v>0</v>
      </c>
      <c r="BI36" s="23">
        <f t="shared" si="57"/>
        <v>0</v>
      </c>
      <c r="BJ36" s="23">
        <f t="shared" si="57"/>
        <v>0</v>
      </c>
      <c r="BK36" s="257">
        <f t="shared" si="58"/>
        <v>0</v>
      </c>
      <c r="BL36" s="23">
        <f t="shared" si="59"/>
        <v>0</v>
      </c>
      <c r="BM36" s="23">
        <f t="shared" si="59"/>
        <v>20</v>
      </c>
      <c r="BN36" s="257">
        <f t="shared" si="59"/>
        <v>0.151729856</v>
      </c>
      <c r="BO36" s="466">
        <f t="shared" si="60"/>
        <v>0</v>
      </c>
      <c r="BP36" s="472"/>
      <c r="BQ36" s="23">
        <f t="shared" si="61"/>
        <v>0</v>
      </c>
      <c r="BR36" s="23">
        <f t="shared" si="62"/>
        <v>20</v>
      </c>
      <c r="BS36" s="466">
        <f t="shared" si="34"/>
        <v>0</v>
      </c>
      <c r="BT36" s="509">
        <f t="shared" si="63"/>
        <v>0.151729856</v>
      </c>
      <c r="BU36" s="466">
        <f t="shared" si="11"/>
        <v>0</v>
      </c>
    </row>
    <row r="37" spans="1:73" ht="12.6" customHeight="1">
      <c r="A37" s="254" t="s">
        <v>87</v>
      </c>
      <c r="B37" s="129">
        <f t="shared" si="37"/>
        <v>0</v>
      </c>
      <c r="C37" s="257"/>
      <c r="D37" s="129"/>
      <c r="E37" s="129"/>
      <c r="F37" s="129"/>
      <c r="G37" s="509">
        <f t="shared" si="38"/>
        <v>0</v>
      </c>
      <c r="H37" s="129"/>
      <c r="I37" s="129"/>
      <c r="J37" s="129"/>
      <c r="K37" s="509">
        <f t="shared" si="39"/>
        <v>0</v>
      </c>
      <c r="L37" s="129"/>
      <c r="M37" s="129"/>
      <c r="N37" s="129"/>
      <c r="O37" s="509">
        <f t="shared" si="40"/>
        <v>0</v>
      </c>
      <c r="P37" s="129"/>
      <c r="Q37" s="129"/>
      <c r="R37" s="129"/>
      <c r="S37" s="509">
        <f t="shared" si="41"/>
        <v>0</v>
      </c>
      <c r="T37" s="129"/>
      <c r="U37" s="129"/>
      <c r="V37" s="129">
        <f t="shared" si="42"/>
        <v>0</v>
      </c>
      <c r="W37" s="509">
        <f t="shared" si="43"/>
        <v>0</v>
      </c>
      <c r="X37" s="129"/>
      <c r="Y37" s="129"/>
      <c r="Z37" s="129"/>
      <c r="AA37" s="509">
        <f t="shared" si="44"/>
        <v>0</v>
      </c>
      <c r="AB37" s="129"/>
      <c r="AC37" s="129"/>
      <c r="AD37" s="129"/>
      <c r="AE37" s="509">
        <f t="shared" si="45"/>
        <v>0</v>
      </c>
      <c r="AF37" s="129"/>
      <c r="AG37" s="129"/>
      <c r="AH37" s="129"/>
      <c r="AI37" s="509">
        <f t="shared" si="46"/>
        <v>0</v>
      </c>
      <c r="AJ37" s="129"/>
      <c r="AK37" s="129"/>
      <c r="AL37" s="129"/>
      <c r="AM37" s="509">
        <f t="shared" si="47"/>
        <v>0</v>
      </c>
      <c r="AN37" s="129"/>
      <c r="AO37" s="129"/>
      <c r="AP37" s="129"/>
      <c r="AQ37" s="509">
        <f t="shared" si="48"/>
        <v>0</v>
      </c>
      <c r="AR37" s="129"/>
      <c r="AS37" s="129"/>
      <c r="AT37" s="129"/>
      <c r="AU37" s="509">
        <f t="shared" si="49"/>
        <v>0</v>
      </c>
      <c r="AV37" s="129"/>
      <c r="AW37" s="129"/>
      <c r="AX37" s="129"/>
      <c r="AY37" s="509">
        <f t="shared" si="50"/>
        <v>0</v>
      </c>
      <c r="AZ37" s="23">
        <f t="shared" si="51"/>
        <v>0</v>
      </c>
      <c r="BA37" s="23">
        <f t="shared" si="51"/>
        <v>0</v>
      </c>
      <c r="BB37" s="509">
        <f t="shared" si="52"/>
        <v>0</v>
      </c>
      <c r="BC37" s="23">
        <f t="shared" si="53"/>
        <v>0</v>
      </c>
      <c r="BD37" s="257">
        <f t="shared" si="53"/>
        <v>0</v>
      </c>
      <c r="BE37" s="257">
        <f t="shared" si="54"/>
        <v>0</v>
      </c>
      <c r="BF37" s="257">
        <f t="shared" si="55"/>
        <v>0</v>
      </c>
      <c r="BG37" s="23">
        <f t="shared" si="55"/>
        <v>0</v>
      </c>
      <c r="BH37" s="257">
        <f t="shared" si="56"/>
        <v>0</v>
      </c>
      <c r="BI37" s="23">
        <f t="shared" si="57"/>
        <v>0</v>
      </c>
      <c r="BJ37" s="23">
        <f t="shared" si="57"/>
        <v>0</v>
      </c>
      <c r="BK37" s="257">
        <f t="shared" si="58"/>
        <v>0</v>
      </c>
      <c r="BL37" s="23">
        <f t="shared" si="59"/>
        <v>0</v>
      </c>
      <c r="BM37" s="23">
        <f t="shared" si="59"/>
        <v>0</v>
      </c>
      <c r="BN37" s="257">
        <f t="shared" si="59"/>
        <v>0</v>
      </c>
      <c r="BO37" s="466">
        <f t="shared" si="60"/>
        <v>0</v>
      </c>
      <c r="BP37" s="472"/>
      <c r="BQ37" s="23">
        <f t="shared" si="61"/>
        <v>0</v>
      </c>
      <c r="BR37" s="23">
        <f t="shared" si="62"/>
        <v>0</v>
      </c>
      <c r="BS37" s="466">
        <f t="shared" si="34"/>
        <v>0</v>
      </c>
      <c r="BT37" s="509">
        <f t="shared" si="63"/>
        <v>0</v>
      </c>
      <c r="BU37" s="466">
        <f t="shared" si="11"/>
        <v>0</v>
      </c>
    </row>
    <row r="38" spans="1:73" ht="12.6" customHeight="1">
      <c r="A38" s="254" t="s">
        <v>86</v>
      </c>
      <c r="B38" s="129">
        <f t="shared" si="37"/>
        <v>0</v>
      </c>
      <c r="C38" s="257"/>
      <c r="D38" s="129"/>
      <c r="E38" s="129"/>
      <c r="F38" s="129"/>
      <c r="G38" s="509">
        <f t="shared" si="38"/>
        <v>0</v>
      </c>
      <c r="H38" s="129"/>
      <c r="I38" s="129"/>
      <c r="J38" s="129"/>
      <c r="K38" s="509">
        <f t="shared" si="39"/>
        <v>0</v>
      </c>
      <c r="L38" s="129"/>
      <c r="M38" s="129"/>
      <c r="N38" s="129"/>
      <c r="O38" s="509">
        <f t="shared" si="40"/>
        <v>0</v>
      </c>
      <c r="P38" s="129"/>
      <c r="Q38" s="129"/>
      <c r="R38" s="129"/>
      <c r="S38" s="509">
        <f t="shared" si="41"/>
        <v>0</v>
      </c>
      <c r="T38" s="129"/>
      <c r="U38" s="129"/>
      <c r="V38" s="129">
        <f>(T38*U38)/10^6</f>
        <v>0</v>
      </c>
      <c r="W38" s="509">
        <f t="shared" si="43"/>
        <v>0</v>
      </c>
      <c r="X38" s="129"/>
      <c r="Y38" s="129"/>
      <c r="Z38" s="129"/>
      <c r="AA38" s="509">
        <f t="shared" si="44"/>
        <v>0</v>
      </c>
      <c r="AB38" s="129"/>
      <c r="AC38" s="129"/>
      <c r="AD38" s="129"/>
      <c r="AE38" s="509">
        <f t="shared" si="45"/>
        <v>0</v>
      </c>
      <c r="AF38" s="129"/>
      <c r="AG38" s="129"/>
      <c r="AH38" s="129"/>
      <c r="AI38" s="509">
        <f t="shared" si="46"/>
        <v>0</v>
      </c>
      <c r="AJ38" s="129"/>
      <c r="AK38" s="129"/>
      <c r="AL38" s="129"/>
      <c r="AM38" s="509">
        <f t="shared" si="47"/>
        <v>0</v>
      </c>
      <c r="AN38" s="129"/>
      <c r="AO38" s="129"/>
      <c r="AP38" s="129"/>
      <c r="AQ38" s="509">
        <f t="shared" si="48"/>
        <v>0</v>
      </c>
      <c r="AR38" s="129"/>
      <c r="AS38" s="129"/>
      <c r="AT38" s="129"/>
      <c r="AU38" s="509">
        <f t="shared" si="49"/>
        <v>0</v>
      </c>
      <c r="AV38" s="129"/>
      <c r="AW38" s="129"/>
      <c r="AX38" s="129"/>
      <c r="AY38" s="509">
        <f t="shared" si="50"/>
        <v>0</v>
      </c>
      <c r="AZ38" s="23">
        <f t="shared" si="51"/>
        <v>0</v>
      </c>
      <c r="BA38" s="23">
        <f t="shared" si="51"/>
        <v>0</v>
      </c>
      <c r="BB38" s="509">
        <f t="shared" si="52"/>
        <v>0</v>
      </c>
      <c r="BC38" s="23">
        <f t="shared" si="53"/>
        <v>0</v>
      </c>
      <c r="BD38" s="257">
        <f t="shared" si="53"/>
        <v>0</v>
      </c>
      <c r="BE38" s="257">
        <f t="shared" si="54"/>
        <v>0</v>
      </c>
      <c r="BF38" s="257">
        <f t="shared" si="55"/>
        <v>0</v>
      </c>
      <c r="BG38" s="23">
        <f t="shared" si="55"/>
        <v>0</v>
      </c>
      <c r="BH38" s="257">
        <f t="shared" si="56"/>
        <v>0</v>
      </c>
      <c r="BI38" s="23">
        <f t="shared" si="57"/>
        <v>0</v>
      </c>
      <c r="BJ38" s="23">
        <f t="shared" si="57"/>
        <v>0</v>
      </c>
      <c r="BK38" s="257">
        <f t="shared" si="58"/>
        <v>0</v>
      </c>
      <c r="BL38" s="23">
        <f t="shared" si="59"/>
        <v>0</v>
      </c>
      <c r="BM38" s="23">
        <f t="shared" si="59"/>
        <v>0</v>
      </c>
      <c r="BN38" s="257">
        <f t="shared" si="59"/>
        <v>0</v>
      </c>
      <c r="BO38" s="466">
        <f t="shared" si="60"/>
        <v>0</v>
      </c>
      <c r="BP38" s="472"/>
      <c r="BQ38" s="23">
        <f t="shared" si="61"/>
        <v>0</v>
      </c>
      <c r="BR38" s="23">
        <f t="shared" si="62"/>
        <v>0</v>
      </c>
      <c r="BS38" s="466">
        <f t="shared" si="34"/>
        <v>0</v>
      </c>
      <c r="BT38" s="509">
        <f t="shared" si="63"/>
        <v>0</v>
      </c>
      <c r="BU38" s="466">
        <f t="shared" ref="BU38:BU69" si="64">IFERROR(BR38/B38,0)</f>
        <v>0</v>
      </c>
    </row>
    <row r="39" spans="1:73" ht="12.6" customHeight="1">
      <c r="A39" s="254" t="s">
        <v>107</v>
      </c>
      <c r="B39" s="129">
        <f t="shared" si="37"/>
        <v>0</v>
      </c>
      <c r="C39" s="257"/>
      <c r="D39" s="129"/>
      <c r="E39" s="129"/>
      <c r="F39" s="129"/>
      <c r="G39" s="509">
        <f t="shared" si="38"/>
        <v>0</v>
      </c>
      <c r="H39" s="129"/>
      <c r="I39" s="129"/>
      <c r="J39" s="129"/>
      <c r="K39" s="509">
        <f t="shared" si="39"/>
        <v>0</v>
      </c>
      <c r="L39" s="129"/>
      <c r="M39" s="129"/>
      <c r="N39" s="129"/>
      <c r="O39" s="509">
        <f t="shared" si="40"/>
        <v>0</v>
      </c>
      <c r="P39" s="129"/>
      <c r="Q39" s="129"/>
      <c r="R39" s="129"/>
      <c r="S39" s="509">
        <f t="shared" si="41"/>
        <v>0</v>
      </c>
      <c r="T39" s="129"/>
      <c r="U39" s="129"/>
      <c r="V39" s="129">
        <f>(T39*U39)/10^6</f>
        <v>0</v>
      </c>
      <c r="W39" s="509">
        <f t="shared" si="43"/>
        <v>0</v>
      </c>
      <c r="X39" s="129"/>
      <c r="Y39" s="129"/>
      <c r="Z39" s="129"/>
      <c r="AA39" s="509">
        <f t="shared" si="44"/>
        <v>0</v>
      </c>
      <c r="AB39" s="129"/>
      <c r="AC39" s="129"/>
      <c r="AD39" s="129"/>
      <c r="AE39" s="509">
        <f t="shared" si="45"/>
        <v>0</v>
      </c>
      <c r="AF39" s="129"/>
      <c r="AG39" s="129"/>
      <c r="AH39" s="129"/>
      <c r="AI39" s="509">
        <f t="shared" si="46"/>
        <v>0</v>
      </c>
      <c r="AJ39" s="129"/>
      <c r="AK39" s="129"/>
      <c r="AL39" s="129"/>
      <c r="AM39" s="509">
        <f t="shared" si="47"/>
        <v>0</v>
      </c>
      <c r="AN39" s="129"/>
      <c r="AO39" s="129"/>
      <c r="AP39" s="129"/>
      <c r="AQ39" s="509">
        <f t="shared" si="48"/>
        <v>0</v>
      </c>
      <c r="AR39" s="129"/>
      <c r="AS39" s="129"/>
      <c r="AT39" s="129"/>
      <c r="AU39" s="509">
        <f t="shared" si="49"/>
        <v>0</v>
      </c>
      <c r="AV39" s="129"/>
      <c r="AW39" s="129"/>
      <c r="AX39" s="129"/>
      <c r="AY39" s="509">
        <f t="shared" si="50"/>
        <v>0</v>
      </c>
      <c r="AZ39" s="23">
        <f t="shared" si="51"/>
        <v>0</v>
      </c>
      <c r="BA39" s="23">
        <f t="shared" si="51"/>
        <v>0</v>
      </c>
      <c r="BB39" s="509">
        <f t="shared" si="52"/>
        <v>0</v>
      </c>
      <c r="BC39" s="23">
        <f t="shared" si="53"/>
        <v>0</v>
      </c>
      <c r="BD39" s="257">
        <f t="shared" si="53"/>
        <v>0</v>
      </c>
      <c r="BE39" s="257">
        <f t="shared" si="54"/>
        <v>0</v>
      </c>
      <c r="BF39" s="257">
        <f t="shared" si="55"/>
        <v>0</v>
      </c>
      <c r="BG39" s="23">
        <f t="shared" si="55"/>
        <v>0</v>
      </c>
      <c r="BH39" s="257">
        <f t="shared" si="56"/>
        <v>0</v>
      </c>
      <c r="BI39" s="23">
        <f t="shared" si="57"/>
        <v>0</v>
      </c>
      <c r="BJ39" s="23">
        <f t="shared" si="57"/>
        <v>0</v>
      </c>
      <c r="BK39" s="257">
        <f t="shared" si="58"/>
        <v>0</v>
      </c>
      <c r="BL39" s="23">
        <f t="shared" si="59"/>
        <v>0</v>
      </c>
      <c r="BM39" s="23">
        <f t="shared" si="59"/>
        <v>0</v>
      </c>
      <c r="BN39" s="257">
        <f t="shared" si="59"/>
        <v>0</v>
      </c>
      <c r="BO39" s="466">
        <f t="shared" si="60"/>
        <v>0</v>
      </c>
      <c r="BP39" s="472"/>
      <c r="BQ39" s="23">
        <f t="shared" si="61"/>
        <v>0</v>
      </c>
      <c r="BR39" s="23">
        <f t="shared" si="62"/>
        <v>0</v>
      </c>
      <c r="BS39" s="466">
        <f t="shared" si="34"/>
        <v>0</v>
      </c>
      <c r="BT39" s="509">
        <f t="shared" si="63"/>
        <v>0</v>
      </c>
      <c r="BU39" s="466">
        <f t="shared" si="64"/>
        <v>0</v>
      </c>
    </row>
    <row r="40" spans="1:73" ht="12.6" customHeight="1">
      <c r="A40" s="254" t="s">
        <v>40</v>
      </c>
      <c r="B40" s="129">
        <f t="shared" si="37"/>
        <v>3240</v>
      </c>
      <c r="C40" s="257"/>
      <c r="D40" s="129">
        <v>200</v>
      </c>
      <c r="E40" s="129">
        <v>144</v>
      </c>
      <c r="F40" s="129">
        <v>2772</v>
      </c>
      <c r="G40" s="509">
        <f>E40*(F40-1787)*66.47/10^7</f>
        <v>0.94281048000000012</v>
      </c>
      <c r="H40" s="129">
        <v>200</v>
      </c>
      <c r="I40" s="129">
        <v>174</v>
      </c>
      <c r="J40" s="129">
        <v>2818.3</v>
      </c>
      <c r="K40" s="509">
        <f>I40*(J40-2036)*66.91/10^7</f>
        <v>0.91078025820000019</v>
      </c>
      <c r="L40" s="129">
        <v>200</v>
      </c>
      <c r="M40" s="129">
        <v>77</v>
      </c>
      <c r="N40" s="129">
        <v>2889.5</v>
      </c>
      <c r="O40" s="509">
        <f>M40*(N40-2222)*67.28/10^7</f>
        <v>0.34580238000000002</v>
      </c>
      <c r="P40" s="129">
        <v>200</v>
      </c>
      <c r="Q40" s="129"/>
      <c r="R40" s="129"/>
      <c r="S40" s="509">
        <f t="shared" si="41"/>
        <v>0</v>
      </c>
      <c r="T40" s="129">
        <v>200</v>
      </c>
      <c r="U40" s="129">
        <v>58</v>
      </c>
      <c r="V40" s="129">
        <v>2920</v>
      </c>
      <c r="W40" s="509">
        <f>U40*(V40-2196)*66.93/10^7</f>
        <v>0.28105245600000001</v>
      </c>
      <c r="X40" s="129">
        <v>320</v>
      </c>
      <c r="Y40" s="129">
        <v>48</v>
      </c>
      <c r="Z40" s="129">
        <v>3028</v>
      </c>
      <c r="AA40" s="509">
        <f>Y40*(Z40-2191)*66.69/10^7</f>
        <v>0.26793374399999997</v>
      </c>
      <c r="AB40" s="129">
        <v>320</v>
      </c>
      <c r="AC40" s="129">
        <v>108</v>
      </c>
      <c r="AD40" s="129">
        <v>3079</v>
      </c>
      <c r="AE40" s="509">
        <f>AC40*(AD40-2414)*66.73/10^7</f>
        <v>0.47925486000000006</v>
      </c>
      <c r="AF40" s="129">
        <v>320</v>
      </c>
      <c r="AG40" s="129"/>
      <c r="AH40" s="129"/>
      <c r="AI40" s="509">
        <f>AG40*(AH40-2191)*67.58/10^7</f>
        <v>0</v>
      </c>
      <c r="AJ40" s="129">
        <v>320</v>
      </c>
      <c r="AK40" s="129">
        <v>47</v>
      </c>
      <c r="AL40" s="129">
        <v>2960</v>
      </c>
      <c r="AM40" s="509">
        <f>AK40*(AL40-2137)*67.91/10^7</f>
        <v>0.26268267099999998</v>
      </c>
      <c r="AN40" s="129">
        <v>320</v>
      </c>
      <c r="AO40" s="129">
        <v>176</v>
      </c>
      <c r="AP40" s="129">
        <v>2955</v>
      </c>
      <c r="AQ40" s="509">
        <f>AO40*(AP40-2125)*68.01/10^7</f>
        <v>0.99349008000000005</v>
      </c>
      <c r="AR40" s="129">
        <v>320</v>
      </c>
      <c r="AS40" s="129">
        <v>136</v>
      </c>
      <c r="AT40" s="129">
        <v>2972</v>
      </c>
      <c r="AU40" s="509">
        <f>AS40*(AT40-2160)*67.01/10^7</f>
        <v>0.740004832</v>
      </c>
      <c r="AV40" s="129">
        <v>320</v>
      </c>
      <c r="AW40" s="129"/>
      <c r="AX40" s="129"/>
      <c r="AY40" s="509">
        <f>AW40*(AX40-2191)*66.69/10^7</f>
        <v>0</v>
      </c>
      <c r="AZ40" s="23">
        <f t="shared" si="51"/>
        <v>600</v>
      </c>
      <c r="BA40" s="23">
        <f t="shared" si="51"/>
        <v>395</v>
      </c>
      <c r="BB40" s="509">
        <f t="shared" si="52"/>
        <v>2.1993931182000002</v>
      </c>
      <c r="BC40" s="23">
        <f t="shared" si="53"/>
        <v>720</v>
      </c>
      <c r="BD40" s="257">
        <f t="shared" si="53"/>
        <v>106</v>
      </c>
      <c r="BE40" s="257">
        <f t="shared" si="54"/>
        <v>0.54898619999999998</v>
      </c>
      <c r="BF40" s="257">
        <f t="shared" si="55"/>
        <v>960</v>
      </c>
      <c r="BG40" s="23">
        <f t="shared" si="55"/>
        <v>155</v>
      </c>
      <c r="BH40" s="257">
        <f t="shared" si="56"/>
        <v>0.74193753100000004</v>
      </c>
      <c r="BI40" s="23">
        <f t="shared" si="57"/>
        <v>960</v>
      </c>
      <c r="BJ40" s="23">
        <f t="shared" si="57"/>
        <v>312</v>
      </c>
      <c r="BK40" s="257">
        <f t="shared" si="58"/>
        <v>1.7334949120000001</v>
      </c>
      <c r="BL40" s="23">
        <f t="shared" si="59"/>
        <v>3240</v>
      </c>
      <c r="BM40" s="23">
        <f t="shared" si="59"/>
        <v>968</v>
      </c>
      <c r="BN40" s="257">
        <f t="shared" si="59"/>
        <v>5.2238117612000003</v>
      </c>
      <c r="BO40" s="466">
        <f t="shared" si="60"/>
        <v>0.29876543209876544</v>
      </c>
      <c r="BP40" s="472"/>
      <c r="BQ40" s="23">
        <f t="shared" si="61"/>
        <v>1320</v>
      </c>
      <c r="BR40" s="23">
        <f t="shared" si="62"/>
        <v>501</v>
      </c>
      <c r="BS40" s="466">
        <f t="shared" si="34"/>
        <v>0.37954545454545452</v>
      </c>
      <c r="BT40" s="509">
        <f t="shared" si="63"/>
        <v>2.7483793182</v>
      </c>
      <c r="BU40" s="466">
        <f t="shared" si="64"/>
        <v>0.15462962962962962</v>
      </c>
    </row>
    <row r="41" spans="1:73" ht="12.6" customHeight="1">
      <c r="A41" s="254" t="s">
        <v>30</v>
      </c>
      <c r="B41" s="129">
        <f t="shared" si="37"/>
        <v>240</v>
      </c>
      <c r="C41" s="257"/>
      <c r="D41" s="129">
        <v>20</v>
      </c>
      <c r="E41" s="129">
        <v>24</v>
      </c>
      <c r="F41" s="129">
        <v>3197</v>
      </c>
      <c r="G41" s="509">
        <f>E41*(F41-2031)*66.47/10^7</f>
        <v>0.186009648</v>
      </c>
      <c r="H41" s="129">
        <v>20</v>
      </c>
      <c r="I41" s="129">
        <v>20</v>
      </c>
      <c r="J41" s="129">
        <v>3521</v>
      </c>
      <c r="K41" s="509">
        <f>I41*(J41-2258)*66.91/10^7</f>
        <v>0.16901465999999998</v>
      </c>
      <c r="L41" s="129">
        <v>20</v>
      </c>
      <c r="M41" s="129">
        <v>20</v>
      </c>
      <c r="N41" s="129">
        <v>3947.4</v>
      </c>
      <c r="O41" s="509">
        <f>M41*(N41-2638)*67.28/10^7</f>
        <v>0.176192864</v>
      </c>
      <c r="P41" s="129">
        <v>20</v>
      </c>
      <c r="Q41" s="129"/>
      <c r="R41" s="129"/>
      <c r="S41" s="509">
        <f t="shared" si="41"/>
        <v>0</v>
      </c>
      <c r="T41" s="129">
        <v>20</v>
      </c>
      <c r="U41" s="129">
        <v>60</v>
      </c>
      <c r="V41" s="129">
        <v>4040</v>
      </c>
      <c r="W41" s="509">
        <f>U41*(V41-2598)*66.93/10^7</f>
        <v>0.57907836000000001</v>
      </c>
      <c r="X41" s="129">
        <v>20</v>
      </c>
      <c r="Y41" s="129">
        <v>6</v>
      </c>
      <c r="Z41" s="129">
        <v>4107</v>
      </c>
      <c r="AA41" s="509">
        <f>Y41*(Z41--2582)*66.69/10^7</f>
        <v>0.26765364600000002</v>
      </c>
      <c r="AB41" s="129">
        <v>20</v>
      </c>
      <c r="AC41" s="129">
        <v>40</v>
      </c>
      <c r="AD41" s="129">
        <v>4087</v>
      </c>
      <c r="AE41" s="509">
        <f>AC41*(AD41--2752)*66.73/10^7</f>
        <v>1.8254658800000001</v>
      </c>
      <c r="AF41" s="129">
        <v>20</v>
      </c>
      <c r="AG41" s="129">
        <v>40</v>
      </c>
      <c r="AH41" s="129">
        <v>4136</v>
      </c>
      <c r="AI41" s="509">
        <f>AG41*(AH41--2697)*67.58/10^7</f>
        <v>1.8470965599999998</v>
      </c>
      <c r="AJ41" s="129">
        <v>20</v>
      </c>
      <c r="AK41" s="129"/>
      <c r="AL41" s="129"/>
      <c r="AM41" s="509">
        <f>AK41*(AL41--2582)*67.91/10^7</f>
        <v>0</v>
      </c>
      <c r="AN41" s="129">
        <v>20</v>
      </c>
      <c r="AO41" s="129"/>
      <c r="AP41" s="129"/>
      <c r="AQ41" s="509">
        <f>AO41*(AP41--2582)*68.01/10^7</f>
        <v>0</v>
      </c>
      <c r="AR41" s="129">
        <v>20</v>
      </c>
      <c r="AS41" s="129"/>
      <c r="AT41" s="129"/>
      <c r="AU41" s="509">
        <f>AS41*(AT41--2582)*67.01/10^7</f>
        <v>0</v>
      </c>
      <c r="AV41" s="129">
        <v>20</v>
      </c>
      <c r="AW41" s="129"/>
      <c r="AX41" s="129"/>
      <c r="AY41" s="509">
        <f>AW41*(AX41--2582)*66.69/10^7</f>
        <v>0</v>
      </c>
      <c r="AZ41" s="23">
        <f t="shared" si="51"/>
        <v>60</v>
      </c>
      <c r="BA41" s="23">
        <f t="shared" si="51"/>
        <v>64</v>
      </c>
      <c r="BB41" s="509">
        <f t="shared" si="52"/>
        <v>0.53121717199999996</v>
      </c>
      <c r="BC41" s="23">
        <f t="shared" si="53"/>
        <v>60</v>
      </c>
      <c r="BD41" s="257">
        <f t="shared" si="53"/>
        <v>66</v>
      </c>
      <c r="BE41" s="257">
        <f t="shared" si="54"/>
        <v>0.84673200600000009</v>
      </c>
      <c r="BF41" s="257">
        <f t="shared" si="55"/>
        <v>60</v>
      </c>
      <c r="BG41" s="23">
        <f t="shared" si="55"/>
        <v>80</v>
      </c>
      <c r="BH41" s="257">
        <f t="shared" si="56"/>
        <v>3.6725624400000001</v>
      </c>
      <c r="BI41" s="23">
        <f t="shared" si="57"/>
        <v>60</v>
      </c>
      <c r="BJ41" s="23">
        <f t="shared" si="57"/>
        <v>0</v>
      </c>
      <c r="BK41" s="257">
        <f t="shared" si="58"/>
        <v>0</v>
      </c>
      <c r="BL41" s="23">
        <f t="shared" si="59"/>
        <v>240</v>
      </c>
      <c r="BM41" s="23">
        <f t="shared" si="59"/>
        <v>210</v>
      </c>
      <c r="BN41" s="257">
        <f t="shared" si="59"/>
        <v>5.0505116179999998</v>
      </c>
      <c r="BO41" s="466">
        <f t="shared" si="60"/>
        <v>0.875</v>
      </c>
      <c r="BP41" s="472"/>
      <c r="BQ41" s="23">
        <f t="shared" si="61"/>
        <v>120</v>
      </c>
      <c r="BR41" s="23">
        <f t="shared" si="62"/>
        <v>130</v>
      </c>
      <c r="BS41" s="466">
        <f t="shared" si="34"/>
        <v>1.0833333333333333</v>
      </c>
      <c r="BT41" s="509">
        <f t="shared" si="63"/>
        <v>1.3779491779999999</v>
      </c>
      <c r="BU41" s="466">
        <f t="shared" si="64"/>
        <v>0.54166666666666663</v>
      </c>
    </row>
    <row r="42" spans="1:73" ht="12.6" customHeight="1">
      <c r="A42" s="254" t="s">
        <v>120</v>
      </c>
      <c r="B42" s="129">
        <f t="shared" si="37"/>
        <v>0</v>
      </c>
      <c r="C42" s="257"/>
      <c r="D42" s="129"/>
      <c r="E42" s="129"/>
      <c r="F42" s="129"/>
      <c r="G42" s="509">
        <f t="shared" si="38"/>
        <v>0</v>
      </c>
      <c r="H42" s="129"/>
      <c r="I42" s="129"/>
      <c r="J42" s="129"/>
      <c r="K42" s="509">
        <f t="shared" si="39"/>
        <v>0</v>
      </c>
      <c r="L42" s="129"/>
      <c r="M42" s="129"/>
      <c r="N42" s="129"/>
      <c r="O42" s="509">
        <f t="shared" si="40"/>
        <v>0</v>
      </c>
      <c r="P42" s="129"/>
      <c r="Q42" s="129"/>
      <c r="R42" s="129"/>
      <c r="S42" s="509">
        <f t="shared" si="41"/>
        <v>0</v>
      </c>
      <c r="T42" s="129"/>
      <c r="U42" s="129"/>
      <c r="V42" s="129">
        <f t="shared" si="42"/>
        <v>0</v>
      </c>
      <c r="W42" s="509">
        <f t="shared" si="43"/>
        <v>0</v>
      </c>
      <c r="X42" s="129"/>
      <c r="Y42" s="129"/>
      <c r="Z42" s="129"/>
      <c r="AA42" s="509">
        <f t="shared" si="44"/>
        <v>0</v>
      </c>
      <c r="AB42" s="129"/>
      <c r="AC42" s="129"/>
      <c r="AD42" s="129"/>
      <c r="AE42" s="509">
        <f t="shared" ref="AE42:AE53" si="65">AC42*(AD42-G42)*66.73/10^7</f>
        <v>0</v>
      </c>
      <c r="AF42" s="129"/>
      <c r="AG42" s="129"/>
      <c r="AH42" s="129"/>
      <c r="AI42" s="509">
        <f t="shared" ref="AI42:AI53" si="66">AG42*(AH42-K42)*67.58/10^7</f>
        <v>0</v>
      </c>
      <c r="AJ42" s="129"/>
      <c r="AK42" s="129"/>
      <c r="AL42" s="129"/>
      <c r="AM42" s="509">
        <f t="shared" ref="AM42:AM53" si="67">AK42*(AL42-O42)*67.91/10^7</f>
        <v>0</v>
      </c>
      <c r="AN42" s="129"/>
      <c r="AO42" s="129">
        <v>128</v>
      </c>
      <c r="AP42" s="129">
        <v>1577</v>
      </c>
      <c r="AQ42" s="509">
        <f t="shared" ref="AQ42:AQ53" si="68">AO42*(AP42-S42)*68.01/10^7</f>
        <v>1.3728226560000001</v>
      </c>
      <c r="AR42" s="129"/>
      <c r="AS42" s="129"/>
      <c r="AT42" s="129"/>
      <c r="AU42" s="509">
        <f t="shared" ref="AU42:AU53" si="69">AS42*(AT42-W42)*67.01/10^7</f>
        <v>0</v>
      </c>
      <c r="AV42" s="129"/>
      <c r="AW42" s="129"/>
      <c r="AX42" s="129"/>
      <c r="AY42" s="509">
        <f t="shared" ref="AY42:AY53" si="70">AW42*(AX42-AA42)*66.69/10^7</f>
        <v>0</v>
      </c>
      <c r="AZ42" s="23">
        <f t="shared" si="51"/>
        <v>0</v>
      </c>
      <c r="BA42" s="23">
        <f t="shared" si="51"/>
        <v>0</v>
      </c>
      <c r="BB42" s="509">
        <f t="shared" si="52"/>
        <v>0</v>
      </c>
      <c r="BC42" s="23">
        <f t="shared" si="53"/>
        <v>0</v>
      </c>
      <c r="BD42" s="257">
        <f t="shared" si="53"/>
        <v>0</v>
      </c>
      <c r="BE42" s="257">
        <f t="shared" si="54"/>
        <v>0</v>
      </c>
      <c r="BF42" s="257">
        <f t="shared" si="55"/>
        <v>0</v>
      </c>
      <c r="BG42" s="23">
        <f t="shared" si="55"/>
        <v>0</v>
      </c>
      <c r="BH42" s="257">
        <f t="shared" si="56"/>
        <v>0</v>
      </c>
      <c r="BI42" s="23">
        <f t="shared" si="57"/>
        <v>0</v>
      </c>
      <c r="BJ42" s="23">
        <f t="shared" si="57"/>
        <v>128</v>
      </c>
      <c r="BK42" s="257">
        <f t="shared" si="58"/>
        <v>1.3728226560000001</v>
      </c>
      <c r="BL42" s="23">
        <f t="shared" si="59"/>
        <v>0</v>
      </c>
      <c r="BM42" s="23">
        <f t="shared" si="59"/>
        <v>128</v>
      </c>
      <c r="BN42" s="257">
        <f t="shared" si="59"/>
        <v>1.3728226560000001</v>
      </c>
      <c r="BO42" s="466">
        <f t="shared" si="60"/>
        <v>0</v>
      </c>
      <c r="BP42" s="472"/>
      <c r="BQ42" s="23">
        <f t="shared" si="61"/>
        <v>0</v>
      </c>
      <c r="BR42" s="23">
        <f t="shared" si="62"/>
        <v>0</v>
      </c>
      <c r="BS42" s="466">
        <f t="shared" si="34"/>
        <v>0</v>
      </c>
      <c r="BT42" s="509">
        <f t="shared" si="63"/>
        <v>0</v>
      </c>
      <c r="BU42" s="466">
        <f t="shared" si="64"/>
        <v>0</v>
      </c>
    </row>
    <row r="43" spans="1:73" ht="12.6" customHeight="1">
      <c r="A43" s="254" t="s">
        <v>36</v>
      </c>
      <c r="B43" s="129">
        <f t="shared" si="37"/>
        <v>0</v>
      </c>
      <c r="C43" s="257"/>
      <c r="D43" s="129"/>
      <c r="E43" s="129"/>
      <c r="F43" s="129"/>
      <c r="G43" s="509">
        <f t="shared" si="38"/>
        <v>0</v>
      </c>
      <c r="H43" s="129"/>
      <c r="I43" s="129"/>
      <c r="J43" s="129"/>
      <c r="K43" s="509">
        <f t="shared" si="39"/>
        <v>0</v>
      </c>
      <c r="L43" s="129"/>
      <c r="M43" s="129"/>
      <c r="N43" s="129"/>
      <c r="O43" s="509">
        <f t="shared" si="40"/>
        <v>0</v>
      </c>
      <c r="P43" s="129"/>
      <c r="Q43" s="129"/>
      <c r="R43" s="129"/>
      <c r="S43" s="509">
        <f t="shared" si="41"/>
        <v>0</v>
      </c>
      <c r="T43" s="129"/>
      <c r="U43" s="129"/>
      <c r="V43" s="129">
        <f t="shared" si="42"/>
        <v>0</v>
      </c>
      <c r="W43" s="509">
        <f t="shared" si="43"/>
        <v>0</v>
      </c>
      <c r="X43" s="129"/>
      <c r="Y43" s="129"/>
      <c r="Z43" s="129"/>
      <c r="AA43" s="509">
        <f t="shared" si="44"/>
        <v>0</v>
      </c>
      <c r="AB43" s="129"/>
      <c r="AC43" s="129"/>
      <c r="AD43" s="129"/>
      <c r="AE43" s="509">
        <f t="shared" si="65"/>
        <v>0</v>
      </c>
      <c r="AF43" s="129"/>
      <c r="AG43" s="129"/>
      <c r="AH43" s="129"/>
      <c r="AI43" s="509">
        <f t="shared" si="66"/>
        <v>0</v>
      </c>
      <c r="AJ43" s="129"/>
      <c r="AK43" s="129"/>
      <c r="AL43" s="129"/>
      <c r="AM43" s="509">
        <f t="shared" si="67"/>
        <v>0</v>
      </c>
      <c r="AN43" s="129"/>
      <c r="AO43" s="129"/>
      <c r="AP43" s="129"/>
      <c r="AQ43" s="509">
        <f t="shared" si="68"/>
        <v>0</v>
      </c>
      <c r="AR43" s="129"/>
      <c r="AS43" s="129"/>
      <c r="AT43" s="129"/>
      <c r="AU43" s="509">
        <f t="shared" si="69"/>
        <v>0</v>
      </c>
      <c r="AV43" s="129"/>
      <c r="AW43" s="129"/>
      <c r="AX43" s="129"/>
      <c r="AY43" s="509">
        <f t="shared" si="70"/>
        <v>0</v>
      </c>
      <c r="AZ43" s="23">
        <f t="shared" si="51"/>
        <v>0</v>
      </c>
      <c r="BA43" s="23">
        <f t="shared" si="51"/>
        <v>0</v>
      </c>
      <c r="BB43" s="509">
        <f t="shared" si="52"/>
        <v>0</v>
      </c>
      <c r="BC43" s="23">
        <f t="shared" si="53"/>
        <v>0</v>
      </c>
      <c r="BD43" s="257">
        <f t="shared" si="53"/>
        <v>0</v>
      </c>
      <c r="BE43" s="257">
        <f t="shared" si="54"/>
        <v>0</v>
      </c>
      <c r="BF43" s="257">
        <f t="shared" si="55"/>
        <v>0</v>
      </c>
      <c r="BG43" s="23">
        <f t="shared" si="55"/>
        <v>0</v>
      </c>
      <c r="BH43" s="257">
        <f t="shared" si="56"/>
        <v>0</v>
      </c>
      <c r="BI43" s="23">
        <f t="shared" si="57"/>
        <v>0</v>
      </c>
      <c r="BJ43" s="23">
        <f t="shared" si="57"/>
        <v>0</v>
      </c>
      <c r="BK43" s="257">
        <f t="shared" si="58"/>
        <v>0</v>
      </c>
      <c r="BL43" s="23">
        <f t="shared" si="59"/>
        <v>0</v>
      </c>
      <c r="BM43" s="23">
        <f t="shared" si="59"/>
        <v>0</v>
      </c>
      <c r="BN43" s="257">
        <f t="shared" si="59"/>
        <v>0</v>
      </c>
      <c r="BO43" s="466">
        <f t="shared" si="60"/>
        <v>0</v>
      </c>
      <c r="BP43" s="472"/>
      <c r="BQ43" s="23">
        <f t="shared" si="61"/>
        <v>0</v>
      </c>
      <c r="BR43" s="23">
        <f t="shared" si="62"/>
        <v>0</v>
      </c>
      <c r="BS43" s="466">
        <f t="shared" si="34"/>
        <v>0</v>
      </c>
      <c r="BT43" s="509">
        <f t="shared" si="63"/>
        <v>0</v>
      </c>
      <c r="BU43" s="466">
        <f t="shared" si="64"/>
        <v>0</v>
      </c>
    </row>
    <row r="44" spans="1:73" ht="12.6" customHeight="1">
      <c r="A44" s="254" t="s">
        <v>53</v>
      </c>
      <c r="B44" s="129">
        <f t="shared" si="37"/>
        <v>0</v>
      </c>
      <c r="C44" s="257"/>
      <c r="D44" s="129"/>
      <c r="E44" s="129"/>
      <c r="F44" s="129"/>
      <c r="G44" s="509">
        <f t="shared" si="38"/>
        <v>0</v>
      </c>
      <c r="H44" s="129"/>
      <c r="I44" s="129"/>
      <c r="J44" s="129"/>
      <c r="K44" s="509">
        <f t="shared" si="39"/>
        <v>0</v>
      </c>
      <c r="L44" s="129"/>
      <c r="M44" s="129"/>
      <c r="N44" s="129"/>
      <c r="O44" s="509">
        <f t="shared" si="40"/>
        <v>0</v>
      </c>
      <c r="P44" s="129"/>
      <c r="Q44" s="129"/>
      <c r="R44" s="129"/>
      <c r="S44" s="509">
        <f t="shared" si="41"/>
        <v>0</v>
      </c>
      <c r="T44" s="129"/>
      <c r="U44" s="129"/>
      <c r="V44" s="129">
        <f t="shared" si="42"/>
        <v>0</v>
      </c>
      <c r="W44" s="509">
        <f t="shared" si="43"/>
        <v>0</v>
      </c>
      <c r="X44" s="129"/>
      <c r="Y44" s="129"/>
      <c r="Z44" s="129"/>
      <c r="AA44" s="509">
        <f t="shared" si="44"/>
        <v>0</v>
      </c>
      <c r="AB44" s="129"/>
      <c r="AC44" s="129"/>
      <c r="AD44" s="129"/>
      <c r="AE44" s="509">
        <f t="shared" si="65"/>
        <v>0</v>
      </c>
      <c r="AF44" s="129"/>
      <c r="AG44" s="129"/>
      <c r="AH44" s="129"/>
      <c r="AI44" s="509">
        <f t="shared" si="66"/>
        <v>0</v>
      </c>
      <c r="AJ44" s="129"/>
      <c r="AK44" s="129"/>
      <c r="AL44" s="129"/>
      <c r="AM44" s="509">
        <f t="shared" si="67"/>
        <v>0</v>
      </c>
      <c r="AN44" s="129"/>
      <c r="AO44" s="129"/>
      <c r="AP44" s="129"/>
      <c r="AQ44" s="509">
        <f t="shared" si="68"/>
        <v>0</v>
      </c>
      <c r="AR44" s="129"/>
      <c r="AS44" s="129"/>
      <c r="AT44" s="129"/>
      <c r="AU44" s="509">
        <f t="shared" si="69"/>
        <v>0</v>
      </c>
      <c r="AV44" s="129"/>
      <c r="AW44" s="129"/>
      <c r="AX44" s="129"/>
      <c r="AY44" s="509">
        <f t="shared" si="70"/>
        <v>0</v>
      </c>
      <c r="AZ44" s="23">
        <f t="shared" si="51"/>
        <v>0</v>
      </c>
      <c r="BA44" s="23">
        <f t="shared" si="51"/>
        <v>0</v>
      </c>
      <c r="BB44" s="509">
        <f t="shared" si="52"/>
        <v>0</v>
      </c>
      <c r="BC44" s="23">
        <f t="shared" si="53"/>
        <v>0</v>
      </c>
      <c r="BD44" s="257">
        <f t="shared" si="53"/>
        <v>0</v>
      </c>
      <c r="BE44" s="257">
        <f t="shared" si="54"/>
        <v>0</v>
      </c>
      <c r="BF44" s="257">
        <f t="shared" si="55"/>
        <v>0</v>
      </c>
      <c r="BG44" s="23">
        <f t="shared" si="55"/>
        <v>0</v>
      </c>
      <c r="BH44" s="257">
        <f t="shared" si="56"/>
        <v>0</v>
      </c>
      <c r="BI44" s="23">
        <f t="shared" si="57"/>
        <v>0</v>
      </c>
      <c r="BJ44" s="23">
        <f t="shared" si="57"/>
        <v>0</v>
      </c>
      <c r="BK44" s="257">
        <f t="shared" si="58"/>
        <v>0</v>
      </c>
      <c r="BL44" s="23">
        <f t="shared" si="59"/>
        <v>0</v>
      </c>
      <c r="BM44" s="23">
        <f t="shared" si="59"/>
        <v>0</v>
      </c>
      <c r="BN44" s="257">
        <f t="shared" si="59"/>
        <v>0</v>
      </c>
      <c r="BO44" s="466">
        <f t="shared" si="60"/>
        <v>0</v>
      </c>
      <c r="BP44" s="472"/>
      <c r="BQ44" s="23">
        <f t="shared" si="61"/>
        <v>0</v>
      </c>
      <c r="BR44" s="23">
        <f t="shared" si="62"/>
        <v>0</v>
      </c>
      <c r="BS44" s="466">
        <f t="shared" si="34"/>
        <v>0</v>
      </c>
      <c r="BT44" s="509">
        <f t="shared" si="63"/>
        <v>0</v>
      </c>
      <c r="BU44" s="466">
        <f t="shared" si="64"/>
        <v>0</v>
      </c>
    </row>
    <row r="45" spans="1:73" ht="12.6" customHeight="1">
      <c r="A45" s="505" t="s">
        <v>124</v>
      </c>
      <c r="B45" s="129">
        <f t="shared" si="37"/>
        <v>0</v>
      </c>
      <c r="C45" s="257">
        <v>62.214285714285715</v>
      </c>
      <c r="D45" s="129"/>
      <c r="E45" s="129"/>
      <c r="F45" s="129"/>
      <c r="G45" s="509">
        <f t="shared" si="38"/>
        <v>0</v>
      </c>
      <c r="H45" s="129"/>
      <c r="I45" s="129"/>
      <c r="J45" s="129"/>
      <c r="K45" s="509">
        <f t="shared" si="39"/>
        <v>0</v>
      </c>
      <c r="L45" s="129"/>
      <c r="M45" s="129"/>
      <c r="N45" s="129"/>
      <c r="O45" s="509">
        <f t="shared" si="40"/>
        <v>0</v>
      </c>
      <c r="P45" s="129"/>
      <c r="Q45" s="129"/>
      <c r="R45" s="129"/>
      <c r="S45" s="509">
        <f t="shared" si="41"/>
        <v>0</v>
      </c>
      <c r="T45" s="129"/>
      <c r="U45" s="129"/>
      <c r="V45" s="129">
        <f t="shared" si="42"/>
        <v>0</v>
      </c>
      <c r="W45" s="509">
        <f t="shared" si="43"/>
        <v>0</v>
      </c>
      <c r="X45" s="129"/>
      <c r="Y45" s="129"/>
      <c r="Z45" s="129"/>
      <c r="AA45" s="509">
        <f t="shared" si="44"/>
        <v>0</v>
      </c>
      <c r="AB45" s="129"/>
      <c r="AC45" s="129"/>
      <c r="AD45" s="129"/>
      <c r="AE45" s="509">
        <f t="shared" si="65"/>
        <v>0</v>
      </c>
      <c r="AF45" s="129"/>
      <c r="AG45" s="129"/>
      <c r="AH45" s="129"/>
      <c r="AI45" s="509">
        <f t="shared" si="66"/>
        <v>0</v>
      </c>
      <c r="AJ45" s="129"/>
      <c r="AK45" s="129"/>
      <c r="AL45" s="129"/>
      <c r="AM45" s="509">
        <f t="shared" si="67"/>
        <v>0</v>
      </c>
      <c r="AN45" s="129"/>
      <c r="AO45" s="129"/>
      <c r="AP45" s="129"/>
      <c r="AQ45" s="509">
        <f t="shared" si="68"/>
        <v>0</v>
      </c>
      <c r="AR45" s="129"/>
      <c r="AS45" s="129"/>
      <c r="AT45" s="129"/>
      <c r="AU45" s="509">
        <f t="shared" si="69"/>
        <v>0</v>
      </c>
      <c r="AV45" s="129"/>
      <c r="AW45" s="129"/>
      <c r="AX45" s="129"/>
      <c r="AY45" s="509">
        <f t="shared" si="70"/>
        <v>0</v>
      </c>
      <c r="AZ45" s="23">
        <f t="shared" si="51"/>
        <v>0</v>
      </c>
      <c r="BA45" s="23">
        <f t="shared" si="51"/>
        <v>0</v>
      </c>
      <c r="BB45" s="509">
        <f t="shared" si="52"/>
        <v>0</v>
      </c>
      <c r="BC45" s="23">
        <f t="shared" si="53"/>
        <v>0</v>
      </c>
      <c r="BD45" s="257">
        <f t="shared" si="53"/>
        <v>0</v>
      </c>
      <c r="BE45" s="257">
        <f t="shared" si="54"/>
        <v>0</v>
      </c>
      <c r="BF45" s="257">
        <f t="shared" si="55"/>
        <v>0</v>
      </c>
      <c r="BG45" s="23">
        <f t="shared" si="55"/>
        <v>0</v>
      </c>
      <c r="BH45" s="257">
        <f t="shared" si="56"/>
        <v>0</v>
      </c>
      <c r="BI45" s="23">
        <f t="shared" si="57"/>
        <v>0</v>
      </c>
      <c r="BJ45" s="23">
        <f t="shared" si="57"/>
        <v>0</v>
      </c>
      <c r="BK45" s="257">
        <f t="shared" si="58"/>
        <v>0</v>
      </c>
      <c r="BL45" s="23">
        <f t="shared" si="59"/>
        <v>0</v>
      </c>
      <c r="BM45" s="23">
        <f t="shared" si="59"/>
        <v>0</v>
      </c>
      <c r="BN45" s="257">
        <f t="shared" si="59"/>
        <v>0</v>
      </c>
      <c r="BO45" s="466">
        <f t="shared" si="60"/>
        <v>0</v>
      </c>
      <c r="BP45" s="472"/>
      <c r="BQ45" s="23">
        <f t="shared" si="61"/>
        <v>0</v>
      </c>
      <c r="BR45" s="23">
        <f t="shared" si="62"/>
        <v>0</v>
      </c>
      <c r="BS45" s="466">
        <f t="shared" si="34"/>
        <v>0</v>
      </c>
      <c r="BT45" s="509">
        <f t="shared" si="63"/>
        <v>0</v>
      </c>
      <c r="BU45" s="466">
        <f t="shared" si="64"/>
        <v>0</v>
      </c>
    </row>
    <row r="46" spans="1:73" ht="12.6" customHeight="1">
      <c r="A46" s="506" t="s">
        <v>63</v>
      </c>
      <c r="B46" s="129">
        <f t="shared" si="37"/>
        <v>0</v>
      </c>
      <c r="C46" s="257"/>
      <c r="D46" s="129"/>
      <c r="E46" s="129"/>
      <c r="F46" s="129"/>
      <c r="G46" s="509">
        <f t="shared" si="38"/>
        <v>0</v>
      </c>
      <c r="H46" s="129"/>
      <c r="I46" s="129"/>
      <c r="J46" s="129"/>
      <c r="K46" s="509">
        <f t="shared" si="39"/>
        <v>0</v>
      </c>
      <c r="L46" s="129"/>
      <c r="M46" s="129"/>
      <c r="N46" s="129"/>
      <c r="O46" s="509">
        <f t="shared" si="40"/>
        <v>0</v>
      </c>
      <c r="P46" s="129"/>
      <c r="Q46" s="129"/>
      <c r="R46" s="129"/>
      <c r="S46" s="509">
        <f t="shared" si="41"/>
        <v>0</v>
      </c>
      <c r="T46" s="129"/>
      <c r="U46" s="129"/>
      <c r="V46" s="129">
        <f t="shared" si="42"/>
        <v>0</v>
      </c>
      <c r="W46" s="509">
        <f t="shared" si="43"/>
        <v>0</v>
      </c>
      <c r="X46" s="129"/>
      <c r="Y46" s="129"/>
      <c r="Z46" s="129"/>
      <c r="AA46" s="509">
        <f t="shared" si="44"/>
        <v>0</v>
      </c>
      <c r="AB46" s="129"/>
      <c r="AC46" s="129"/>
      <c r="AD46" s="129"/>
      <c r="AE46" s="509">
        <f t="shared" si="65"/>
        <v>0</v>
      </c>
      <c r="AF46" s="129"/>
      <c r="AG46" s="129"/>
      <c r="AH46" s="129"/>
      <c r="AI46" s="509">
        <f t="shared" si="66"/>
        <v>0</v>
      </c>
      <c r="AJ46" s="129"/>
      <c r="AK46" s="129"/>
      <c r="AL46" s="129"/>
      <c r="AM46" s="509">
        <f t="shared" si="67"/>
        <v>0</v>
      </c>
      <c r="AN46" s="129"/>
      <c r="AO46" s="129"/>
      <c r="AP46" s="129"/>
      <c r="AQ46" s="509">
        <f t="shared" si="68"/>
        <v>0</v>
      </c>
      <c r="AR46" s="129"/>
      <c r="AS46" s="129"/>
      <c r="AT46" s="129"/>
      <c r="AU46" s="509">
        <f t="shared" si="69"/>
        <v>0</v>
      </c>
      <c r="AV46" s="129"/>
      <c r="AW46" s="129"/>
      <c r="AX46" s="129"/>
      <c r="AY46" s="509">
        <f t="shared" si="70"/>
        <v>0</v>
      </c>
      <c r="AZ46" s="23">
        <f t="shared" si="51"/>
        <v>0</v>
      </c>
      <c r="BA46" s="23">
        <f t="shared" si="51"/>
        <v>0</v>
      </c>
      <c r="BB46" s="509">
        <f t="shared" si="52"/>
        <v>0</v>
      </c>
      <c r="BC46" s="23">
        <f t="shared" si="53"/>
        <v>0</v>
      </c>
      <c r="BD46" s="257">
        <f t="shared" si="53"/>
        <v>0</v>
      </c>
      <c r="BE46" s="257">
        <f t="shared" si="54"/>
        <v>0</v>
      </c>
      <c r="BF46" s="257">
        <f t="shared" si="55"/>
        <v>0</v>
      </c>
      <c r="BG46" s="23">
        <f t="shared" si="55"/>
        <v>0</v>
      </c>
      <c r="BH46" s="257">
        <f t="shared" si="56"/>
        <v>0</v>
      </c>
      <c r="BI46" s="23">
        <f t="shared" si="57"/>
        <v>0</v>
      </c>
      <c r="BJ46" s="23">
        <f t="shared" si="57"/>
        <v>0</v>
      </c>
      <c r="BK46" s="257">
        <f t="shared" si="58"/>
        <v>0</v>
      </c>
      <c r="BL46" s="23">
        <f t="shared" si="59"/>
        <v>0</v>
      </c>
      <c r="BM46" s="23">
        <f t="shared" si="59"/>
        <v>0</v>
      </c>
      <c r="BN46" s="257">
        <f t="shared" si="59"/>
        <v>0</v>
      </c>
      <c r="BO46" s="466">
        <f t="shared" si="60"/>
        <v>0</v>
      </c>
      <c r="BP46" s="472"/>
      <c r="BQ46" s="23">
        <f t="shared" si="61"/>
        <v>0</v>
      </c>
      <c r="BR46" s="23">
        <f t="shared" si="62"/>
        <v>0</v>
      </c>
      <c r="BS46" s="466">
        <f t="shared" si="34"/>
        <v>0</v>
      </c>
      <c r="BT46" s="509">
        <f t="shared" si="63"/>
        <v>0</v>
      </c>
      <c r="BU46" s="466">
        <f t="shared" si="64"/>
        <v>0</v>
      </c>
    </row>
    <row r="47" spans="1:73" ht="12.6" customHeight="1">
      <c r="A47" s="506" t="s">
        <v>41</v>
      </c>
      <c r="B47" s="129">
        <f t="shared" si="37"/>
        <v>0</v>
      </c>
      <c r="C47" s="257"/>
      <c r="D47" s="129"/>
      <c r="E47" s="129"/>
      <c r="F47" s="129"/>
      <c r="G47" s="509">
        <f t="shared" si="38"/>
        <v>0</v>
      </c>
      <c r="H47" s="129"/>
      <c r="I47" s="129"/>
      <c r="J47" s="129"/>
      <c r="K47" s="509">
        <f t="shared" si="39"/>
        <v>0</v>
      </c>
      <c r="L47" s="129"/>
      <c r="M47" s="129"/>
      <c r="N47" s="129"/>
      <c r="O47" s="509">
        <f t="shared" si="40"/>
        <v>0</v>
      </c>
      <c r="P47" s="129"/>
      <c r="Q47" s="129"/>
      <c r="R47" s="129"/>
      <c r="S47" s="509">
        <f t="shared" si="41"/>
        <v>0</v>
      </c>
      <c r="T47" s="129"/>
      <c r="U47" s="129"/>
      <c r="V47" s="129">
        <f t="shared" si="42"/>
        <v>0</v>
      </c>
      <c r="W47" s="509">
        <f t="shared" si="43"/>
        <v>0</v>
      </c>
      <c r="X47" s="129"/>
      <c r="Y47" s="129"/>
      <c r="Z47" s="129"/>
      <c r="AA47" s="509">
        <f t="shared" si="44"/>
        <v>0</v>
      </c>
      <c r="AB47" s="129"/>
      <c r="AC47" s="129"/>
      <c r="AD47" s="129"/>
      <c r="AE47" s="509">
        <f t="shared" si="65"/>
        <v>0</v>
      </c>
      <c r="AF47" s="129"/>
      <c r="AG47" s="129"/>
      <c r="AH47" s="129"/>
      <c r="AI47" s="509">
        <f t="shared" si="66"/>
        <v>0</v>
      </c>
      <c r="AJ47" s="129"/>
      <c r="AK47" s="129"/>
      <c r="AL47" s="129"/>
      <c r="AM47" s="509">
        <f t="shared" si="67"/>
        <v>0</v>
      </c>
      <c r="AN47" s="129"/>
      <c r="AO47" s="129"/>
      <c r="AP47" s="129"/>
      <c r="AQ47" s="509">
        <f t="shared" si="68"/>
        <v>0</v>
      </c>
      <c r="AR47" s="129"/>
      <c r="AS47" s="129"/>
      <c r="AT47" s="129"/>
      <c r="AU47" s="509">
        <f t="shared" si="69"/>
        <v>0</v>
      </c>
      <c r="AV47" s="129"/>
      <c r="AW47" s="129"/>
      <c r="AX47" s="129"/>
      <c r="AY47" s="509">
        <f t="shared" si="70"/>
        <v>0</v>
      </c>
      <c r="AZ47" s="23">
        <f t="shared" si="51"/>
        <v>0</v>
      </c>
      <c r="BA47" s="23">
        <f t="shared" si="51"/>
        <v>0</v>
      </c>
      <c r="BB47" s="509">
        <f t="shared" si="52"/>
        <v>0</v>
      </c>
      <c r="BC47" s="23">
        <f t="shared" si="53"/>
        <v>0</v>
      </c>
      <c r="BD47" s="257">
        <f t="shared" si="53"/>
        <v>0</v>
      </c>
      <c r="BE47" s="257">
        <f t="shared" si="54"/>
        <v>0</v>
      </c>
      <c r="BF47" s="257">
        <f t="shared" si="55"/>
        <v>0</v>
      </c>
      <c r="BG47" s="23">
        <f t="shared" si="55"/>
        <v>0</v>
      </c>
      <c r="BH47" s="257">
        <f t="shared" si="56"/>
        <v>0</v>
      </c>
      <c r="BI47" s="23">
        <f t="shared" si="57"/>
        <v>0</v>
      </c>
      <c r="BJ47" s="23">
        <f t="shared" si="57"/>
        <v>0</v>
      </c>
      <c r="BK47" s="257">
        <f t="shared" si="58"/>
        <v>0</v>
      </c>
      <c r="BL47" s="23">
        <f t="shared" si="59"/>
        <v>0</v>
      </c>
      <c r="BM47" s="23">
        <f t="shared" si="59"/>
        <v>0</v>
      </c>
      <c r="BN47" s="257">
        <f t="shared" si="59"/>
        <v>0</v>
      </c>
      <c r="BO47" s="466">
        <f t="shared" si="60"/>
        <v>0</v>
      </c>
      <c r="BP47" s="472"/>
      <c r="BQ47" s="23">
        <f t="shared" si="61"/>
        <v>0</v>
      </c>
      <c r="BR47" s="23">
        <f t="shared" si="62"/>
        <v>0</v>
      </c>
      <c r="BS47" s="466">
        <f t="shared" si="34"/>
        <v>0</v>
      </c>
      <c r="BT47" s="509">
        <f t="shared" si="63"/>
        <v>0</v>
      </c>
      <c r="BU47" s="466">
        <f t="shared" si="64"/>
        <v>0</v>
      </c>
    </row>
    <row r="48" spans="1:73" ht="12.6" customHeight="1">
      <c r="A48" s="506" t="s">
        <v>52</v>
      </c>
      <c r="B48" s="129">
        <f t="shared" si="37"/>
        <v>0</v>
      </c>
      <c r="C48" s="257"/>
      <c r="D48" s="129"/>
      <c r="E48" s="129"/>
      <c r="F48" s="129"/>
      <c r="G48" s="509">
        <f t="shared" si="38"/>
        <v>0</v>
      </c>
      <c r="H48" s="129"/>
      <c r="I48" s="129"/>
      <c r="J48" s="129"/>
      <c r="K48" s="509">
        <f t="shared" si="39"/>
        <v>0</v>
      </c>
      <c r="L48" s="129"/>
      <c r="M48" s="129"/>
      <c r="N48" s="129"/>
      <c r="O48" s="509">
        <f t="shared" si="40"/>
        <v>0</v>
      </c>
      <c r="P48" s="129"/>
      <c r="Q48" s="129"/>
      <c r="R48" s="129"/>
      <c r="S48" s="509">
        <f t="shared" si="41"/>
        <v>0</v>
      </c>
      <c r="T48" s="129"/>
      <c r="U48" s="129"/>
      <c r="V48" s="129">
        <f t="shared" si="42"/>
        <v>0</v>
      </c>
      <c r="W48" s="509">
        <f t="shared" si="43"/>
        <v>0</v>
      </c>
      <c r="X48" s="129"/>
      <c r="Y48" s="129"/>
      <c r="Z48" s="129"/>
      <c r="AA48" s="509">
        <f t="shared" si="44"/>
        <v>0</v>
      </c>
      <c r="AB48" s="129"/>
      <c r="AC48" s="129"/>
      <c r="AD48" s="129"/>
      <c r="AE48" s="509">
        <f t="shared" si="65"/>
        <v>0</v>
      </c>
      <c r="AF48" s="129"/>
      <c r="AG48" s="129"/>
      <c r="AH48" s="129"/>
      <c r="AI48" s="509">
        <f t="shared" si="66"/>
        <v>0</v>
      </c>
      <c r="AJ48" s="129"/>
      <c r="AK48" s="129"/>
      <c r="AL48" s="129"/>
      <c r="AM48" s="509">
        <f t="shared" si="67"/>
        <v>0</v>
      </c>
      <c r="AN48" s="129"/>
      <c r="AO48" s="129"/>
      <c r="AP48" s="129"/>
      <c r="AQ48" s="509">
        <f t="shared" si="68"/>
        <v>0</v>
      </c>
      <c r="AR48" s="129"/>
      <c r="AS48" s="129"/>
      <c r="AT48" s="129"/>
      <c r="AU48" s="509">
        <f t="shared" si="69"/>
        <v>0</v>
      </c>
      <c r="AV48" s="129"/>
      <c r="AW48" s="129"/>
      <c r="AX48" s="129"/>
      <c r="AY48" s="509">
        <f t="shared" si="70"/>
        <v>0</v>
      </c>
      <c r="AZ48" s="23">
        <f t="shared" si="51"/>
        <v>0</v>
      </c>
      <c r="BA48" s="23">
        <f t="shared" si="51"/>
        <v>0</v>
      </c>
      <c r="BB48" s="509">
        <f t="shared" si="52"/>
        <v>0</v>
      </c>
      <c r="BC48" s="23">
        <f t="shared" si="53"/>
        <v>0</v>
      </c>
      <c r="BD48" s="257">
        <f t="shared" si="53"/>
        <v>0</v>
      </c>
      <c r="BE48" s="257">
        <f t="shared" si="54"/>
        <v>0</v>
      </c>
      <c r="BF48" s="257">
        <f t="shared" si="55"/>
        <v>0</v>
      </c>
      <c r="BG48" s="23">
        <f t="shared" si="55"/>
        <v>0</v>
      </c>
      <c r="BH48" s="257">
        <f t="shared" si="56"/>
        <v>0</v>
      </c>
      <c r="BI48" s="23">
        <f t="shared" si="57"/>
        <v>0</v>
      </c>
      <c r="BJ48" s="23">
        <f t="shared" si="57"/>
        <v>0</v>
      </c>
      <c r="BK48" s="257">
        <f t="shared" si="58"/>
        <v>0</v>
      </c>
      <c r="BL48" s="23">
        <f t="shared" si="59"/>
        <v>0</v>
      </c>
      <c r="BM48" s="23">
        <f t="shared" si="59"/>
        <v>0</v>
      </c>
      <c r="BN48" s="257">
        <f t="shared" si="59"/>
        <v>0</v>
      </c>
      <c r="BO48" s="466">
        <f t="shared" si="60"/>
        <v>0</v>
      </c>
      <c r="BP48" s="472"/>
      <c r="BQ48" s="23">
        <f t="shared" si="61"/>
        <v>0</v>
      </c>
      <c r="BR48" s="23">
        <f t="shared" si="62"/>
        <v>0</v>
      </c>
      <c r="BS48" s="466">
        <f t="shared" si="34"/>
        <v>0</v>
      </c>
      <c r="BT48" s="509">
        <f t="shared" si="63"/>
        <v>0</v>
      </c>
      <c r="BU48" s="466">
        <f t="shared" si="64"/>
        <v>0</v>
      </c>
    </row>
    <row r="49" spans="1:73" ht="12.6" customHeight="1">
      <c r="A49" s="506" t="s">
        <v>42</v>
      </c>
      <c r="B49" s="129">
        <f t="shared" si="37"/>
        <v>0</v>
      </c>
      <c r="C49" s="257"/>
      <c r="D49" s="129"/>
      <c r="E49" s="129"/>
      <c r="F49" s="129"/>
      <c r="G49" s="509">
        <f t="shared" si="38"/>
        <v>0</v>
      </c>
      <c r="H49" s="129"/>
      <c r="I49" s="129"/>
      <c r="J49" s="129"/>
      <c r="K49" s="509">
        <f t="shared" si="39"/>
        <v>0</v>
      </c>
      <c r="L49" s="129"/>
      <c r="M49" s="129"/>
      <c r="N49" s="129"/>
      <c r="O49" s="509">
        <f t="shared" si="40"/>
        <v>0</v>
      </c>
      <c r="P49" s="129"/>
      <c r="Q49" s="129"/>
      <c r="R49" s="129"/>
      <c r="S49" s="509">
        <f t="shared" si="41"/>
        <v>0</v>
      </c>
      <c r="T49" s="129"/>
      <c r="U49" s="129"/>
      <c r="V49" s="129">
        <f t="shared" si="42"/>
        <v>0</v>
      </c>
      <c r="W49" s="509">
        <f t="shared" si="43"/>
        <v>0</v>
      </c>
      <c r="X49" s="129"/>
      <c r="Y49" s="129"/>
      <c r="Z49" s="129"/>
      <c r="AA49" s="509">
        <f t="shared" si="44"/>
        <v>0</v>
      </c>
      <c r="AB49" s="129"/>
      <c r="AC49" s="129"/>
      <c r="AD49" s="129"/>
      <c r="AE49" s="509">
        <f t="shared" si="65"/>
        <v>0</v>
      </c>
      <c r="AF49" s="129"/>
      <c r="AG49" s="129"/>
      <c r="AH49" s="129"/>
      <c r="AI49" s="509">
        <f t="shared" si="66"/>
        <v>0</v>
      </c>
      <c r="AJ49" s="129"/>
      <c r="AK49" s="129"/>
      <c r="AL49" s="129"/>
      <c r="AM49" s="509">
        <f t="shared" si="67"/>
        <v>0</v>
      </c>
      <c r="AN49" s="129"/>
      <c r="AO49" s="129"/>
      <c r="AP49" s="129"/>
      <c r="AQ49" s="509">
        <f t="shared" si="68"/>
        <v>0</v>
      </c>
      <c r="AR49" s="129"/>
      <c r="AS49" s="129"/>
      <c r="AT49" s="129"/>
      <c r="AU49" s="509">
        <f t="shared" si="69"/>
        <v>0</v>
      </c>
      <c r="AV49" s="129"/>
      <c r="AW49" s="129"/>
      <c r="AX49" s="129"/>
      <c r="AY49" s="509">
        <f t="shared" si="70"/>
        <v>0</v>
      </c>
      <c r="AZ49" s="23">
        <f t="shared" si="51"/>
        <v>0</v>
      </c>
      <c r="BA49" s="23">
        <f t="shared" si="51"/>
        <v>0</v>
      </c>
      <c r="BB49" s="509">
        <f t="shared" si="52"/>
        <v>0</v>
      </c>
      <c r="BC49" s="23">
        <f t="shared" si="53"/>
        <v>0</v>
      </c>
      <c r="BD49" s="257">
        <f t="shared" si="53"/>
        <v>0</v>
      </c>
      <c r="BE49" s="257">
        <f t="shared" si="54"/>
        <v>0</v>
      </c>
      <c r="BF49" s="257">
        <f t="shared" si="55"/>
        <v>0</v>
      </c>
      <c r="BG49" s="23">
        <f t="shared" si="55"/>
        <v>0</v>
      </c>
      <c r="BH49" s="257">
        <f t="shared" si="56"/>
        <v>0</v>
      </c>
      <c r="BI49" s="23">
        <f t="shared" si="57"/>
        <v>0</v>
      </c>
      <c r="BJ49" s="23">
        <f t="shared" si="57"/>
        <v>0</v>
      </c>
      <c r="BK49" s="257">
        <f t="shared" si="58"/>
        <v>0</v>
      </c>
      <c r="BL49" s="23">
        <f t="shared" si="59"/>
        <v>0</v>
      </c>
      <c r="BM49" s="23">
        <f t="shared" si="59"/>
        <v>0</v>
      </c>
      <c r="BN49" s="257">
        <f t="shared" si="59"/>
        <v>0</v>
      </c>
      <c r="BO49" s="466">
        <f t="shared" si="60"/>
        <v>0</v>
      </c>
      <c r="BP49" s="472"/>
      <c r="BQ49" s="23">
        <f t="shared" si="61"/>
        <v>0</v>
      </c>
      <c r="BR49" s="23">
        <f t="shared" si="62"/>
        <v>0</v>
      </c>
      <c r="BS49" s="466">
        <f t="shared" si="34"/>
        <v>0</v>
      </c>
      <c r="BT49" s="509">
        <f t="shared" si="63"/>
        <v>0</v>
      </c>
      <c r="BU49" s="466">
        <f t="shared" si="64"/>
        <v>0</v>
      </c>
    </row>
    <row r="50" spans="1:73" ht="12.6" customHeight="1">
      <c r="A50" s="505" t="s">
        <v>127</v>
      </c>
      <c r="B50" s="129">
        <f t="shared" si="37"/>
        <v>0</v>
      </c>
      <c r="C50" s="257"/>
      <c r="D50" s="129"/>
      <c r="E50" s="129">
        <v>29</v>
      </c>
      <c r="F50" s="129">
        <v>1009</v>
      </c>
      <c r="G50" s="509">
        <f t="shared" si="38"/>
        <v>0.19449786699999999</v>
      </c>
      <c r="H50" s="129"/>
      <c r="I50" s="129"/>
      <c r="J50" s="129"/>
      <c r="K50" s="509">
        <f t="shared" si="39"/>
        <v>0</v>
      </c>
      <c r="L50" s="129"/>
      <c r="M50" s="129"/>
      <c r="N50" s="129"/>
      <c r="O50" s="509">
        <f t="shared" si="40"/>
        <v>0</v>
      </c>
      <c r="P50" s="129"/>
      <c r="Q50" s="129"/>
      <c r="R50" s="129"/>
      <c r="S50" s="509">
        <f t="shared" si="41"/>
        <v>0</v>
      </c>
      <c r="T50" s="129"/>
      <c r="U50" s="129"/>
      <c r="V50" s="129">
        <f>(T50*U50)/10^6</f>
        <v>0</v>
      </c>
      <c r="W50" s="509">
        <f t="shared" si="43"/>
        <v>0</v>
      </c>
      <c r="X50" s="129"/>
      <c r="Y50" s="129"/>
      <c r="Z50" s="129"/>
      <c r="AA50" s="509">
        <f t="shared" si="44"/>
        <v>0</v>
      </c>
      <c r="AB50" s="129"/>
      <c r="AC50" s="129"/>
      <c r="AD50" s="129"/>
      <c r="AE50" s="509">
        <f t="shared" si="65"/>
        <v>0</v>
      </c>
      <c r="AF50" s="129"/>
      <c r="AG50" s="129"/>
      <c r="AH50" s="129"/>
      <c r="AI50" s="509">
        <f t="shared" si="66"/>
        <v>0</v>
      </c>
      <c r="AJ50" s="129"/>
      <c r="AK50" s="129"/>
      <c r="AL50" s="129"/>
      <c r="AM50" s="509">
        <f t="shared" si="67"/>
        <v>0</v>
      </c>
      <c r="AN50" s="129"/>
      <c r="AO50" s="129"/>
      <c r="AP50" s="129"/>
      <c r="AQ50" s="509">
        <f t="shared" si="68"/>
        <v>0</v>
      </c>
      <c r="AR50" s="129"/>
      <c r="AS50" s="129"/>
      <c r="AT50" s="129"/>
      <c r="AU50" s="509">
        <f t="shared" si="69"/>
        <v>0</v>
      </c>
      <c r="AV50" s="129"/>
      <c r="AW50" s="129"/>
      <c r="AX50" s="129"/>
      <c r="AY50" s="509">
        <f t="shared" si="70"/>
        <v>0</v>
      </c>
      <c r="AZ50" s="23">
        <f t="shared" si="51"/>
        <v>0</v>
      </c>
      <c r="BA50" s="23">
        <f t="shared" si="51"/>
        <v>29</v>
      </c>
      <c r="BB50" s="509">
        <f t="shared" si="52"/>
        <v>0.19449786699999999</v>
      </c>
      <c r="BC50" s="23">
        <f t="shared" si="53"/>
        <v>0</v>
      </c>
      <c r="BD50" s="257">
        <f t="shared" si="53"/>
        <v>0</v>
      </c>
      <c r="BE50" s="257">
        <f t="shared" si="54"/>
        <v>0</v>
      </c>
      <c r="BF50" s="257">
        <f t="shared" si="55"/>
        <v>0</v>
      </c>
      <c r="BG50" s="23">
        <f t="shared" si="55"/>
        <v>0</v>
      </c>
      <c r="BH50" s="257">
        <f t="shared" si="56"/>
        <v>0</v>
      </c>
      <c r="BI50" s="23">
        <f t="shared" si="57"/>
        <v>0</v>
      </c>
      <c r="BJ50" s="23">
        <f t="shared" si="57"/>
        <v>0</v>
      </c>
      <c r="BK50" s="257">
        <f t="shared" si="58"/>
        <v>0</v>
      </c>
      <c r="BL50" s="23">
        <f t="shared" si="59"/>
        <v>0</v>
      </c>
      <c r="BM50" s="23">
        <f t="shared" si="59"/>
        <v>29</v>
      </c>
      <c r="BN50" s="257">
        <f t="shared" si="59"/>
        <v>0.19449786699999999</v>
      </c>
      <c r="BO50" s="466">
        <f t="shared" si="60"/>
        <v>0</v>
      </c>
      <c r="BP50" s="472"/>
      <c r="BQ50" s="23">
        <f t="shared" si="61"/>
        <v>0</v>
      </c>
      <c r="BR50" s="23">
        <f t="shared" si="62"/>
        <v>29</v>
      </c>
      <c r="BS50" s="466">
        <f t="shared" si="34"/>
        <v>0</v>
      </c>
      <c r="BT50" s="509">
        <f t="shared" si="63"/>
        <v>0.19449786699999999</v>
      </c>
      <c r="BU50" s="466">
        <f t="shared" si="64"/>
        <v>0</v>
      </c>
    </row>
    <row r="51" spans="1:73" ht="12.6" customHeight="1">
      <c r="A51" s="254" t="s">
        <v>126</v>
      </c>
      <c r="B51" s="129">
        <f t="shared" si="37"/>
        <v>1200</v>
      </c>
      <c r="C51" s="257">
        <v>12.357142857142858</v>
      </c>
      <c r="D51" s="129">
        <v>100</v>
      </c>
      <c r="E51" s="129">
        <v>98</v>
      </c>
      <c r="F51" s="129">
        <v>782</v>
      </c>
      <c r="G51" s="509">
        <f t="shared" si="38"/>
        <v>0.501349975</v>
      </c>
      <c r="H51" s="129">
        <v>100</v>
      </c>
      <c r="I51" s="129">
        <v>97</v>
      </c>
      <c r="J51" s="129">
        <v>838.5</v>
      </c>
      <c r="K51" s="509">
        <f t="shared" si="39"/>
        <v>0.53618902014285719</v>
      </c>
      <c r="L51" s="129">
        <v>100</v>
      </c>
      <c r="M51" s="129">
        <v>157</v>
      </c>
      <c r="N51" s="129">
        <v>890.7</v>
      </c>
      <c r="O51" s="509">
        <f t="shared" si="40"/>
        <v>0.92779004662857145</v>
      </c>
      <c r="P51" s="129">
        <v>100</v>
      </c>
      <c r="Q51" s="129"/>
      <c r="R51" s="129"/>
      <c r="S51" s="509">
        <f t="shared" si="41"/>
        <v>0</v>
      </c>
      <c r="T51" s="129">
        <v>100</v>
      </c>
      <c r="U51" s="129"/>
      <c r="V51" s="129">
        <f t="shared" si="42"/>
        <v>0</v>
      </c>
      <c r="W51" s="509">
        <f t="shared" si="43"/>
        <v>0</v>
      </c>
      <c r="X51" s="129">
        <v>100</v>
      </c>
      <c r="Y51" s="129"/>
      <c r="Z51" s="129"/>
      <c r="AA51" s="509">
        <f t="shared" si="44"/>
        <v>0</v>
      </c>
      <c r="AB51" s="129">
        <v>100</v>
      </c>
      <c r="AC51" s="129">
        <v>58</v>
      </c>
      <c r="AD51" s="129">
        <v>1042</v>
      </c>
      <c r="AE51" s="509">
        <f t="shared" si="65"/>
        <v>0.4030953885137758</v>
      </c>
      <c r="AF51" s="129">
        <v>100</v>
      </c>
      <c r="AG51" s="129">
        <v>58</v>
      </c>
      <c r="AH51" s="129">
        <v>1031</v>
      </c>
      <c r="AI51" s="509">
        <f t="shared" si="66"/>
        <v>0.40390471720690868</v>
      </c>
      <c r="AJ51" s="129">
        <v>100</v>
      </c>
      <c r="AK51" s="129"/>
      <c r="AL51" s="129"/>
      <c r="AM51" s="509">
        <f t="shared" si="67"/>
        <v>0</v>
      </c>
      <c r="AN51" s="129">
        <v>100</v>
      </c>
      <c r="AO51" s="129"/>
      <c r="AP51" s="129"/>
      <c r="AQ51" s="509">
        <f t="shared" si="68"/>
        <v>0</v>
      </c>
      <c r="AR51" s="129">
        <v>100</v>
      </c>
      <c r="AS51" s="129"/>
      <c r="AT51" s="129"/>
      <c r="AU51" s="509">
        <f t="shared" si="69"/>
        <v>0</v>
      </c>
      <c r="AV51" s="129">
        <v>100</v>
      </c>
      <c r="AW51" s="129"/>
      <c r="AX51" s="129"/>
      <c r="AY51" s="509">
        <f t="shared" si="70"/>
        <v>0</v>
      </c>
      <c r="AZ51" s="23">
        <f t="shared" si="51"/>
        <v>300</v>
      </c>
      <c r="BA51" s="23">
        <f t="shared" si="51"/>
        <v>352</v>
      </c>
      <c r="BB51" s="509">
        <f t="shared" si="52"/>
        <v>1.9653290417714286</v>
      </c>
      <c r="BC51" s="23">
        <f t="shared" si="53"/>
        <v>300</v>
      </c>
      <c r="BD51" s="257">
        <f t="shared" si="53"/>
        <v>0</v>
      </c>
      <c r="BE51" s="257">
        <f t="shared" si="54"/>
        <v>0</v>
      </c>
      <c r="BF51" s="257">
        <f t="shared" si="55"/>
        <v>300</v>
      </c>
      <c r="BG51" s="23">
        <f t="shared" si="55"/>
        <v>116</v>
      </c>
      <c r="BH51" s="257">
        <f t="shared" si="56"/>
        <v>0.80700010572068448</v>
      </c>
      <c r="BI51" s="23">
        <f t="shared" si="57"/>
        <v>300</v>
      </c>
      <c r="BJ51" s="23">
        <f t="shared" si="57"/>
        <v>0</v>
      </c>
      <c r="BK51" s="257">
        <f t="shared" si="58"/>
        <v>0</v>
      </c>
      <c r="BL51" s="23">
        <f t="shared" si="59"/>
        <v>1200</v>
      </c>
      <c r="BM51" s="23">
        <f t="shared" si="59"/>
        <v>468</v>
      </c>
      <c r="BN51" s="257">
        <f t="shared" si="59"/>
        <v>2.7723291474921132</v>
      </c>
      <c r="BO51" s="466">
        <f t="shared" si="60"/>
        <v>0.39</v>
      </c>
      <c r="BP51" s="472"/>
      <c r="BQ51" s="23">
        <f t="shared" si="61"/>
        <v>600</v>
      </c>
      <c r="BR51" s="23">
        <f t="shared" si="62"/>
        <v>352</v>
      </c>
      <c r="BS51" s="466">
        <f t="shared" si="34"/>
        <v>0.58666666666666667</v>
      </c>
      <c r="BT51" s="509">
        <f t="shared" si="63"/>
        <v>1.9653290417714286</v>
      </c>
      <c r="BU51" s="466">
        <f t="shared" si="64"/>
        <v>0.29333333333333333</v>
      </c>
    </row>
    <row r="52" spans="1:73" ht="12.6" customHeight="1">
      <c r="A52" s="503" t="s">
        <v>64</v>
      </c>
      <c r="B52" s="129">
        <f t="shared" si="37"/>
        <v>0</v>
      </c>
      <c r="C52" s="257"/>
      <c r="D52" s="129"/>
      <c r="E52" s="129"/>
      <c r="F52" s="129"/>
      <c r="G52" s="509">
        <f t="shared" si="38"/>
        <v>0</v>
      </c>
      <c r="H52" s="129"/>
      <c r="I52" s="129"/>
      <c r="J52" s="129"/>
      <c r="K52" s="509">
        <f t="shared" si="39"/>
        <v>0</v>
      </c>
      <c r="L52" s="129"/>
      <c r="M52" s="129"/>
      <c r="N52" s="129"/>
      <c r="O52" s="509">
        <f t="shared" si="40"/>
        <v>0</v>
      </c>
      <c r="P52" s="129"/>
      <c r="Q52" s="129"/>
      <c r="R52" s="129"/>
      <c r="S52" s="509">
        <f t="shared" si="41"/>
        <v>0</v>
      </c>
      <c r="T52" s="129"/>
      <c r="U52" s="129"/>
      <c r="V52" s="129">
        <f t="shared" si="42"/>
        <v>0</v>
      </c>
      <c r="W52" s="509">
        <f t="shared" si="43"/>
        <v>0</v>
      </c>
      <c r="X52" s="129"/>
      <c r="Y52" s="129"/>
      <c r="Z52" s="129"/>
      <c r="AA52" s="509">
        <f t="shared" si="44"/>
        <v>0</v>
      </c>
      <c r="AB52" s="129"/>
      <c r="AC52" s="129"/>
      <c r="AD52" s="129"/>
      <c r="AE52" s="509">
        <f t="shared" si="65"/>
        <v>0</v>
      </c>
      <c r="AF52" s="129"/>
      <c r="AG52" s="129">
        <v>173</v>
      </c>
      <c r="AH52" s="129">
        <v>1906</v>
      </c>
      <c r="AI52" s="509">
        <f t="shared" si="66"/>
        <v>2.2283694039999999</v>
      </c>
      <c r="AJ52" s="129"/>
      <c r="AK52" s="129"/>
      <c r="AL52" s="129"/>
      <c r="AM52" s="509">
        <f t="shared" si="67"/>
        <v>0</v>
      </c>
      <c r="AN52" s="129"/>
      <c r="AO52" s="129">
        <v>226</v>
      </c>
      <c r="AP52" s="129">
        <v>1883</v>
      </c>
      <c r="AQ52" s="509">
        <f t="shared" si="68"/>
        <v>2.8942199580000003</v>
      </c>
      <c r="AR52" s="129"/>
      <c r="AS52" s="129"/>
      <c r="AT52" s="129"/>
      <c r="AU52" s="509">
        <f t="shared" si="69"/>
        <v>0</v>
      </c>
      <c r="AV52" s="129"/>
      <c r="AW52" s="129"/>
      <c r="AX52" s="129"/>
      <c r="AY52" s="509">
        <f t="shared" si="70"/>
        <v>0</v>
      </c>
      <c r="AZ52" s="23">
        <f t="shared" si="51"/>
        <v>0</v>
      </c>
      <c r="BA52" s="23">
        <f t="shared" si="51"/>
        <v>0</v>
      </c>
      <c r="BB52" s="509">
        <f t="shared" si="52"/>
        <v>0</v>
      </c>
      <c r="BC52" s="23">
        <f t="shared" si="53"/>
        <v>0</v>
      </c>
      <c r="BD52" s="257">
        <f t="shared" si="53"/>
        <v>0</v>
      </c>
      <c r="BE52" s="257">
        <f t="shared" si="54"/>
        <v>0</v>
      </c>
      <c r="BF52" s="257">
        <f t="shared" si="55"/>
        <v>0</v>
      </c>
      <c r="BG52" s="23">
        <f t="shared" si="55"/>
        <v>173</v>
      </c>
      <c r="BH52" s="257">
        <f t="shared" si="56"/>
        <v>2.2283694039999999</v>
      </c>
      <c r="BI52" s="23">
        <f t="shared" si="57"/>
        <v>0</v>
      </c>
      <c r="BJ52" s="23">
        <f t="shared" si="57"/>
        <v>226</v>
      </c>
      <c r="BK52" s="257">
        <f t="shared" si="58"/>
        <v>2.8942199580000003</v>
      </c>
      <c r="BL52" s="23">
        <f t="shared" si="59"/>
        <v>0</v>
      </c>
      <c r="BM52" s="23">
        <f t="shared" si="59"/>
        <v>399</v>
      </c>
      <c r="BN52" s="257">
        <f t="shared" si="59"/>
        <v>5.1225893620000003</v>
      </c>
      <c r="BO52" s="466">
        <f t="shared" si="60"/>
        <v>0</v>
      </c>
      <c r="BP52" s="472"/>
      <c r="BQ52" s="23">
        <f t="shared" si="61"/>
        <v>0</v>
      </c>
      <c r="BR52" s="23">
        <f t="shared" si="62"/>
        <v>0</v>
      </c>
      <c r="BS52" s="466">
        <f t="shared" si="34"/>
        <v>0</v>
      </c>
      <c r="BT52" s="509">
        <f t="shared" si="63"/>
        <v>0</v>
      </c>
      <c r="BU52" s="466">
        <f t="shared" si="64"/>
        <v>0</v>
      </c>
    </row>
    <row r="53" spans="1:73" ht="12.6" customHeight="1">
      <c r="A53" s="254" t="s">
        <v>119</v>
      </c>
      <c r="B53" s="129">
        <f t="shared" si="37"/>
        <v>1200</v>
      </c>
      <c r="C53" s="257">
        <v>18.399999999999999</v>
      </c>
      <c r="D53" s="129"/>
      <c r="E53" s="129"/>
      <c r="F53" s="129"/>
      <c r="G53" s="509">
        <f t="shared" si="38"/>
        <v>0</v>
      </c>
      <c r="H53" s="129"/>
      <c r="I53" s="129">
        <v>98</v>
      </c>
      <c r="J53" s="129">
        <v>713</v>
      </c>
      <c r="K53" s="509">
        <f t="shared" si="39"/>
        <v>0.45546172280000002</v>
      </c>
      <c r="L53" s="129"/>
      <c r="M53" s="129">
        <v>197</v>
      </c>
      <c r="N53" s="129">
        <v>725.4</v>
      </c>
      <c r="O53" s="509">
        <f t="shared" si="40"/>
        <v>0.93706911200000009</v>
      </c>
      <c r="P53" s="129"/>
      <c r="Q53" s="129">
        <v>233</v>
      </c>
      <c r="R53" s="129">
        <v>718</v>
      </c>
      <c r="S53" s="509">
        <f t="shared" si="41"/>
        <v>1.0967097504000001</v>
      </c>
      <c r="T53" s="129"/>
      <c r="U53" s="129">
        <v>157</v>
      </c>
      <c r="V53" s="129">
        <v>717</v>
      </c>
      <c r="W53" s="509">
        <f t="shared" si="43"/>
        <v>0.73408957860000001</v>
      </c>
      <c r="X53" s="129">
        <v>100</v>
      </c>
      <c r="Y53" s="129"/>
      <c r="Z53" s="129"/>
      <c r="AA53" s="509">
        <f t="shared" si="44"/>
        <v>0</v>
      </c>
      <c r="AB53" s="129">
        <v>100</v>
      </c>
      <c r="AC53" s="129"/>
      <c r="AD53" s="129"/>
      <c r="AE53" s="509">
        <f t="shared" si="65"/>
        <v>0</v>
      </c>
      <c r="AF53" s="129">
        <v>200</v>
      </c>
      <c r="AG53" s="129"/>
      <c r="AH53" s="129"/>
      <c r="AI53" s="509">
        <f t="shared" si="66"/>
        <v>0</v>
      </c>
      <c r="AJ53" s="129">
        <v>200</v>
      </c>
      <c r="AK53" s="129"/>
      <c r="AL53" s="129"/>
      <c r="AM53" s="509">
        <f t="shared" si="67"/>
        <v>0</v>
      </c>
      <c r="AN53" s="129">
        <v>200</v>
      </c>
      <c r="AO53" s="129"/>
      <c r="AP53" s="129"/>
      <c r="AQ53" s="509">
        <f t="shared" si="68"/>
        <v>0</v>
      </c>
      <c r="AR53" s="129">
        <v>200</v>
      </c>
      <c r="AS53" s="129"/>
      <c r="AT53" s="129"/>
      <c r="AU53" s="509">
        <f t="shared" si="69"/>
        <v>0</v>
      </c>
      <c r="AV53" s="129">
        <v>200</v>
      </c>
      <c r="AW53" s="129"/>
      <c r="AX53" s="129"/>
      <c r="AY53" s="509">
        <f t="shared" si="70"/>
        <v>0</v>
      </c>
      <c r="AZ53" s="23">
        <f t="shared" si="51"/>
        <v>0</v>
      </c>
      <c r="BA53" s="23">
        <f t="shared" si="51"/>
        <v>295</v>
      </c>
      <c r="BB53" s="509">
        <f t="shared" si="52"/>
        <v>1.3925308348000001</v>
      </c>
      <c r="BC53" s="23">
        <f t="shared" si="53"/>
        <v>100</v>
      </c>
      <c r="BD53" s="257">
        <f t="shared" si="53"/>
        <v>390</v>
      </c>
      <c r="BE53" s="257">
        <f t="shared" si="54"/>
        <v>1.830799329</v>
      </c>
      <c r="BF53" s="257">
        <f t="shared" si="55"/>
        <v>500</v>
      </c>
      <c r="BG53" s="23">
        <f t="shared" si="55"/>
        <v>0</v>
      </c>
      <c r="BH53" s="257">
        <f t="shared" si="56"/>
        <v>0</v>
      </c>
      <c r="BI53" s="23">
        <f t="shared" si="57"/>
        <v>600</v>
      </c>
      <c r="BJ53" s="23">
        <f t="shared" si="57"/>
        <v>0</v>
      </c>
      <c r="BK53" s="257">
        <f t="shared" si="58"/>
        <v>0</v>
      </c>
      <c r="BL53" s="23">
        <f t="shared" si="59"/>
        <v>1200</v>
      </c>
      <c r="BM53" s="23">
        <f t="shared" si="59"/>
        <v>685</v>
      </c>
      <c r="BN53" s="257">
        <f t="shared" si="59"/>
        <v>3.2233301638</v>
      </c>
      <c r="BO53" s="466">
        <f t="shared" si="60"/>
        <v>0.5708333333333333</v>
      </c>
      <c r="BP53" s="472"/>
      <c r="BQ53" s="23">
        <f t="shared" si="61"/>
        <v>100</v>
      </c>
      <c r="BR53" s="23">
        <f t="shared" si="62"/>
        <v>685</v>
      </c>
      <c r="BS53" s="466">
        <f t="shared" si="34"/>
        <v>6.85</v>
      </c>
      <c r="BT53" s="509">
        <f t="shared" si="63"/>
        <v>3.2233301638</v>
      </c>
      <c r="BU53" s="466">
        <f t="shared" si="64"/>
        <v>0.5708333333333333</v>
      </c>
    </row>
    <row r="54" spans="1:73" ht="12.6" customHeight="1">
      <c r="A54" s="482" t="s">
        <v>72</v>
      </c>
      <c r="B54" s="457">
        <f>SUM(B26:B53)</f>
        <v>6101</v>
      </c>
      <c r="C54" s="458"/>
      <c r="D54" s="457">
        <f>SUM(D26:D53)</f>
        <v>376</v>
      </c>
      <c r="E54" s="457">
        <f>SUM(E26:E53)</f>
        <v>353</v>
      </c>
      <c r="F54" s="457"/>
      <c r="G54" s="511">
        <f>SUM(G26:G53)</f>
        <v>2.1117196145714288</v>
      </c>
      <c r="H54" s="457">
        <f>SUM(H26:H53)</f>
        <v>320</v>
      </c>
      <c r="I54" s="457">
        <f>SUM(I26:I53)</f>
        <v>399</v>
      </c>
      <c r="J54" s="457"/>
      <c r="K54" s="511">
        <f>SUM(K26:K53)</f>
        <v>2.0970291775714287</v>
      </c>
      <c r="L54" s="457">
        <f>SUM(L26:L53)</f>
        <v>320</v>
      </c>
      <c r="M54" s="457">
        <f>SUM(M26:M53)</f>
        <v>520</v>
      </c>
      <c r="N54" s="457"/>
      <c r="O54" s="511">
        <f>SUM(O26:O53)</f>
        <v>2.8071194032000002</v>
      </c>
      <c r="P54" s="457">
        <f>SUM(P26:P53)</f>
        <v>375</v>
      </c>
      <c r="Q54" s="457">
        <f>SUM(Q26:Q53)</f>
        <v>253</v>
      </c>
      <c r="R54" s="457"/>
      <c r="S54" s="511">
        <f>SUM(S26:S53)</f>
        <v>1.2484396064000001</v>
      </c>
      <c r="T54" s="457">
        <f>SUM(T26:T53)</f>
        <v>320</v>
      </c>
      <c r="U54" s="457">
        <f>SUM(U26:U53)</f>
        <v>275</v>
      </c>
      <c r="V54" s="457"/>
      <c r="W54" s="511">
        <f>SUM(W26:W53)</f>
        <v>1.5942203946000002</v>
      </c>
      <c r="X54" s="457">
        <f>SUM(X26:X53)</f>
        <v>540</v>
      </c>
      <c r="Y54" s="457">
        <f>SUM(Y26:Y53)</f>
        <v>126</v>
      </c>
      <c r="Z54" s="457"/>
      <c r="AA54" s="511">
        <f>SUM(AA26:AA53)</f>
        <v>0.92191684371428573</v>
      </c>
      <c r="AB54" s="457">
        <f>SUM(AB26:AB53)</f>
        <v>540</v>
      </c>
      <c r="AC54" s="457">
        <f>SUM(AC26:AC53)</f>
        <v>206</v>
      </c>
      <c r="AD54" s="457"/>
      <c r="AE54" s="511">
        <f>SUM(AE26:AE53)</f>
        <v>2.7078161285137758</v>
      </c>
      <c r="AF54" s="457">
        <f>SUM(AF26:AF53)</f>
        <v>695</v>
      </c>
      <c r="AG54" s="457">
        <f>SUM(AG26:AG53)</f>
        <v>271</v>
      </c>
      <c r="AH54" s="457"/>
      <c r="AI54" s="511">
        <f>SUM(AI26:AI53)</f>
        <v>4.479370681206909</v>
      </c>
      <c r="AJ54" s="457">
        <f>SUM(AJ26:AJ53)</f>
        <v>640</v>
      </c>
      <c r="AK54" s="457">
        <f>SUM(AK26:AK53)</f>
        <v>105</v>
      </c>
      <c r="AL54" s="457"/>
      <c r="AM54" s="511">
        <f>SUM(AM26:AM53)</f>
        <v>0.65537903699999989</v>
      </c>
      <c r="AN54" s="457">
        <f>SUM(AN26:AN53)</f>
        <v>640</v>
      </c>
      <c r="AO54" s="457">
        <f>SUM(AO26:AO53)</f>
        <v>559</v>
      </c>
      <c r="AP54" s="457"/>
      <c r="AQ54" s="511">
        <f>SUM(AQ26:AQ53)</f>
        <v>5.4563810910000008</v>
      </c>
      <c r="AR54" s="457">
        <f>SUM(AR26:AR53)</f>
        <v>640</v>
      </c>
      <c r="AS54" s="457">
        <f>SUM(AS26:AS53)</f>
        <v>136</v>
      </c>
      <c r="AT54" s="457"/>
      <c r="AU54" s="511">
        <f>SUM(AU26:AU53)</f>
        <v>0.740004832</v>
      </c>
      <c r="AV54" s="457">
        <f>SUM(AV26:AV53)</f>
        <v>695</v>
      </c>
      <c r="AW54" s="457">
        <f>SUM(AW26:AW53)</f>
        <v>0</v>
      </c>
      <c r="AX54" s="457"/>
      <c r="AY54" s="511">
        <f>SUM(AY26:AY53)</f>
        <v>0</v>
      </c>
      <c r="AZ54" s="457">
        <f t="shared" ref="AZ54:BN54" si="71">SUM(AZ26:AZ53)</f>
        <v>1016</v>
      </c>
      <c r="BA54" s="458">
        <f t="shared" si="71"/>
        <v>1272</v>
      </c>
      <c r="BB54" s="511">
        <f t="shared" si="71"/>
        <v>7.0158681953428577</v>
      </c>
      <c r="BC54" s="457">
        <f t="shared" si="71"/>
        <v>1235</v>
      </c>
      <c r="BD54" s="458">
        <f t="shared" si="71"/>
        <v>654</v>
      </c>
      <c r="BE54" s="458">
        <f t="shared" si="71"/>
        <v>3.764576844714286</v>
      </c>
      <c r="BF54" s="458">
        <f t="shared" si="71"/>
        <v>1875</v>
      </c>
      <c r="BG54" s="457">
        <f t="shared" si="71"/>
        <v>582</v>
      </c>
      <c r="BH54" s="458">
        <f t="shared" si="71"/>
        <v>7.8425658467206851</v>
      </c>
      <c r="BI54" s="457">
        <f t="shared" si="71"/>
        <v>1975</v>
      </c>
      <c r="BJ54" s="458">
        <f t="shared" si="71"/>
        <v>695</v>
      </c>
      <c r="BK54" s="458">
        <f t="shared" si="71"/>
        <v>6.1963859230000011</v>
      </c>
      <c r="BL54" s="458">
        <f t="shared" si="71"/>
        <v>6101</v>
      </c>
      <c r="BM54" s="458">
        <f t="shared" si="71"/>
        <v>3203</v>
      </c>
      <c r="BN54" s="458">
        <f t="shared" si="71"/>
        <v>24.819396809777828</v>
      </c>
      <c r="BO54" s="525">
        <f>IFERROR(BM54/BL54,0)</f>
        <v>0.5249959023110965</v>
      </c>
      <c r="BP54" s="472"/>
      <c r="BQ54" s="457">
        <f t="shared" ref="BQ54:BR54" si="72">SUM(BQ26:BQ53)</f>
        <v>2251</v>
      </c>
      <c r="BR54" s="457">
        <f t="shared" si="72"/>
        <v>1926</v>
      </c>
      <c r="BS54" s="467">
        <f t="shared" si="34"/>
        <v>0.8556197245668592</v>
      </c>
      <c r="BT54" s="511">
        <f t="shared" ref="BT54" si="73">SUM(BT26:BT53)</f>
        <v>10.780445040057142</v>
      </c>
      <c r="BU54" s="525">
        <f t="shared" si="64"/>
        <v>0.31568595312243897</v>
      </c>
    </row>
    <row r="55" spans="1:73" ht="12.6" customHeight="1">
      <c r="A55" s="254"/>
      <c r="B55" s="254"/>
      <c r="C55" s="461"/>
      <c r="D55" s="254"/>
      <c r="E55" s="254"/>
      <c r="F55" s="254"/>
      <c r="G55" s="513"/>
      <c r="H55" s="254"/>
      <c r="I55" s="254"/>
      <c r="J55" s="254"/>
      <c r="K55" s="513"/>
      <c r="L55" s="254"/>
      <c r="M55" s="254"/>
      <c r="N55" s="254"/>
      <c r="O55" s="513"/>
      <c r="P55" s="254"/>
      <c r="Q55" s="254"/>
      <c r="R55" s="254"/>
      <c r="S55" s="513"/>
      <c r="T55" s="254"/>
      <c r="U55" s="254"/>
      <c r="V55" s="254"/>
      <c r="W55" s="513"/>
      <c r="X55" s="254"/>
      <c r="Y55" s="254"/>
      <c r="Z55" s="254"/>
      <c r="AA55" s="513"/>
      <c r="AB55" s="254"/>
      <c r="AC55" s="254"/>
      <c r="AD55" s="254"/>
      <c r="AE55" s="513"/>
      <c r="AF55" s="254"/>
      <c r="AG55" s="254"/>
      <c r="AH55" s="254"/>
      <c r="AI55" s="513"/>
      <c r="AJ55" s="254"/>
      <c r="AK55" s="254"/>
      <c r="AL55" s="254"/>
      <c r="AM55" s="513"/>
      <c r="AN55" s="254"/>
      <c r="AO55" s="254"/>
      <c r="AP55" s="254"/>
      <c r="AQ55" s="513"/>
      <c r="AR55" s="254"/>
      <c r="AS55" s="254"/>
      <c r="AT55" s="254"/>
      <c r="AU55" s="513"/>
      <c r="AV55" s="254"/>
      <c r="AW55" s="254"/>
      <c r="AX55" s="254"/>
      <c r="AY55" s="513"/>
      <c r="AZ55" s="254"/>
      <c r="BA55" s="461"/>
      <c r="BB55" s="513"/>
      <c r="BC55" s="254"/>
      <c r="BD55" s="461"/>
      <c r="BE55" s="461"/>
      <c r="BF55" s="461"/>
      <c r="BG55" s="254"/>
      <c r="BH55" s="461"/>
      <c r="BI55" s="254"/>
      <c r="BJ55" s="254"/>
      <c r="BK55" s="461"/>
      <c r="BL55" s="254"/>
      <c r="BM55" s="254"/>
      <c r="BN55" s="461"/>
      <c r="BO55" s="469">
        <f t="shared" si="36"/>
        <v>0</v>
      </c>
      <c r="BP55" s="472"/>
      <c r="BQ55" s="521"/>
      <c r="BR55" s="495"/>
      <c r="BS55" s="469">
        <f t="shared" si="34"/>
        <v>0</v>
      </c>
      <c r="BT55" s="529"/>
      <c r="BU55" s="469">
        <f t="shared" si="64"/>
        <v>0</v>
      </c>
    </row>
    <row r="56" spans="1:73" ht="12.6" customHeight="1">
      <c r="A56" s="254" t="s">
        <v>56</v>
      </c>
      <c r="B56" s="129">
        <f>D56+H56+L56+P56+T56+X56+AB56+AF56+AJ56+AN56+AR56+AV56</f>
        <v>0</v>
      </c>
      <c r="C56" s="257">
        <v>36</v>
      </c>
      <c r="D56" s="129"/>
      <c r="E56" s="129"/>
      <c r="F56" s="129"/>
      <c r="G56" s="509">
        <f t="shared" ref="G56:G60" si="74">E56*(F56-C56)*66.47/10^7</f>
        <v>0</v>
      </c>
      <c r="H56" s="129"/>
      <c r="I56" s="129"/>
      <c r="J56" s="129"/>
      <c r="K56" s="509">
        <f>I56*(J56-C56)*66.91/10^7</f>
        <v>0</v>
      </c>
      <c r="L56" s="129"/>
      <c r="M56" s="129"/>
      <c r="N56" s="129"/>
      <c r="O56" s="509">
        <f>M56*(N56-C56)*67.28/10^7</f>
        <v>0</v>
      </c>
      <c r="P56" s="129"/>
      <c r="Q56" s="129"/>
      <c r="R56" s="129"/>
      <c r="S56" s="509">
        <f t="shared" ref="S56:S60" si="75">Q56*(R56-C56)*67.28/10^7</f>
        <v>0</v>
      </c>
      <c r="T56" s="129"/>
      <c r="U56" s="129"/>
      <c r="V56" s="129">
        <f>(T56*U56)/10^6</f>
        <v>0</v>
      </c>
      <c r="W56" s="509">
        <f t="shared" ref="W56:W60" si="76">U56*(V56-C56)*66.93/10^7</f>
        <v>0</v>
      </c>
      <c r="X56" s="129"/>
      <c r="Y56" s="129"/>
      <c r="Z56" s="129"/>
      <c r="AA56" s="509">
        <f t="shared" ref="AA56:AA60" si="77">Y56*(Z56-C56)*66.69/10^7</f>
        <v>0</v>
      </c>
      <c r="AB56" s="129"/>
      <c r="AC56" s="129"/>
      <c r="AD56" s="129"/>
      <c r="AE56" s="509">
        <f>AC56*(AD56-G56)*66.73/10^7</f>
        <v>0</v>
      </c>
      <c r="AF56" s="129"/>
      <c r="AG56" s="129"/>
      <c r="AH56" s="129"/>
      <c r="AI56" s="509">
        <f>AG56*(AH56-K56)*67.58/10^7</f>
        <v>0</v>
      </c>
      <c r="AJ56" s="129"/>
      <c r="AK56" s="129"/>
      <c r="AL56" s="129"/>
      <c r="AM56" s="509">
        <f>AK56*(AL56-O56)*67.91/10^7</f>
        <v>0</v>
      </c>
      <c r="AN56" s="129"/>
      <c r="AO56" s="129"/>
      <c r="AP56" s="129"/>
      <c r="AQ56" s="509">
        <f>AO56*(AP56-S56)*68.01/10^7</f>
        <v>0</v>
      </c>
      <c r="AR56" s="129"/>
      <c r="AS56" s="129"/>
      <c r="AT56" s="129"/>
      <c r="AU56" s="509">
        <f>AS56*(AT56-W56)*67.01/10^7</f>
        <v>0</v>
      </c>
      <c r="AV56" s="129"/>
      <c r="AW56" s="129"/>
      <c r="AX56" s="129"/>
      <c r="AY56" s="509">
        <f t="shared" ref="AY56:AY60" si="78">AW56*(AX56-AA56)*66.69/10^7</f>
        <v>0</v>
      </c>
      <c r="AZ56" s="23">
        <f t="shared" ref="AZ56:BA60" si="79">+D56+H56+L56</f>
        <v>0</v>
      </c>
      <c r="BA56" s="23">
        <f t="shared" si="79"/>
        <v>0</v>
      </c>
      <c r="BB56" s="509">
        <f t="shared" ref="BB56:BB60" si="80">+G56+K56+O56</f>
        <v>0</v>
      </c>
      <c r="BC56" s="23">
        <f t="shared" ref="BC56:BD60" si="81">+P56+T56+X56</f>
        <v>0</v>
      </c>
      <c r="BD56" s="257">
        <f t="shared" si="81"/>
        <v>0</v>
      </c>
      <c r="BE56" s="257">
        <f t="shared" ref="BE56:BE60" si="82">S56+W56+AA56</f>
        <v>0</v>
      </c>
      <c r="BF56" s="257">
        <f t="shared" ref="BF56:BG60" si="83">AB56+AF56+AJ56</f>
        <v>0</v>
      </c>
      <c r="BG56" s="23">
        <f t="shared" si="83"/>
        <v>0</v>
      </c>
      <c r="BH56" s="257">
        <f t="shared" ref="BH56:BH60" si="84">AE56+AI56+AM56</f>
        <v>0</v>
      </c>
      <c r="BI56" s="23">
        <f t="shared" ref="BI56:BJ60" si="85">+AN56+AR56+AV56</f>
        <v>0</v>
      </c>
      <c r="BJ56" s="23">
        <f t="shared" si="85"/>
        <v>0</v>
      </c>
      <c r="BK56" s="257">
        <f t="shared" ref="BK56:BK60" si="86">AQ56+AU56+AY56</f>
        <v>0</v>
      </c>
      <c r="BL56" s="23">
        <f t="shared" ref="BL56:BN60" si="87">AZ56+BC56+BF56+BI56</f>
        <v>0</v>
      </c>
      <c r="BM56" s="23">
        <f t="shared" si="87"/>
        <v>0</v>
      </c>
      <c r="BN56" s="257">
        <f t="shared" si="87"/>
        <v>0</v>
      </c>
      <c r="BO56" s="466">
        <f t="shared" ref="BO56:BO60" si="88">IFERROR(BM56/BL56,0)</f>
        <v>0</v>
      </c>
      <c r="BP56" s="472"/>
      <c r="BQ56" s="23">
        <f t="shared" ref="BQ56:BR60" si="89">D56+H56+L56+P56+T56+X56</f>
        <v>0</v>
      </c>
      <c r="BR56" s="23">
        <f t="shared" si="89"/>
        <v>0</v>
      </c>
      <c r="BS56" s="466">
        <f t="shared" si="34"/>
        <v>0</v>
      </c>
      <c r="BT56" s="509">
        <f>G56+K56+O56+S56+W56+AA56</f>
        <v>0</v>
      </c>
      <c r="BU56" s="466">
        <f t="shared" si="64"/>
        <v>0</v>
      </c>
    </row>
    <row r="57" spans="1:73" ht="12.6" customHeight="1">
      <c r="A57" s="254" t="s">
        <v>57</v>
      </c>
      <c r="B57" s="129">
        <f>D57+H57+L57+P57+T57+X57+AB57+AF57+AJ57+AN57+AR57+AV57</f>
        <v>0</v>
      </c>
      <c r="C57" s="257">
        <v>36</v>
      </c>
      <c r="D57" s="129"/>
      <c r="E57" s="129"/>
      <c r="F57" s="129"/>
      <c r="G57" s="509">
        <f t="shared" si="74"/>
        <v>0</v>
      </c>
      <c r="H57" s="129"/>
      <c r="I57" s="129"/>
      <c r="J57" s="129"/>
      <c r="K57" s="509">
        <f>I57*(J57-C57)*66.91/10^7</f>
        <v>0</v>
      </c>
      <c r="L57" s="129"/>
      <c r="M57" s="129"/>
      <c r="N57" s="129"/>
      <c r="O57" s="509">
        <f>M57*(N57-C57)*67.28/10^7</f>
        <v>0</v>
      </c>
      <c r="P57" s="129"/>
      <c r="Q57" s="129"/>
      <c r="R57" s="129"/>
      <c r="S57" s="509">
        <f t="shared" si="75"/>
        <v>0</v>
      </c>
      <c r="T57" s="129"/>
      <c r="U57" s="129"/>
      <c r="V57" s="129">
        <f>(T57*U57)/10^6</f>
        <v>0</v>
      </c>
      <c r="W57" s="509">
        <f t="shared" si="76"/>
        <v>0</v>
      </c>
      <c r="X57" s="129"/>
      <c r="Y57" s="129"/>
      <c r="Z57" s="129"/>
      <c r="AA57" s="509">
        <f t="shared" si="77"/>
        <v>0</v>
      </c>
      <c r="AB57" s="129"/>
      <c r="AC57" s="129"/>
      <c r="AD57" s="129"/>
      <c r="AE57" s="509">
        <f>AC57*(AD57-G57)*66.73/10^7</f>
        <v>0</v>
      </c>
      <c r="AF57" s="129"/>
      <c r="AG57" s="129"/>
      <c r="AH57" s="129"/>
      <c r="AI57" s="509">
        <f>AG57*(AH57-K57)*67.58/10^7</f>
        <v>0</v>
      </c>
      <c r="AJ57" s="129"/>
      <c r="AK57" s="129"/>
      <c r="AL57" s="129"/>
      <c r="AM57" s="509">
        <f>AK57*(AL57-O57)*67.91/10^7</f>
        <v>0</v>
      </c>
      <c r="AN57" s="129"/>
      <c r="AO57" s="129"/>
      <c r="AP57" s="129"/>
      <c r="AQ57" s="509">
        <f>AO57*(AP57-S57)*68.01/10^7</f>
        <v>0</v>
      </c>
      <c r="AR57" s="129"/>
      <c r="AS57" s="129"/>
      <c r="AT57" s="129"/>
      <c r="AU57" s="509">
        <f>AS57*(AT57-W57)*67.01/10^7</f>
        <v>0</v>
      </c>
      <c r="AV57" s="129"/>
      <c r="AW57" s="129"/>
      <c r="AX57" s="129"/>
      <c r="AY57" s="509">
        <f t="shared" si="78"/>
        <v>0</v>
      </c>
      <c r="AZ57" s="23">
        <f t="shared" si="79"/>
        <v>0</v>
      </c>
      <c r="BA57" s="23">
        <f t="shared" si="79"/>
        <v>0</v>
      </c>
      <c r="BB57" s="509">
        <f t="shared" si="80"/>
        <v>0</v>
      </c>
      <c r="BC57" s="23">
        <f t="shared" si="81"/>
        <v>0</v>
      </c>
      <c r="BD57" s="257">
        <f t="shared" si="81"/>
        <v>0</v>
      </c>
      <c r="BE57" s="257">
        <f t="shared" si="82"/>
        <v>0</v>
      </c>
      <c r="BF57" s="257">
        <f t="shared" si="83"/>
        <v>0</v>
      </c>
      <c r="BG57" s="23">
        <f t="shared" si="83"/>
        <v>0</v>
      </c>
      <c r="BH57" s="257">
        <f t="shared" si="84"/>
        <v>0</v>
      </c>
      <c r="BI57" s="23">
        <f t="shared" si="85"/>
        <v>0</v>
      </c>
      <c r="BJ57" s="23">
        <f t="shared" si="85"/>
        <v>0</v>
      </c>
      <c r="BK57" s="257">
        <f t="shared" si="86"/>
        <v>0</v>
      </c>
      <c r="BL57" s="23">
        <f t="shared" si="87"/>
        <v>0</v>
      </c>
      <c r="BM57" s="23">
        <f t="shared" si="87"/>
        <v>0</v>
      </c>
      <c r="BN57" s="257">
        <f t="shared" si="87"/>
        <v>0</v>
      </c>
      <c r="BO57" s="466">
        <f t="shared" si="88"/>
        <v>0</v>
      </c>
      <c r="BP57" s="472"/>
      <c r="BQ57" s="23">
        <f t="shared" si="89"/>
        <v>0</v>
      </c>
      <c r="BR57" s="23">
        <f t="shared" si="89"/>
        <v>0</v>
      </c>
      <c r="BS57" s="466">
        <f t="shared" si="34"/>
        <v>0</v>
      </c>
      <c r="BT57" s="509">
        <f>G57+K57+O57+S57+W57+AA57</f>
        <v>0</v>
      </c>
      <c r="BU57" s="466">
        <f t="shared" si="64"/>
        <v>0</v>
      </c>
    </row>
    <row r="58" spans="1:73" ht="12.6" customHeight="1">
      <c r="A58" s="254" t="s">
        <v>58</v>
      </c>
      <c r="B58" s="129">
        <f>D58+H58+L58+P58+T58+X58+AB58+AF58+AJ58+AN58+AR58+AV58</f>
        <v>0</v>
      </c>
      <c r="C58" s="257">
        <v>36</v>
      </c>
      <c r="D58" s="129"/>
      <c r="E58" s="129">
        <v>20</v>
      </c>
      <c r="F58" s="129">
        <v>837.4</v>
      </c>
      <c r="G58" s="509">
        <f t="shared" si="74"/>
        <v>0.10653811599999999</v>
      </c>
      <c r="H58" s="129"/>
      <c r="I58" s="129"/>
      <c r="J58" s="129"/>
      <c r="K58" s="509">
        <f>I58*(J58-C58)*66.91/10^7</f>
        <v>0</v>
      </c>
      <c r="L58" s="129"/>
      <c r="M58" s="129">
        <v>40</v>
      </c>
      <c r="N58" s="129">
        <v>748.5</v>
      </c>
      <c r="O58" s="509">
        <f>M58*(N58-C58)*67.28/10^7</f>
        <v>0.191748</v>
      </c>
      <c r="P58" s="129"/>
      <c r="Q58" s="129"/>
      <c r="R58" s="129"/>
      <c r="S58" s="509">
        <f t="shared" si="75"/>
        <v>0</v>
      </c>
      <c r="T58" s="129"/>
      <c r="U58" s="129"/>
      <c r="V58" s="129">
        <f>(T58*U58)/10^6</f>
        <v>0</v>
      </c>
      <c r="W58" s="509">
        <f t="shared" si="76"/>
        <v>0</v>
      </c>
      <c r="X58" s="129"/>
      <c r="Y58" s="129"/>
      <c r="Z58" s="129"/>
      <c r="AA58" s="509">
        <f t="shared" si="77"/>
        <v>0</v>
      </c>
      <c r="AB58" s="129"/>
      <c r="AC58" s="129"/>
      <c r="AD58" s="129"/>
      <c r="AE58" s="509">
        <f>AC58*(AD58-G58)*66.73/10^7</f>
        <v>0</v>
      </c>
      <c r="AF58" s="129"/>
      <c r="AG58" s="129"/>
      <c r="AH58" s="129"/>
      <c r="AI58" s="509">
        <f>AG58*(AH58-K58)*67.58/10^7</f>
        <v>0</v>
      </c>
      <c r="AJ58" s="129"/>
      <c r="AK58" s="129"/>
      <c r="AL58" s="129"/>
      <c r="AM58" s="509">
        <f>AK58*(AL58-O58)*67.91/10^7</f>
        <v>0</v>
      </c>
      <c r="AN58" s="129"/>
      <c r="AO58" s="129"/>
      <c r="AP58" s="129"/>
      <c r="AQ58" s="509">
        <f>AO58*(AP58-S58)*68.01/10^7</f>
        <v>0</v>
      </c>
      <c r="AR58" s="129"/>
      <c r="AS58" s="129"/>
      <c r="AT58" s="129"/>
      <c r="AU58" s="509">
        <f>AS58*(AT58-W58)*67.01/10^7</f>
        <v>0</v>
      </c>
      <c r="AV58" s="129"/>
      <c r="AW58" s="129"/>
      <c r="AX58" s="129"/>
      <c r="AY58" s="509">
        <f t="shared" si="78"/>
        <v>0</v>
      </c>
      <c r="AZ58" s="23">
        <f t="shared" si="79"/>
        <v>0</v>
      </c>
      <c r="BA58" s="23">
        <f t="shared" si="79"/>
        <v>60</v>
      </c>
      <c r="BB58" s="509">
        <f t="shared" si="80"/>
        <v>0.29828611599999999</v>
      </c>
      <c r="BC58" s="23">
        <f t="shared" si="81"/>
        <v>0</v>
      </c>
      <c r="BD58" s="257">
        <f t="shared" si="81"/>
        <v>0</v>
      </c>
      <c r="BE58" s="257">
        <f t="shared" si="82"/>
        <v>0</v>
      </c>
      <c r="BF58" s="257">
        <f t="shared" si="83"/>
        <v>0</v>
      </c>
      <c r="BG58" s="23">
        <f t="shared" si="83"/>
        <v>0</v>
      </c>
      <c r="BH58" s="257">
        <f t="shared" si="84"/>
        <v>0</v>
      </c>
      <c r="BI58" s="23">
        <f t="shared" si="85"/>
        <v>0</v>
      </c>
      <c r="BJ58" s="23">
        <f t="shared" si="85"/>
        <v>0</v>
      </c>
      <c r="BK58" s="257">
        <f t="shared" si="86"/>
        <v>0</v>
      </c>
      <c r="BL58" s="23">
        <f t="shared" si="87"/>
        <v>0</v>
      </c>
      <c r="BM58" s="23">
        <f t="shared" si="87"/>
        <v>60</v>
      </c>
      <c r="BN58" s="257">
        <f t="shared" si="87"/>
        <v>0.29828611599999999</v>
      </c>
      <c r="BO58" s="466">
        <f t="shared" si="88"/>
        <v>0</v>
      </c>
      <c r="BP58" s="472"/>
      <c r="BQ58" s="23">
        <f t="shared" si="89"/>
        <v>0</v>
      </c>
      <c r="BR58" s="23">
        <f t="shared" si="89"/>
        <v>60</v>
      </c>
      <c r="BS58" s="466">
        <f t="shared" si="34"/>
        <v>0</v>
      </c>
      <c r="BT58" s="509">
        <f>G58+K58+O58+S58+W58+AA58</f>
        <v>0.29828611599999999</v>
      </c>
      <c r="BU58" s="466">
        <f t="shared" si="64"/>
        <v>0</v>
      </c>
    </row>
    <row r="59" spans="1:73" ht="12.6" customHeight="1">
      <c r="A59" s="254" t="s">
        <v>103</v>
      </c>
      <c r="B59" s="129">
        <f>D59+H59+L59+P59+T59+X59+AB59+AF59+AJ59+AN59+AR59+AV59</f>
        <v>0</v>
      </c>
      <c r="C59" s="257"/>
      <c r="D59" s="129"/>
      <c r="E59" s="129"/>
      <c r="F59" s="129"/>
      <c r="G59" s="509">
        <f t="shared" si="74"/>
        <v>0</v>
      </c>
      <c r="H59" s="129"/>
      <c r="I59" s="129"/>
      <c r="J59" s="129"/>
      <c r="K59" s="509">
        <f>I59*(J59-C59)*66.91/10^7</f>
        <v>0</v>
      </c>
      <c r="L59" s="129"/>
      <c r="M59" s="129"/>
      <c r="N59" s="129"/>
      <c r="O59" s="509">
        <f>M59*(N59-C59)*67.28/10^7</f>
        <v>0</v>
      </c>
      <c r="P59" s="129"/>
      <c r="Q59" s="129"/>
      <c r="R59" s="129"/>
      <c r="S59" s="509">
        <f t="shared" si="75"/>
        <v>0</v>
      </c>
      <c r="T59" s="129"/>
      <c r="U59" s="129"/>
      <c r="V59" s="129">
        <f>(T59*U59)/10^6</f>
        <v>0</v>
      </c>
      <c r="W59" s="509">
        <f t="shared" si="76"/>
        <v>0</v>
      </c>
      <c r="X59" s="129"/>
      <c r="Y59" s="129"/>
      <c r="Z59" s="129"/>
      <c r="AA59" s="509">
        <f t="shared" si="77"/>
        <v>0</v>
      </c>
      <c r="AB59" s="129"/>
      <c r="AC59" s="129"/>
      <c r="AD59" s="129"/>
      <c r="AE59" s="509">
        <f>AC59*(AD59-G59)*66.73/10^7</f>
        <v>0</v>
      </c>
      <c r="AF59" s="129"/>
      <c r="AG59" s="129"/>
      <c r="AH59" s="129"/>
      <c r="AI59" s="509">
        <f>AG59*(AH59-K59)*67.58/10^7</f>
        <v>0</v>
      </c>
      <c r="AJ59" s="129"/>
      <c r="AK59" s="129"/>
      <c r="AL59" s="129"/>
      <c r="AM59" s="509">
        <f>AK59*(AL59-O59)*67.91/10^7</f>
        <v>0</v>
      </c>
      <c r="AN59" s="129"/>
      <c r="AO59" s="129"/>
      <c r="AP59" s="129"/>
      <c r="AQ59" s="509">
        <f>AO59*(AP59-S59)*68.01/10^7</f>
        <v>0</v>
      </c>
      <c r="AR59" s="129"/>
      <c r="AS59" s="129"/>
      <c r="AT59" s="129"/>
      <c r="AU59" s="509">
        <f>AS59*(AT59-W59)*67.01/10^7</f>
        <v>0</v>
      </c>
      <c r="AV59" s="129"/>
      <c r="AW59" s="129"/>
      <c r="AX59" s="129"/>
      <c r="AY59" s="509">
        <f t="shared" si="78"/>
        <v>0</v>
      </c>
      <c r="AZ59" s="23">
        <f t="shared" si="79"/>
        <v>0</v>
      </c>
      <c r="BA59" s="23">
        <f t="shared" si="79"/>
        <v>0</v>
      </c>
      <c r="BB59" s="509">
        <f t="shared" si="80"/>
        <v>0</v>
      </c>
      <c r="BC59" s="23">
        <f t="shared" si="81"/>
        <v>0</v>
      </c>
      <c r="BD59" s="257">
        <f t="shared" si="81"/>
        <v>0</v>
      </c>
      <c r="BE59" s="257">
        <f t="shared" si="82"/>
        <v>0</v>
      </c>
      <c r="BF59" s="257">
        <f t="shared" si="83"/>
        <v>0</v>
      </c>
      <c r="BG59" s="23">
        <f t="shared" si="83"/>
        <v>0</v>
      </c>
      <c r="BH59" s="257">
        <f t="shared" si="84"/>
        <v>0</v>
      </c>
      <c r="BI59" s="23">
        <f t="shared" si="85"/>
        <v>0</v>
      </c>
      <c r="BJ59" s="23">
        <f t="shared" si="85"/>
        <v>0</v>
      </c>
      <c r="BK59" s="257">
        <f t="shared" si="86"/>
        <v>0</v>
      </c>
      <c r="BL59" s="23">
        <f t="shared" si="87"/>
        <v>0</v>
      </c>
      <c r="BM59" s="23">
        <f t="shared" si="87"/>
        <v>0</v>
      </c>
      <c r="BN59" s="257">
        <f t="shared" si="87"/>
        <v>0</v>
      </c>
      <c r="BO59" s="466">
        <f t="shared" si="88"/>
        <v>0</v>
      </c>
      <c r="BP59" s="472"/>
      <c r="BQ59" s="23">
        <f t="shared" si="89"/>
        <v>0</v>
      </c>
      <c r="BR59" s="23">
        <f t="shared" si="89"/>
        <v>0</v>
      </c>
      <c r="BS59" s="466">
        <f t="shared" si="34"/>
        <v>0</v>
      </c>
      <c r="BT59" s="509">
        <f>G59+K59+O59+S59+W59+AA59</f>
        <v>0</v>
      </c>
      <c r="BU59" s="466">
        <f t="shared" si="64"/>
        <v>0</v>
      </c>
    </row>
    <row r="60" spans="1:73" ht="12.6" customHeight="1">
      <c r="A60" s="254" t="s">
        <v>59</v>
      </c>
      <c r="B60" s="129">
        <f>D60+H60+L60+P60+T60+X60+AB60+AF60+AJ60+AN60+AR60+AV60</f>
        <v>0</v>
      </c>
      <c r="C60" s="257"/>
      <c r="D60" s="129"/>
      <c r="E60" s="129"/>
      <c r="F60" s="129"/>
      <c r="G60" s="509">
        <f t="shared" si="74"/>
        <v>0</v>
      </c>
      <c r="H60" s="129"/>
      <c r="I60" s="129"/>
      <c r="J60" s="129"/>
      <c r="K60" s="509">
        <f>I60*(J60-C60)*66.91/10^7</f>
        <v>0</v>
      </c>
      <c r="L60" s="129"/>
      <c r="M60" s="129"/>
      <c r="N60" s="129"/>
      <c r="O60" s="509">
        <f>M60*(N60-C60)*67.28/10^7</f>
        <v>0</v>
      </c>
      <c r="P60" s="129"/>
      <c r="Q60" s="129"/>
      <c r="R60" s="129"/>
      <c r="S60" s="509">
        <f t="shared" si="75"/>
        <v>0</v>
      </c>
      <c r="T60" s="129"/>
      <c r="U60" s="129"/>
      <c r="V60" s="129">
        <f>(T60*U60)/10^6</f>
        <v>0</v>
      </c>
      <c r="W60" s="509">
        <f t="shared" si="76"/>
        <v>0</v>
      </c>
      <c r="X60" s="129"/>
      <c r="Y60" s="129"/>
      <c r="Z60" s="129"/>
      <c r="AA60" s="509">
        <f t="shared" si="77"/>
        <v>0</v>
      </c>
      <c r="AB60" s="129"/>
      <c r="AC60" s="129"/>
      <c r="AD60" s="129"/>
      <c r="AE60" s="509">
        <f>AC60*(AD60-G60)*66.73/10^7</f>
        <v>0</v>
      </c>
      <c r="AF60" s="129"/>
      <c r="AG60" s="129"/>
      <c r="AH60" s="129"/>
      <c r="AI60" s="509">
        <f>AG60*(AH60-K60)*67.58/10^7</f>
        <v>0</v>
      </c>
      <c r="AJ60" s="129"/>
      <c r="AK60" s="129"/>
      <c r="AL60" s="129"/>
      <c r="AM60" s="509">
        <f>AK60*(AL60-O60)*67.91/10^7</f>
        <v>0</v>
      </c>
      <c r="AN60" s="129"/>
      <c r="AO60" s="129"/>
      <c r="AP60" s="129"/>
      <c r="AQ60" s="509">
        <f>AO60*(AP60-S60)*68.01/10^7</f>
        <v>0</v>
      </c>
      <c r="AR60" s="129"/>
      <c r="AS60" s="129"/>
      <c r="AT60" s="129"/>
      <c r="AU60" s="509">
        <f>AS60*(AT60-W60)*67.01/10^7</f>
        <v>0</v>
      </c>
      <c r="AV60" s="129"/>
      <c r="AW60" s="129"/>
      <c r="AX60" s="129"/>
      <c r="AY60" s="509">
        <f t="shared" si="78"/>
        <v>0</v>
      </c>
      <c r="AZ60" s="23">
        <f t="shared" si="79"/>
        <v>0</v>
      </c>
      <c r="BA60" s="23">
        <f t="shared" si="79"/>
        <v>0</v>
      </c>
      <c r="BB60" s="509">
        <f t="shared" si="80"/>
        <v>0</v>
      </c>
      <c r="BC60" s="23">
        <f t="shared" si="81"/>
        <v>0</v>
      </c>
      <c r="BD60" s="257">
        <f t="shared" si="81"/>
        <v>0</v>
      </c>
      <c r="BE60" s="257">
        <f t="shared" si="82"/>
        <v>0</v>
      </c>
      <c r="BF60" s="257">
        <f t="shared" si="83"/>
        <v>0</v>
      </c>
      <c r="BG60" s="23">
        <f t="shared" si="83"/>
        <v>0</v>
      </c>
      <c r="BH60" s="257">
        <f t="shared" si="84"/>
        <v>0</v>
      </c>
      <c r="BI60" s="23">
        <f t="shared" si="85"/>
        <v>0</v>
      </c>
      <c r="BJ60" s="23">
        <f t="shared" si="85"/>
        <v>0</v>
      </c>
      <c r="BK60" s="257">
        <f t="shared" si="86"/>
        <v>0</v>
      </c>
      <c r="BL60" s="23">
        <f t="shared" si="87"/>
        <v>0</v>
      </c>
      <c r="BM60" s="23">
        <f t="shared" si="87"/>
        <v>0</v>
      </c>
      <c r="BN60" s="257">
        <f t="shared" si="87"/>
        <v>0</v>
      </c>
      <c r="BO60" s="466">
        <f t="shared" si="88"/>
        <v>0</v>
      </c>
      <c r="BP60" s="472"/>
      <c r="BQ60" s="23">
        <f t="shared" si="89"/>
        <v>0</v>
      </c>
      <c r="BR60" s="23">
        <f t="shared" si="89"/>
        <v>0</v>
      </c>
      <c r="BS60" s="466">
        <f t="shared" si="34"/>
        <v>0</v>
      </c>
      <c r="BT60" s="509">
        <f>G60+K60+O60+S60+W60+AA60</f>
        <v>0</v>
      </c>
      <c r="BU60" s="466">
        <f t="shared" si="64"/>
        <v>0</v>
      </c>
    </row>
    <row r="61" spans="1:73" ht="12.6" customHeight="1">
      <c r="A61" s="482" t="s">
        <v>0</v>
      </c>
      <c r="B61" s="457">
        <f>SUM(B56:B60)</f>
        <v>0</v>
      </c>
      <c r="C61" s="458"/>
      <c r="D61" s="457">
        <f>SUM(D56:D60)</f>
        <v>0</v>
      </c>
      <c r="E61" s="457">
        <f>SUM(E56:E60)</f>
        <v>20</v>
      </c>
      <c r="F61" s="457"/>
      <c r="G61" s="511">
        <f>SUM(G56:G60)</f>
        <v>0.10653811599999999</v>
      </c>
      <c r="H61" s="457">
        <f>SUM(H56:H60)</f>
        <v>0</v>
      </c>
      <c r="I61" s="457"/>
      <c r="J61" s="457"/>
      <c r="K61" s="511">
        <f>SUM(K56:K60)</f>
        <v>0</v>
      </c>
      <c r="L61" s="457">
        <f>SUM(L56:L60)</f>
        <v>0</v>
      </c>
      <c r="M61" s="457">
        <f>SUM(M56:M60)</f>
        <v>40</v>
      </c>
      <c r="N61" s="457"/>
      <c r="O61" s="511">
        <f>SUM(O56:O60)</f>
        <v>0.191748</v>
      </c>
      <c r="P61" s="457">
        <f>SUM(P56:P60)</f>
        <v>0</v>
      </c>
      <c r="Q61" s="457">
        <f>SUM(Q56:Q60)</f>
        <v>0</v>
      </c>
      <c r="R61" s="457"/>
      <c r="S61" s="511">
        <f>SUM(S56:S60)</f>
        <v>0</v>
      </c>
      <c r="T61" s="457">
        <f>SUM(T56:T60)</f>
        <v>0</v>
      </c>
      <c r="U61" s="457">
        <f>IF(ISERROR(V61/T61*1000000),0,(V61/T61*1000000))</f>
        <v>0</v>
      </c>
      <c r="V61" s="457">
        <f t="shared" ref="V61:AB61" si="90">SUM(V56:V60)</f>
        <v>0</v>
      </c>
      <c r="W61" s="511">
        <f t="shared" si="90"/>
        <v>0</v>
      </c>
      <c r="X61" s="457">
        <f t="shared" si="90"/>
        <v>0</v>
      </c>
      <c r="Y61" s="457">
        <f t="shared" si="90"/>
        <v>0</v>
      </c>
      <c r="Z61" s="457">
        <f t="shared" si="90"/>
        <v>0</v>
      </c>
      <c r="AA61" s="511">
        <f t="shared" ref="AA61" si="91">SUM(AA56:AA60)</f>
        <v>0</v>
      </c>
      <c r="AB61" s="457">
        <f t="shared" si="90"/>
        <v>0</v>
      </c>
      <c r="AC61" s="457">
        <f t="shared" ref="AC61:AE61" si="92">SUM(AC56:AC60)</f>
        <v>0</v>
      </c>
      <c r="AD61" s="457">
        <f t="shared" si="92"/>
        <v>0</v>
      </c>
      <c r="AE61" s="511">
        <f t="shared" si="92"/>
        <v>0</v>
      </c>
      <c r="AF61" s="457">
        <f>SUM(AF56:AF60)</f>
        <v>0</v>
      </c>
      <c r="AG61" s="457">
        <f t="shared" ref="AG61:AI61" si="93">SUM(AG56:AG60)</f>
        <v>0</v>
      </c>
      <c r="AH61" s="457">
        <f t="shared" si="93"/>
        <v>0</v>
      </c>
      <c r="AI61" s="511">
        <f t="shared" si="93"/>
        <v>0</v>
      </c>
      <c r="AJ61" s="457">
        <f>SUM(AJ56:AJ60)</f>
        <v>0</v>
      </c>
      <c r="AK61" s="457">
        <f t="shared" ref="AK61:AM61" si="94">SUM(AK56:AK60)</f>
        <v>0</v>
      </c>
      <c r="AL61" s="457">
        <f t="shared" si="94"/>
        <v>0</v>
      </c>
      <c r="AM61" s="511">
        <f t="shared" si="94"/>
        <v>0</v>
      </c>
      <c r="AN61" s="457">
        <f>SUM(AN56:AN60)</f>
        <v>0</v>
      </c>
      <c r="AO61" s="457">
        <f t="shared" ref="AO61:AQ61" si="95">SUM(AO56:AO60)</f>
        <v>0</v>
      </c>
      <c r="AP61" s="457">
        <f t="shared" si="95"/>
        <v>0</v>
      </c>
      <c r="AQ61" s="511">
        <f t="shared" si="95"/>
        <v>0</v>
      </c>
      <c r="AR61" s="457">
        <f>SUM(AR56:AR60)</f>
        <v>0</v>
      </c>
      <c r="AS61" s="457">
        <f t="shared" ref="AS61:AU61" si="96">SUM(AS56:AS60)</f>
        <v>0</v>
      </c>
      <c r="AT61" s="457">
        <f t="shared" si="96"/>
        <v>0</v>
      </c>
      <c r="AU61" s="511">
        <f t="shared" si="96"/>
        <v>0</v>
      </c>
      <c r="AV61" s="457">
        <f>SUM(AV56:AV60)</f>
        <v>0</v>
      </c>
      <c r="AW61" s="457">
        <f t="shared" ref="AW61:AY61" si="97">SUM(AW56:AW60)</f>
        <v>0</v>
      </c>
      <c r="AX61" s="457">
        <f t="shared" si="97"/>
        <v>0</v>
      </c>
      <c r="AY61" s="511">
        <f t="shared" si="97"/>
        <v>0</v>
      </c>
      <c r="AZ61" s="457">
        <f t="shared" ref="AZ61:BN61" si="98">SUM(AZ56:AZ60)</f>
        <v>0</v>
      </c>
      <c r="BA61" s="458">
        <f t="shared" si="98"/>
        <v>60</v>
      </c>
      <c r="BB61" s="511">
        <f t="shared" si="98"/>
        <v>0.29828611599999999</v>
      </c>
      <c r="BC61" s="457">
        <f t="shared" si="98"/>
        <v>0</v>
      </c>
      <c r="BD61" s="458">
        <f t="shared" si="98"/>
        <v>0</v>
      </c>
      <c r="BE61" s="458">
        <f t="shared" si="98"/>
        <v>0</v>
      </c>
      <c r="BF61" s="511">
        <f t="shared" si="98"/>
        <v>0</v>
      </c>
      <c r="BG61" s="457">
        <f t="shared" si="98"/>
        <v>0</v>
      </c>
      <c r="BH61" s="458">
        <f t="shared" si="98"/>
        <v>0</v>
      </c>
      <c r="BI61" s="457">
        <f t="shared" si="98"/>
        <v>0</v>
      </c>
      <c r="BJ61" s="458">
        <f t="shared" si="98"/>
        <v>0</v>
      </c>
      <c r="BK61" s="511">
        <f t="shared" si="98"/>
        <v>0</v>
      </c>
      <c r="BL61" s="511">
        <f t="shared" si="98"/>
        <v>0</v>
      </c>
      <c r="BM61" s="511">
        <f t="shared" si="98"/>
        <v>60</v>
      </c>
      <c r="BN61" s="511">
        <f t="shared" si="98"/>
        <v>0.29828611599999999</v>
      </c>
      <c r="BO61" s="525">
        <f>IFERROR(BM61/BL61,0)</f>
        <v>0</v>
      </c>
      <c r="BP61" s="472"/>
      <c r="BQ61" s="457">
        <f t="shared" ref="BQ61:BR61" si="99">SUM(BQ56:BQ60)</f>
        <v>0</v>
      </c>
      <c r="BR61" s="457">
        <f t="shared" si="99"/>
        <v>60</v>
      </c>
      <c r="BS61" s="467">
        <f t="shared" si="34"/>
        <v>0</v>
      </c>
      <c r="BT61" s="511">
        <f t="shared" ref="BT61" si="100">SUM(BT56:BT60)</f>
        <v>0.29828611599999999</v>
      </c>
      <c r="BU61" s="525">
        <f t="shared" si="64"/>
        <v>0</v>
      </c>
    </row>
    <row r="62" spans="1:73" ht="12.6" customHeight="1">
      <c r="A62" s="254"/>
      <c r="B62" s="254"/>
      <c r="C62" s="461"/>
      <c r="D62" s="254"/>
      <c r="E62" s="254"/>
      <c r="F62" s="254"/>
      <c r="G62" s="513"/>
      <c r="H62" s="254"/>
      <c r="I62" s="254"/>
      <c r="J62" s="254"/>
      <c r="K62" s="513"/>
      <c r="L62" s="254"/>
      <c r="M62" s="254"/>
      <c r="N62" s="254"/>
      <c r="O62" s="513"/>
      <c r="P62" s="254"/>
      <c r="Q62" s="254"/>
      <c r="R62" s="254"/>
      <c r="S62" s="513"/>
      <c r="T62" s="254"/>
      <c r="U62" s="254"/>
      <c r="V62" s="254"/>
      <c r="W62" s="513"/>
      <c r="X62" s="254"/>
      <c r="Y62" s="254"/>
      <c r="Z62" s="254"/>
      <c r="AA62" s="513"/>
      <c r="AB62" s="254"/>
      <c r="AC62" s="254"/>
      <c r="AD62" s="254"/>
      <c r="AE62" s="513"/>
      <c r="AF62" s="254"/>
      <c r="AG62" s="254"/>
      <c r="AH62" s="254"/>
      <c r="AI62" s="513"/>
      <c r="AJ62" s="254"/>
      <c r="AK62" s="254"/>
      <c r="AL62" s="254"/>
      <c r="AM62" s="513"/>
      <c r="AN62" s="254"/>
      <c r="AO62" s="254"/>
      <c r="AP62" s="254"/>
      <c r="AQ62" s="513"/>
      <c r="AR62" s="254"/>
      <c r="AS62" s="254"/>
      <c r="AT62" s="254"/>
      <c r="AU62" s="513"/>
      <c r="AV62" s="254"/>
      <c r="AW62" s="254"/>
      <c r="AX62" s="254"/>
      <c r="AY62" s="513"/>
      <c r="AZ62" s="462"/>
      <c r="BA62" s="463"/>
      <c r="BB62" s="513"/>
      <c r="BC62" s="462"/>
      <c r="BD62" s="463"/>
      <c r="BE62" s="463"/>
      <c r="BF62" s="463"/>
      <c r="BG62" s="462"/>
      <c r="BH62" s="463"/>
      <c r="BI62" s="462"/>
      <c r="BJ62" s="462"/>
      <c r="BK62" s="463"/>
      <c r="BL62" s="462"/>
      <c r="BM62" s="462"/>
      <c r="BN62" s="463"/>
      <c r="BO62" s="469">
        <f t="shared" si="36"/>
        <v>0</v>
      </c>
      <c r="BP62" s="472"/>
      <c r="BQ62" s="462"/>
      <c r="BR62" s="462"/>
      <c r="BS62" s="469">
        <f t="shared" si="34"/>
        <v>0</v>
      </c>
      <c r="BT62" s="529"/>
      <c r="BU62" s="469">
        <f t="shared" si="64"/>
        <v>0</v>
      </c>
    </row>
    <row r="63" spans="1:73" ht="12.6" customHeight="1">
      <c r="A63" s="254" t="s">
        <v>60</v>
      </c>
      <c r="B63" s="129">
        <f>D63+H63+L63+P63+T63+X63+AB63+AF63+AJ63+AN63+AR63+AV63</f>
        <v>0</v>
      </c>
      <c r="C63" s="257">
        <v>0</v>
      </c>
      <c r="D63" s="129"/>
      <c r="E63" s="129"/>
      <c r="F63" s="129"/>
      <c r="G63" s="509"/>
      <c r="H63" s="129"/>
      <c r="I63" s="129"/>
      <c r="J63" s="129"/>
      <c r="K63" s="509"/>
      <c r="L63" s="129"/>
      <c r="M63" s="129"/>
      <c r="N63" s="129"/>
      <c r="O63" s="509">
        <f>M63*(N63-C63)*67.28/10^7</f>
        <v>0</v>
      </c>
      <c r="P63" s="129"/>
      <c r="Q63" s="129"/>
      <c r="R63" s="129"/>
      <c r="S63" s="509">
        <f t="shared" ref="S63:S64" si="101">Q63*(R63-C63)*67.28/10^7</f>
        <v>0</v>
      </c>
      <c r="T63" s="129"/>
      <c r="U63" s="129"/>
      <c r="V63" s="129">
        <f>(T63*U63)/10^6</f>
        <v>0</v>
      </c>
      <c r="W63" s="509">
        <f t="shared" ref="W63:W64" si="102">U63*(V63-C63)*66.93/10^7</f>
        <v>0</v>
      </c>
      <c r="X63" s="129"/>
      <c r="Y63" s="129"/>
      <c r="Z63" s="129"/>
      <c r="AA63" s="509">
        <f t="shared" ref="AA63:AA64" si="103">Y63*(Z63-C63)*66.69/10^7</f>
        <v>0</v>
      </c>
      <c r="AB63" s="129"/>
      <c r="AC63" s="129"/>
      <c r="AD63" s="129"/>
      <c r="AE63" s="509">
        <f>AC63*(AD63-G63)*66.73/10^7</f>
        <v>0</v>
      </c>
      <c r="AF63" s="129"/>
      <c r="AG63" s="129"/>
      <c r="AH63" s="129"/>
      <c r="AI63" s="509">
        <f>AG63*(AH63-K63)*67.58/10^7</f>
        <v>0</v>
      </c>
      <c r="AJ63" s="129"/>
      <c r="AK63" s="129"/>
      <c r="AL63" s="129"/>
      <c r="AM63" s="509">
        <f>AK63*(AL63-O63)*67.91/10^7</f>
        <v>0</v>
      </c>
      <c r="AN63" s="129"/>
      <c r="AO63" s="129"/>
      <c r="AP63" s="129"/>
      <c r="AQ63" s="509">
        <f>AO63*(AP63-S63)*68.01/10^7</f>
        <v>0</v>
      </c>
      <c r="AR63" s="129"/>
      <c r="AS63" s="129"/>
      <c r="AT63" s="129"/>
      <c r="AU63" s="509">
        <f>AS63*(AT63-W63)*67.01/10^7</f>
        <v>0</v>
      </c>
      <c r="AV63" s="129"/>
      <c r="AW63" s="129"/>
      <c r="AX63" s="129"/>
      <c r="AY63" s="509">
        <f t="shared" ref="AY63:AY64" si="104">AW63*(AX63-AA63)*66.69/10^7</f>
        <v>0</v>
      </c>
      <c r="AZ63" s="23">
        <f t="shared" ref="AZ63:BA64" si="105">+D63+H63+L63</f>
        <v>0</v>
      </c>
      <c r="BA63" s="23">
        <f t="shared" si="105"/>
        <v>0</v>
      </c>
      <c r="BB63" s="509">
        <f t="shared" ref="BB63:BB64" si="106">+G63+K63+O63</f>
        <v>0</v>
      </c>
      <c r="BC63" s="23">
        <f t="shared" ref="BC63:BD64" si="107">+P63+T63+X63</f>
        <v>0</v>
      </c>
      <c r="BD63" s="257">
        <f t="shared" si="107"/>
        <v>0</v>
      </c>
      <c r="BE63" s="257">
        <f t="shared" ref="BE63:BE64" si="108">S63+W63+AA63</f>
        <v>0</v>
      </c>
      <c r="BF63" s="257">
        <f t="shared" ref="BF63:BG64" si="109">AB63+AF63+AJ63</f>
        <v>0</v>
      </c>
      <c r="BG63" s="23">
        <f t="shared" si="109"/>
        <v>0</v>
      </c>
      <c r="BH63" s="257">
        <f t="shared" ref="BH63:BH64" si="110">AE63+AI63+AM63</f>
        <v>0</v>
      </c>
      <c r="BI63" s="23">
        <f t="shared" ref="BI63:BJ64" si="111">+AN63+AR63+AV63</f>
        <v>0</v>
      </c>
      <c r="BJ63" s="23">
        <f t="shared" si="111"/>
        <v>0</v>
      </c>
      <c r="BK63" s="257">
        <f t="shared" ref="BK63:BK64" si="112">AQ63+AU63+AY63</f>
        <v>0</v>
      </c>
      <c r="BL63" s="23">
        <f t="shared" ref="BL63:BN64" si="113">AZ63+BC63+BF63+BI63</f>
        <v>0</v>
      </c>
      <c r="BM63" s="23">
        <f t="shared" si="113"/>
        <v>0</v>
      </c>
      <c r="BN63" s="257">
        <f t="shared" si="113"/>
        <v>0</v>
      </c>
      <c r="BO63" s="466">
        <f t="shared" ref="BO63:BO64" si="114">IFERROR(BM63/BL63,0)</f>
        <v>0</v>
      </c>
      <c r="BP63" s="472"/>
      <c r="BQ63" s="23">
        <f>D63+H63+L63+P63+T63+X63</f>
        <v>0</v>
      </c>
      <c r="BR63" s="23">
        <f>E63+I63+M63+Q63+U63+Y63</f>
        <v>0</v>
      </c>
      <c r="BS63" s="466">
        <f t="shared" si="34"/>
        <v>0</v>
      </c>
      <c r="BT63" s="509">
        <f>G63+K63+O63+S63+W63+AA63</f>
        <v>0</v>
      </c>
      <c r="BU63" s="466">
        <f t="shared" si="64"/>
        <v>0</v>
      </c>
    </row>
    <row r="64" spans="1:73" ht="12.6" customHeight="1">
      <c r="A64" s="254" t="s">
        <v>61</v>
      </c>
      <c r="B64" s="129">
        <f>D64+H64+L64+P64+T64+X64+AB64+AF64+AJ64+AN64+AR64+AV64</f>
        <v>0</v>
      </c>
      <c r="C64" s="257">
        <v>0</v>
      </c>
      <c r="D64" s="129"/>
      <c r="E64" s="129"/>
      <c r="F64" s="129"/>
      <c r="G64" s="509"/>
      <c r="H64" s="129"/>
      <c r="I64" s="129"/>
      <c r="J64" s="129"/>
      <c r="K64" s="509"/>
      <c r="L64" s="129"/>
      <c r="M64" s="129"/>
      <c r="N64" s="129"/>
      <c r="O64" s="509">
        <f>M64*(N64-C64)*67.28/10^7</f>
        <v>0</v>
      </c>
      <c r="P64" s="129"/>
      <c r="Q64" s="129"/>
      <c r="R64" s="129"/>
      <c r="S64" s="509">
        <f t="shared" si="101"/>
        <v>0</v>
      </c>
      <c r="T64" s="129"/>
      <c r="U64" s="129"/>
      <c r="V64" s="129">
        <f>(T64*U64)/10^6</f>
        <v>0</v>
      </c>
      <c r="W64" s="509">
        <f t="shared" si="102"/>
        <v>0</v>
      </c>
      <c r="X64" s="129"/>
      <c r="Y64" s="129"/>
      <c r="Z64" s="129"/>
      <c r="AA64" s="509">
        <f t="shared" si="103"/>
        <v>0</v>
      </c>
      <c r="AB64" s="129"/>
      <c r="AC64" s="129"/>
      <c r="AD64" s="129"/>
      <c r="AE64" s="509">
        <f>AC64*(AD64-G64)*66.73/10^7</f>
        <v>0</v>
      </c>
      <c r="AF64" s="129"/>
      <c r="AG64" s="129"/>
      <c r="AH64" s="129"/>
      <c r="AI64" s="509">
        <f>AG64*(AH64-K64)*67.58/10^7</f>
        <v>0</v>
      </c>
      <c r="AJ64" s="129"/>
      <c r="AK64" s="129"/>
      <c r="AL64" s="129"/>
      <c r="AM64" s="509">
        <f>AK64*(AL64-O64)*67.91/10^7</f>
        <v>0</v>
      </c>
      <c r="AN64" s="129"/>
      <c r="AO64" s="129"/>
      <c r="AP64" s="129"/>
      <c r="AQ64" s="509">
        <f>AO64*(AP64-S64)*68.01/10^7</f>
        <v>0</v>
      </c>
      <c r="AR64" s="129"/>
      <c r="AS64" s="129"/>
      <c r="AT64" s="129"/>
      <c r="AU64" s="509">
        <f>AS64*(AT64-W64)*67.01/10^7</f>
        <v>0</v>
      </c>
      <c r="AV64" s="129"/>
      <c r="AW64" s="129"/>
      <c r="AX64" s="129"/>
      <c r="AY64" s="509">
        <f t="shared" si="104"/>
        <v>0</v>
      </c>
      <c r="AZ64" s="23">
        <f t="shared" si="105"/>
        <v>0</v>
      </c>
      <c r="BA64" s="23">
        <f t="shared" si="105"/>
        <v>0</v>
      </c>
      <c r="BB64" s="509">
        <f t="shared" si="106"/>
        <v>0</v>
      </c>
      <c r="BC64" s="23">
        <f t="shared" si="107"/>
        <v>0</v>
      </c>
      <c r="BD64" s="257">
        <f t="shared" si="107"/>
        <v>0</v>
      </c>
      <c r="BE64" s="257">
        <f t="shared" si="108"/>
        <v>0</v>
      </c>
      <c r="BF64" s="257">
        <f t="shared" si="109"/>
        <v>0</v>
      </c>
      <c r="BG64" s="23">
        <f t="shared" si="109"/>
        <v>0</v>
      </c>
      <c r="BH64" s="257">
        <f t="shared" si="110"/>
        <v>0</v>
      </c>
      <c r="BI64" s="23">
        <f t="shared" si="111"/>
        <v>0</v>
      </c>
      <c r="BJ64" s="23">
        <f t="shared" si="111"/>
        <v>0</v>
      </c>
      <c r="BK64" s="257">
        <f t="shared" si="112"/>
        <v>0</v>
      </c>
      <c r="BL64" s="23">
        <f t="shared" si="113"/>
        <v>0</v>
      </c>
      <c r="BM64" s="23">
        <f t="shared" si="113"/>
        <v>0</v>
      </c>
      <c r="BN64" s="257">
        <f t="shared" si="113"/>
        <v>0</v>
      </c>
      <c r="BO64" s="466">
        <f t="shared" si="114"/>
        <v>0</v>
      </c>
      <c r="BP64" s="472"/>
      <c r="BQ64" s="23">
        <f>D64+H64+L64+P64+T64+X64</f>
        <v>0</v>
      </c>
      <c r="BR64" s="23">
        <f>E64+I64+M64+Q64+U64+Y64</f>
        <v>0</v>
      </c>
      <c r="BS64" s="466">
        <f t="shared" si="34"/>
        <v>0</v>
      </c>
      <c r="BT64" s="509">
        <f>G64+K64+O64+S64+W64+AA64</f>
        <v>0</v>
      </c>
      <c r="BU64" s="466">
        <f t="shared" si="64"/>
        <v>0</v>
      </c>
    </row>
    <row r="65" spans="1:73" ht="12.6" customHeight="1">
      <c r="A65" s="482" t="s">
        <v>104</v>
      </c>
      <c r="B65" s="457">
        <f>SUM(B63:B64)</f>
        <v>0</v>
      </c>
      <c r="C65" s="458"/>
      <c r="D65" s="457">
        <f>SUM(D63:D64)</f>
        <v>0</v>
      </c>
      <c r="E65" s="457"/>
      <c r="F65" s="457"/>
      <c r="G65" s="511">
        <f>IF(ISERROR(#REF!/C65*1000000),0,(#REF!/C65*1000000))</f>
        <v>0</v>
      </c>
      <c r="H65" s="457">
        <f>SUM(H63:H64)</f>
        <v>0</v>
      </c>
      <c r="I65" s="457"/>
      <c r="J65" s="457"/>
      <c r="K65" s="511">
        <f>IF(ISERROR(#REF!/#REF!*1000000),0,(#REF!/#REF!*1000000))</f>
        <v>0</v>
      </c>
      <c r="L65" s="457">
        <f>SUM(L63:L64)</f>
        <v>0</v>
      </c>
      <c r="M65" s="457"/>
      <c r="N65" s="457"/>
      <c r="O65" s="511">
        <f>IF(ISERROR(#REF!/#REF!*1000000),0,(#REF!/#REF!*1000000))</f>
        <v>0</v>
      </c>
      <c r="P65" s="457">
        <f>SUM(P63:P64)</f>
        <v>0</v>
      </c>
      <c r="Q65" s="457"/>
      <c r="R65" s="457"/>
      <c r="S65" s="511">
        <f>IF(ISERROR(#REF!/#REF!*1000000),0,(#REF!/#REF!*1000000))</f>
        <v>0</v>
      </c>
      <c r="T65" s="457">
        <f>SUM(T63:T64)</f>
        <v>0</v>
      </c>
      <c r="U65" s="457">
        <f>U22+U52+U59+U63</f>
        <v>0</v>
      </c>
      <c r="V65" s="457">
        <f t="shared" ref="V65:AB65" si="115">SUM(V63:V64)</f>
        <v>0</v>
      </c>
      <c r="W65" s="511">
        <f t="shared" si="115"/>
        <v>0</v>
      </c>
      <c r="X65" s="457">
        <f t="shared" si="115"/>
        <v>0</v>
      </c>
      <c r="Y65" s="457">
        <f t="shared" si="115"/>
        <v>0</v>
      </c>
      <c r="Z65" s="457">
        <f t="shared" si="115"/>
        <v>0</v>
      </c>
      <c r="AA65" s="511">
        <f t="shared" ref="AA65" si="116">SUM(AA63:AA64)</f>
        <v>0</v>
      </c>
      <c r="AB65" s="457">
        <f t="shared" si="115"/>
        <v>0</v>
      </c>
      <c r="AC65" s="457">
        <f t="shared" ref="AC65:AD65" si="117">SUM(AC63:AC64)</f>
        <v>0</v>
      </c>
      <c r="AD65" s="457">
        <f t="shared" si="117"/>
        <v>0</v>
      </c>
      <c r="AE65" s="511">
        <f t="shared" ref="AE65" si="118">SUM(AE63:AE64)</f>
        <v>0</v>
      </c>
      <c r="AF65" s="457">
        <f>SUM(AF63:AF64)</f>
        <v>0</v>
      </c>
      <c r="AG65" s="457">
        <f t="shared" ref="AG65:AH65" si="119">SUM(AG63:AG64)</f>
        <v>0</v>
      </c>
      <c r="AH65" s="457">
        <f t="shared" si="119"/>
        <v>0</v>
      </c>
      <c r="AI65" s="511">
        <f t="shared" ref="AI65" si="120">SUM(AI63:AI64)</f>
        <v>0</v>
      </c>
      <c r="AJ65" s="457">
        <f>SUM(AJ63:AJ64)</f>
        <v>0</v>
      </c>
      <c r="AK65" s="457">
        <f t="shared" ref="AK65:AL65" si="121">SUM(AK63:AK64)</f>
        <v>0</v>
      </c>
      <c r="AL65" s="457">
        <f t="shared" si="121"/>
        <v>0</v>
      </c>
      <c r="AM65" s="511">
        <f t="shared" ref="AM65" si="122">SUM(AM63:AM64)</f>
        <v>0</v>
      </c>
      <c r="AN65" s="457">
        <f>SUM(AN63:AN64)</f>
        <v>0</v>
      </c>
      <c r="AO65" s="457">
        <f t="shared" ref="AO65:AP65" si="123">SUM(AO63:AO64)</f>
        <v>0</v>
      </c>
      <c r="AP65" s="457">
        <f t="shared" si="123"/>
        <v>0</v>
      </c>
      <c r="AQ65" s="511">
        <f t="shared" ref="AQ65" si="124">SUM(AQ63:AQ64)</f>
        <v>0</v>
      </c>
      <c r="AR65" s="457">
        <f>SUM(AR63:AR64)</f>
        <v>0</v>
      </c>
      <c r="AS65" s="457">
        <f t="shared" ref="AS65:AT65" si="125">SUM(AS63:AS64)</f>
        <v>0</v>
      </c>
      <c r="AT65" s="457">
        <f t="shared" si="125"/>
        <v>0</v>
      </c>
      <c r="AU65" s="511">
        <f t="shared" ref="AU65" si="126">SUM(AU63:AU64)</f>
        <v>0</v>
      </c>
      <c r="AV65" s="457">
        <f>SUM(AV63:AV64)</f>
        <v>0</v>
      </c>
      <c r="AW65" s="457">
        <f t="shared" ref="AW65:AX65" si="127">SUM(AW63:AW64)</f>
        <v>0</v>
      </c>
      <c r="AX65" s="457">
        <f t="shared" si="127"/>
        <v>0</v>
      </c>
      <c r="AY65" s="511">
        <f t="shared" ref="AY65" si="128">SUM(AY63:AY64)</f>
        <v>0</v>
      </c>
      <c r="AZ65" s="457">
        <f t="shared" ref="AZ65:BN65" si="129">SUM(AZ63:AZ64)</f>
        <v>0</v>
      </c>
      <c r="BA65" s="458">
        <f t="shared" si="129"/>
        <v>0</v>
      </c>
      <c r="BB65" s="511">
        <f t="shared" si="129"/>
        <v>0</v>
      </c>
      <c r="BC65" s="457">
        <f t="shared" si="129"/>
        <v>0</v>
      </c>
      <c r="BD65" s="458">
        <f t="shared" si="129"/>
        <v>0</v>
      </c>
      <c r="BE65" s="458">
        <f t="shared" si="129"/>
        <v>0</v>
      </c>
      <c r="BF65" s="458">
        <f t="shared" si="129"/>
        <v>0</v>
      </c>
      <c r="BG65" s="458">
        <f t="shared" si="129"/>
        <v>0</v>
      </c>
      <c r="BH65" s="458">
        <f t="shared" si="129"/>
        <v>0</v>
      </c>
      <c r="BI65" s="458">
        <f t="shared" si="129"/>
        <v>0</v>
      </c>
      <c r="BJ65" s="458">
        <f t="shared" si="129"/>
        <v>0</v>
      </c>
      <c r="BK65" s="458">
        <f t="shared" si="129"/>
        <v>0</v>
      </c>
      <c r="BL65" s="458">
        <f t="shared" si="129"/>
        <v>0</v>
      </c>
      <c r="BM65" s="458">
        <f t="shared" si="129"/>
        <v>0</v>
      </c>
      <c r="BN65" s="458">
        <f t="shared" si="129"/>
        <v>0</v>
      </c>
      <c r="BO65" s="525">
        <f>IFERROR(BM65/BL65,0)</f>
        <v>0</v>
      </c>
      <c r="BP65" s="472"/>
      <c r="BQ65" s="457">
        <f t="shared" ref="BQ65:BR65" si="130">SUM(BQ63:BQ64)</f>
        <v>0</v>
      </c>
      <c r="BR65" s="457">
        <f t="shared" si="130"/>
        <v>0</v>
      </c>
      <c r="BS65" s="467">
        <f t="shared" si="34"/>
        <v>0</v>
      </c>
      <c r="BT65" s="530">
        <f t="shared" ref="BT65" si="131">SUM(BT63:BT64)</f>
        <v>0</v>
      </c>
      <c r="BU65" s="525">
        <f t="shared" si="64"/>
        <v>0</v>
      </c>
    </row>
    <row r="66" spans="1:73" ht="12.6" hidden="1" customHeight="1">
      <c r="A66" s="254"/>
      <c r="B66" s="254"/>
      <c r="C66" s="461"/>
      <c r="D66" s="254"/>
      <c r="E66" s="254"/>
      <c r="F66" s="254"/>
      <c r="G66" s="513"/>
      <c r="H66" s="254"/>
      <c r="I66" s="254"/>
      <c r="J66" s="254"/>
      <c r="K66" s="513"/>
      <c r="L66" s="254"/>
      <c r="M66" s="254"/>
      <c r="N66" s="254"/>
      <c r="O66" s="513"/>
      <c r="P66" s="254"/>
      <c r="Q66" s="254"/>
      <c r="R66" s="254"/>
      <c r="S66" s="513"/>
      <c r="T66" s="254"/>
      <c r="U66" s="254"/>
      <c r="V66" s="254"/>
      <c r="W66" s="513"/>
      <c r="X66" s="254"/>
      <c r="Y66" s="254"/>
      <c r="Z66" s="254"/>
      <c r="AA66" s="513"/>
      <c r="AB66" s="254"/>
      <c r="AC66" s="254"/>
      <c r="AD66" s="254"/>
      <c r="AE66" s="513"/>
      <c r="AF66" s="254"/>
      <c r="AG66" s="254"/>
      <c r="AH66" s="254"/>
      <c r="AI66" s="513"/>
      <c r="AJ66" s="254"/>
      <c r="AK66" s="254"/>
      <c r="AL66" s="254"/>
      <c r="AM66" s="513"/>
      <c r="AN66" s="254"/>
      <c r="AO66" s="254"/>
      <c r="AP66" s="254"/>
      <c r="AQ66" s="513"/>
      <c r="AR66" s="254"/>
      <c r="AS66" s="254"/>
      <c r="AT66" s="254"/>
      <c r="AU66" s="513"/>
      <c r="AV66" s="254"/>
      <c r="AW66" s="254"/>
      <c r="AX66" s="254"/>
      <c r="AY66" s="513"/>
      <c r="AZ66" s="462"/>
      <c r="BA66" s="463"/>
      <c r="BB66" s="513"/>
      <c r="BC66" s="462"/>
      <c r="BD66" s="463"/>
      <c r="BE66" s="463"/>
      <c r="BF66" s="463"/>
      <c r="BG66" s="462"/>
      <c r="BH66" s="463"/>
      <c r="BI66" s="462"/>
      <c r="BJ66" s="462"/>
      <c r="BK66" s="463"/>
      <c r="BL66" s="462"/>
      <c r="BM66" s="462"/>
      <c r="BN66" s="463"/>
      <c r="BO66" s="469">
        <f t="shared" si="36"/>
        <v>0</v>
      </c>
      <c r="BP66" s="472"/>
      <c r="BQ66" s="462"/>
      <c r="BR66" s="462"/>
      <c r="BS66" s="469">
        <f t="shared" si="34"/>
        <v>0</v>
      </c>
      <c r="BT66" s="531"/>
      <c r="BU66" s="469">
        <f t="shared" si="64"/>
        <v>0</v>
      </c>
    </row>
    <row r="67" spans="1:73" ht="12.6" hidden="1" customHeight="1">
      <c r="A67" s="482" t="s">
        <v>82</v>
      </c>
      <c r="B67" s="457">
        <f>B24+B54+B61</f>
        <v>11561</v>
      </c>
      <c r="C67" s="458"/>
      <c r="D67" s="457">
        <f>D24+D54+D61+D65</f>
        <v>665</v>
      </c>
      <c r="E67" s="457">
        <f>E24+E54+E61+E65</f>
        <v>485</v>
      </c>
      <c r="F67" s="457"/>
      <c r="G67" s="511">
        <f>IF(ISERROR(#REF!/C67*1000000),0,(#REF!/C67*1000000))</f>
        <v>0</v>
      </c>
      <c r="H67" s="457">
        <f>H24+H54+H61+H65</f>
        <v>755</v>
      </c>
      <c r="I67" s="457">
        <f>I24+I54+I61+I65</f>
        <v>480</v>
      </c>
      <c r="J67" s="457"/>
      <c r="K67" s="511">
        <f>IF(ISERROR(#REF!/#REF!*1000000),0,(#REF!/#REF!*1000000))</f>
        <v>0</v>
      </c>
      <c r="L67" s="457">
        <f>L24+L54+L61+L65</f>
        <v>675</v>
      </c>
      <c r="M67" s="457">
        <f>M24+M54+M61+M65</f>
        <v>689</v>
      </c>
      <c r="N67" s="457"/>
      <c r="O67" s="511">
        <f>IF(ISERROR(#REF!/#REF!*1000000),0,(#REF!/#REF!*1000000))</f>
        <v>0</v>
      </c>
      <c r="P67" s="457">
        <f>P24+P54+P61+P65</f>
        <v>720</v>
      </c>
      <c r="Q67" s="457">
        <f>Q24+Q54+Q61+Q65</f>
        <v>350</v>
      </c>
      <c r="R67" s="457"/>
      <c r="S67" s="511">
        <f>IF(ISERROR(#REF!/#REF!*1000000),0,(#REF!/#REF!*1000000))</f>
        <v>0</v>
      </c>
      <c r="T67" s="457">
        <f t="shared" ref="T67:AB67" si="132">T24+T54+T61+T65</f>
        <v>715</v>
      </c>
      <c r="U67" s="457">
        <f t="shared" si="132"/>
        <v>292</v>
      </c>
      <c r="V67" s="457">
        <f t="shared" si="132"/>
        <v>0</v>
      </c>
      <c r="W67" s="511">
        <f t="shared" si="132"/>
        <v>1.6969318419000001</v>
      </c>
      <c r="X67" s="457">
        <f t="shared" si="132"/>
        <v>1015</v>
      </c>
      <c r="Y67" s="457">
        <f t="shared" ca="1" si="132"/>
        <v>481</v>
      </c>
      <c r="Z67" s="457">
        <f t="shared" si="132"/>
        <v>0</v>
      </c>
      <c r="AA67" s="511">
        <f t="shared" ref="AA67" ca="1" si="133">AA24+AA54+AA61+AA65</f>
        <v>2.1447913667142862</v>
      </c>
      <c r="AB67" s="457">
        <f t="shared" si="132"/>
        <v>975</v>
      </c>
      <c r="AC67" s="457">
        <f t="shared" ref="AC67:AE67" si="134">AC24+AC54+AC61+AC65</f>
        <v>300</v>
      </c>
      <c r="AD67" s="457">
        <f t="shared" si="134"/>
        <v>0</v>
      </c>
      <c r="AE67" s="511">
        <f t="shared" si="134"/>
        <v>3.3826232535137759</v>
      </c>
      <c r="AF67" s="457">
        <f>AF24+AF54+AF61+AF65</f>
        <v>1180</v>
      </c>
      <c r="AG67" s="457">
        <f t="shared" ref="AG67:AI67" si="135">AG24+AG54+AG61+AG65</f>
        <v>514</v>
      </c>
      <c r="AH67" s="457">
        <f t="shared" si="135"/>
        <v>0</v>
      </c>
      <c r="AI67" s="511">
        <f t="shared" si="135"/>
        <v>2.863188223206909</v>
      </c>
      <c r="AJ67" s="457">
        <f>AJ24+AJ54+AJ61+AJ65</f>
        <v>1181</v>
      </c>
      <c r="AK67" s="457">
        <f t="shared" ref="AK67:AM67" si="136">AK24+AK54+AK61+AK65</f>
        <v>277</v>
      </c>
      <c r="AL67" s="457">
        <f t="shared" si="136"/>
        <v>0</v>
      </c>
      <c r="AM67" s="511">
        <f t="shared" si="136"/>
        <v>2.1804542800000002</v>
      </c>
      <c r="AN67" s="457">
        <f>AN24+AN54+AN61+AN65</f>
        <v>1195</v>
      </c>
      <c r="AO67" s="457">
        <f t="shared" ref="AO67:AQ67" si="137">AO24+AO54+AO61+AO65</f>
        <v>730</v>
      </c>
      <c r="AP67" s="457">
        <f t="shared" si="137"/>
        <v>0</v>
      </c>
      <c r="AQ67" s="511">
        <f t="shared" si="137"/>
        <v>6.5932090470000011</v>
      </c>
      <c r="AR67" s="457">
        <f>AR24+AR54+AR61+AR65</f>
        <v>1205</v>
      </c>
      <c r="AS67" s="457">
        <f t="shared" ref="AS67:AU67" si="138">AS24+AS54+AS61+AS65</f>
        <v>346</v>
      </c>
      <c r="AT67" s="457">
        <f t="shared" si="138"/>
        <v>0</v>
      </c>
      <c r="AU67" s="511">
        <f t="shared" si="138"/>
        <v>1.9402745500000003</v>
      </c>
      <c r="AV67" s="457">
        <f>AV24+AV54+AV61+AV65</f>
        <v>1280</v>
      </c>
      <c r="AW67" s="457">
        <f t="shared" ref="AW67:BK67" si="139">AW24+AW54+AW61+AW65</f>
        <v>0</v>
      </c>
      <c r="AX67" s="457">
        <f t="shared" si="139"/>
        <v>0</v>
      </c>
      <c r="AY67" s="511">
        <f t="shared" ca="1" si="139"/>
        <v>0</v>
      </c>
      <c r="AZ67" s="458">
        <f t="shared" si="139"/>
        <v>2095</v>
      </c>
      <c r="BA67" s="458">
        <f t="shared" si="139"/>
        <v>1654</v>
      </c>
      <c r="BB67" s="511">
        <f t="shared" si="139"/>
        <v>9.5363890955428587</v>
      </c>
      <c r="BC67" s="457">
        <f t="shared" si="139"/>
        <v>2450</v>
      </c>
      <c r="BD67" s="458">
        <f t="shared" ca="1" si="139"/>
        <v>1123</v>
      </c>
      <c r="BE67" s="458"/>
      <c r="BF67" s="458"/>
      <c r="BG67" s="457">
        <f t="shared" si="139"/>
        <v>1091</v>
      </c>
      <c r="BH67" s="458">
        <f t="shared" si="139"/>
        <v>8.4262657567206851</v>
      </c>
      <c r="BI67" s="457">
        <f t="shared" si="139"/>
        <v>3680</v>
      </c>
      <c r="BJ67" s="457"/>
      <c r="BK67" s="458">
        <f t="shared" ca="1" si="139"/>
        <v>8.5334835970000018</v>
      </c>
      <c r="BL67" s="457">
        <v>25101</v>
      </c>
      <c r="BM67" s="457"/>
      <c r="BN67" s="458" t="e">
        <v>#REF!</v>
      </c>
      <c r="BO67" s="525">
        <f t="shared" ca="1" si="36"/>
        <v>2941.4716410569313</v>
      </c>
      <c r="BP67" s="472"/>
      <c r="BQ67" s="457">
        <f t="shared" ref="BQ67:BR67" si="140">BQ24+BQ54+BQ61+BQ65</f>
        <v>4545</v>
      </c>
      <c r="BR67" s="457">
        <f t="shared" ca="1" si="140"/>
        <v>2777</v>
      </c>
      <c r="BS67" s="467">
        <f t="shared" ca="1" si="34"/>
        <v>0.61100110011001096</v>
      </c>
      <c r="BT67" s="530">
        <f t="shared" ref="BT67" ca="1" si="141">BT24+BT54+BT61+BT65</f>
        <v>15.091608763357142</v>
      </c>
      <c r="BU67" s="525">
        <f t="shared" ca="1" si="64"/>
        <v>0.24020413459043335</v>
      </c>
    </row>
    <row r="68" spans="1:73" ht="12.6" hidden="1" customHeight="1">
      <c r="A68" s="254"/>
      <c r="B68" s="462"/>
      <c r="C68" s="463"/>
      <c r="D68" s="462"/>
      <c r="E68" s="462"/>
      <c r="F68" s="462"/>
      <c r="G68" s="513"/>
      <c r="H68" s="462"/>
      <c r="I68" s="462"/>
      <c r="J68" s="462"/>
      <c r="K68" s="513"/>
      <c r="L68" s="462"/>
      <c r="M68" s="462"/>
      <c r="N68" s="462"/>
      <c r="O68" s="513"/>
      <c r="P68" s="462"/>
      <c r="Q68" s="462"/>
      <c r="R68" s="462"/>
      <c r="S68" s="513"/>
      <c r="T68" s="462"/>
      <c r="U68" s="462"/>
      <c r="V68" s="462"/>
      <c r="W68" s="513"/>
      <c r="X68" s="462"/>
      <c r="Y68" s="462"/>
      <c r="Z68" s="462"/>
      <c r="AA68" s="513"/>
      <c r="AB68" s="462"/>
      <c r="AC68" s="462"/>
      <c r="AD68" s="462"/>
      <c r="AE68" s="513"/>
      <c r="AF68" s="462"/>
      <c r="AG68" s="462"/>
      <c r="AH68" s="462"/>
      <c r="AI68" s="513"/>
      <c r="AJ68" s="462"/>
      <c r="AK68" s="462"/>
      <c r="AL68" s="462"/>
      <c r="AM68" s="513"/>
      <c r="AN68" s="462"/>
      <c r="AO68" s="462"/>
      <c r="AP68" s="462"/>
      <c r="AQ68" s="513"/>
      <c r="AR68" s="462"/>
      <c r="AS68" s="462"/>
      <c r="AT68" s="462"/>
      <c r="AU68" s="513"/>
      <c r="AV68" s="462"/>
      <c r="AW68" s="462"/>
      <c r="AX68" s="462"/>
      <c r="AY68" s="513"/>
      <c r="AZ68" s="462"/>
      <c r="BA68" s="463"/>
      <c r="BB68" s="513"/>
      <c r="BC68" s="462"/>
      <c r="BD68" s="257">
        <v>0</v>
      </c>
      <c r="BE68" s="257"/>
      <c r="BF68" s="257"/>
      <c r="BG68" s="462" t="e">
        <f>A68+#REF!+#REF!+#REF!+#REF!+#REF!+#REF!+#REF!+#REF!+#REF!+#REF!+#REF!</f>
        <v>#REF!</v>
      </c>
      <c r="BH68" s="463" t="e">
        <f>+#REF!+#REF!+#REF!+#REF!+#REF!+#REF!+#REF!+#REF!+#REF!+#REF!+#REF!+BI68+#REF!</f>
        <v>#REF!</v>
      </c>
      <c r="BI68" s="462" t="e">
        <f>#REF!+#REF!+#REF!+#REF!+#REF!+#REF!+#REF!+#REF!+#REF!+#REF!+#REF!+#REF!</f>
        <v>#REF!</v>
      </c>
      <c r="BJ68" s="462"/>
      <c r="BK68" s="463" t="e">
        <f>+H68+L68+P68+T68+X68+AB68+AF68+AJ68+AN68+AR68+AV68+BL68+D68</f>
        <v>#REF!</v>
      </c>
      <c r="BL68" s="462" t="e">
        <v>#REF!</v>
      </c>
      <c r="BM68" s="462"/>
      <c r="BN68" s="463">
        <v>0</v>
      </c>
      <c r="BO68" s="469">
        <f t="shared" si="36"/>
        <v>0</v>
      </c>
      <c r="BP68" s="472"/>
      <c r="BQ68" s="462"/>
      <c r="BR68" s="462"/>
      <c r="BS68" s="469">
        <f t="shared" si="34"/>
        <v>0</v>
      </c>
      <c r="BT68" s="531"/>
      <c r="BU68" s="469">
        <f t="shared" si="64"/>
        <v>0</v>
      </c>
    </row>
    <row r="69" spans="1:73" ht="12.6" hidden="1" customHeight="1">
      <c r="A69" s="482" t="s">
        <v>81</v>
      </c>
      <c r="B69" s="498">
        <f>D69+H69+L69+P69+T69+X69+AB69+AF69+AJ69+AN69+AR69+AV69</f>
        <v>0</v>
      </c>
      <c r="C69" s="499"/>
      <c r="D69" s="498"/>
      <c r="E69" s="498"/>
      <c r="F69" s="498"/>
      <c r="G69" s="514"/>
      <c r="H69" s="498"/>
      <c r="I69" s="498"/>
      <c r="J69" s="498"/>
      <c r="K69" s="514"/>
      <c r="L69" s="498"/>
      <c r="M69" s="498"/>
      <c r="N69" s="498"/>
      <c r="O69" s="514"/>
      <c r="P69" s="498"/>
      <c r="Q69" s="498"/>
      <c r="R69" s="498"/>
      <c r="S69" s="514"/>
      <c r="T69" s="498"/>
      <c r="U69" s="498"/>
      <c r="V69" s="498">
        <f>(T69*U69)/10^6</f>
        <v>0</v>
      </c>
      <c r="W69" s="514">
        <f>U69*(V69-C69)*66.93/10^7</f>
        <v>0</v>
      </c>
      <c r="X69" s="498"/>
      <c r="Y69" s="498"/>
      <c r="Z69" s="498"/>
      <c r="AA69" s="514">
        <f>Y69*(Z69-G69)*66.93/10^7</f>
        <v>0</v>
      </c>
      <c r="AB69" s="498"/>
      <c r="AC69" s="498"/>
      <c r="AD69" s="498"/>
      <c r="AE69" s="514">
        <f>AC69*(AD69-K69)*66.93/10^7</f>
        <v>0</v>
      </c>
      <c r="AF69" s="498"/>
      <c r="AG69" s="498"/>
      <c r="AH69" s="498"/>
      <c r="AI69" s="514">
        <f>AG69*(AH69-O69)*66.93/10^7</f>
        <v>0</v>
      </c>
      <c r="AJ69" s="498"/>
      <c r="AK69" s="498"/>
      <c r="AL69" s="498"/>
      <c r="AM69" s="514">
        <f>AK69*(AL69-S69)*66.93/10^7</f>
        <v>0</v>
      </c>
      <c r="AN69" s="498"/>
      <c r="AO69" s="498"/>
      <c r="AP69" s="498"/>
      <c r="AQ69" s="514">
        <f>AO69*(AP69-W69)*66.93/10^7</f>
        <v>0</v>
      </c>
      <c r="AR69" s="498"/>
      <c r="AS69" s="498"/>
      <c r="AT69" s="498"/>
      <c r="AU69" s="514"/>
      <c r="AV69" s="498"/>
      <c r="AW69" s="498"/>
      <c r="AX69" s="498"/>
      <c r="AY69" s="514">
        <f>AW69*(AX69-AE69)*66.93/10^7</f>
        <v>0</v>
      </c>
      <c r="AZ69" s="257">
        <f>+D69+H69+L69</f>
        <v>0</v>
      </c>
      <c r="BA69" s="23">
        <f>+E69+I69+M69</f>
        <v>0</v>
      </c>
      <c r="BB69" s="514">
        <f>+G69+K69+O69</f>
        <v>0</v>
      </c>
      <c r="BC69" s="257">
        <f>+P69+T69+X69</f>
        <v>0</v>
      </c>
      <c r="BD69" s="257">
        <v>0</v>
      </c>
      <c r="BE69" s="257"/>
      <c r="BF69" s="257"/>
      <c r="BG69" s="257">
        <f>+AB69+AF69+AJ69</f>
        <v>0</v>
      </c>
      <c r="BH69" s="257" t="e">
        <f>+#REF!+#REF!+#REF!</f>
        <v>#REF!</v>
      </c>
      <c r="BI69" s="257">
        <f>+AN69+AR69+AV69</f>
        <v>0</v>
      </c>
      <c r="BJ69" s="257"/>
      <c r="BK69" s="257" t="e">
        <f>+#REF!+#REF!+#REF!</f>
        <v>#REF!</v>
      </c>
      <c r="BL69" s="257">
        <v>0</v>
      </c>
      <c r="BM69" s="257"/>
      <c r="BN69" s="257" t="e">
        <v>#REF!</v>
      </c>
      <c r="BO69" s="466">
        <f t="shared" si="36"/>
        <v>0</v>
      </c>
      <c r="BP69" s="472"/>
      <c r="BQ69" s="23">
        <f>D69+H69+L69+P69+T69</f>
        <v>0</v>
      </c>
      <c r="BR69" s="23">
        <f>E69+I69+M69+Q69+U69</f>
        <v>0</v>
      </c>
      <c r="BS69" s="466">
        <f t="shared" si="34"/>
        <v>0</v>
      </c>
      <c r="BT69" s="509">
        <f>G69+K69+O69+S69+W69+AA69</f>
        <v>0</v>
      </c>
      <c r="BU69" s="466">
        <f t="shared" si="64"/>
        <v>0</v>
      </c>
    </row>
    <row r="70" spans="1:73" ht="12.6" hidden="1" customHeight="1">
      <c r="A70" s="254"/>
      <c r="B70" s="462"/>
      <c r="C70" s="463"/>
      <c r="D70" s="462"/>
      <c r="E70" s="462"/>
      <c r="F70" s="462"/>
      <c r="G70" s="515"/>
      <c r="H70" s="462"/>
      <c r="I70" s="462"/>
      <c r="J70" s="462"/>
      <c r="K70" s="515"/>
      <c r="L70" s="462"/>
      <c r="M70" s="462"/>
      <c r="N70" s="462"/>
      <c r="O70" s="515"/>
      <c r="P70" s="462"/>
      <c r="Q70" s="462"/>
      <c r="R70" s="462"/>
      <c r="S70" s="515"/>
      <c r="T70" s="462"/>
      <c r="U70" s="462"/>
      <c r="V70" s="462"/>
      <c r="W70" s="515"/>
      <c r="X70" s="462"/>
      <c r="Y70" s="462"/>
      <c r="Z70" s="462"/>
      <c r="AA70" s="515"/>
      <c r="AB70" s="462"/>
      <c r="AC70" s="462"/>
      <c r="AD70" s="462"/>
      <c r="AE70" s="515"/>
      <c r="AF70" s="462"/>
      <c r="AG70" s="462"/>
      <c r="AH70" s="462"/>
      <c r="AI70" s="515"/>
      <c r="AJ70" s="462"/>
      <c r="AK70" s="462"/>
      <c r="AL70" s="462"/>
      <c r="AM70" s="515"/>
      <c r="AN70" s="462"/>
      <c r="AO70" s="462"/>
      <c r="AP70" s="462"/>
      <c r="AQ70" s="515"/>
      <c r="AR70" s="462"/>
      <c r="AS70" s="462"/>
      <c r="AT70" s="462"/>
      <c r="AU70" s="515"/>
      <c r="AV70" s="462"/>
      <c r="AW70" s="462"/>
      <c r="AX70" s="462"/>
      <c r="AY70" s="515"/>
      <c r="AZ70" s="462"/>
      <c r="BA70" s="463"/>
      <c r="BB70" s="515"/>
      <c r="BC70" s="462"/>
      <c r="BD70" s="257">
        <v>0</v>
      </c>
      <c r="BE70" s="257"/>
      <c r="BF70" s="257"/>
      <c r="BG70" s="462" t="e">
        <f>A70+#REF!+#REF!+#REF!+#REF!+#REF!+#REF!+#REF!+#REF!+#REF!+#REF!+#REF!</f>
        <v>#REF!</v>
      </c>
      <c r="BH70" s="463" t="e">
        <f>+#REF!+#REF!+#REF!+#REF!+#REF!+#REF!+#REF!+#REF!+#REF!+#REF!+#REF!+BI70+#REF!</f>
        <v>#REF!</v>
      </c>
      <c r="BI70" s="462" t="e">
        <f>#REF!+#REF!+#REF!+#REF!+#REF!+#REF!+#REF!+#REF!+#REF!+#REF!+#REF!+#REF!</f>
        <v>#REF!</v>
      </c>
      <c r="BJ70" s="462"/>
      <c r="BK70" s="463" t="e">
        <f>+H70+L70+P70+T70+X70+AB70+AF70+AJ70+AN70+AR70+AV70+BL70+D70</f>
        <v>#REF!</v>
      </c>
      <c r="BL70" s="462" t="e">
        <v>#REF!</v>
      </c>
      <c r="BM70" s="462"/>
      <c r="BN70" s="463">
        <v>0</v>
      </c>
      <c r="BO70" s="469">
        <f t="shared" si="36"/>
        <v>0</v>
      </c>
      <c r="BP70" s="472"/>
      <c r="BQ70" s="462"/>
      <c r="BR70" s="462"/>
      <c r="BS70" s="469">
        <f t="shared" si="34"/>
        <v>0</v>
      </c>
      <c r="BT70" s="531"/>
      <c r="BU70" s="469">
        <f t="shared" ref="BU70:BU81" si="142">IFERROR(BR70/B70,0)</f>
        <v>0</v>
      </c>
    </row>
    <row r="71" spans="1:73" ht="12.6" hidden="1" customHeight="1">
      <c r="A71" s="482" t="s">
        <v>9</v>
      </c>
      <c r="B71" s="457">
        <f>+B67+B69</f>
        <v>11561</v>
      </c>
      <c r="C71" s="458"/>
      <c r="D71" s="457">
        <f>+D67+D69</f>
        <v>665</v>
      </c>
      <c r="E71" s="457">
        <f>+E67+E69</f>
        <v>485</v>
      </c>
      <c r="F71" s="457"/>
      <c r="G71" s="511">
        <f>IF(ISERROR(#REF!/C71*1000000),0,(#REF!/C71*1000000))</f>
        <v>0</v>
      </c>
      <c r="H71" s="457">
        <f>+H67+H69</f>
        <v>755</v>
      </c>
      <c r="I71" s="457">
        <f>+I67+I69</f>
        <v>480</v>
      </c>
      <c r="J71" s="457"/>
      <c r="K71" s="511">
        <f>IF(ISERROR(#REF!/#REF!*1000000),0,(#REF!/#REF!*1000000))</f>
        <v>0</v>
      </c>
      <c r="L71" s="457">
        <f>+L67+L69</f>
        <v>675</v>
      </c>
      <c r="M71" s="457">
        <f>+M67+M69</f>
        <v>689</v>
      </c>
      <c r="N71" s="457"/>
      <c r="O71" s="511">
        <f>IF(ISERROR(#REF!/#REF!*1000000),0,(#REF!/#REF!*1000000))</f>
        <v>0</v>
      </c>
      <c r="P71" s="457">
        <f>+P67+P69</f>
        <v>720</v>
      </c>
      <c r="Q71" s="457">
        <f>+Q67+Q69</f>
        <v>350</v>
      </c>
      <c r="R71" s="457"/>
      <c r="S71" s="511">
        <f>IF(ISERROR(#REF!/#REF!*1000000),0,(#REF!/#REF!*1000000))</f>
        <v>0</v>
      </c>
      <c r="T71" s="457">
        <f t="shared" ref="T71:AB71" si="143">+T67+T69</f>
        <v>715</v>
      </c>
      <c r="U71" s="457">
        <f t="shared" si="143"/>
        <v>292</v>
      </c>
      <c r="V71" s="457">
        <f t="shared" si="143"/>
        <v>0</v>
      </c>
      <c r="W71" s="511">
        <f t="shared" si="143"/>
        <v>1.6969318419000001</v>
      </c>
      <c r="X71" s="457">
        <f t="shared" si="143"/>
        <v>1015</v>
      </c>
      <c r="Y71" s="457">
        <f t="shared" ca="1" si="143"/>
        <v>481</v>
      </c>
      <c r="Z71" s="457">
        <f t="shared" si="143"/>
        <v>0</v>
      </c>
      <c r="AA71" s="511">
        <f t="shared" ref="AA71" ca="1" si="144">+AA67+AA69</f>
        <v>2.1447913667142862</v>
      </c>
      <c r="AB71" s="457">
        <f t="shared" si="143"/>
        <v>975</v>
      </c>
      <c r="AC71" s="457">
        <f t="shared" ref="AC71:AE71" si="145">+AC67+AC69</f>
        <v>300</v>
      </c>
      <c r="AD71" s="457">
        <f t="shared" si="145"/>
        <v>0</v>
      </c>
      <c r="AE71" s="511">
        <f t="shared" si="145"/>
        <v>3.3826232535137759</v>
      </c>
      <c r="AF71" s="457">
        <f>+AF67+AF69</f>
        <v>1180</v>
      </c>
      <c r="AG71" s="457">
        <f t="shared" ref="AG71:AI71" si="146">+AG67+AG69</f>
        <v>514</v>
      </c>
      <c r="AH71" s="457">
        <f t="shared" si="146"/>
        <v>0</v>
      </c>
      <c r="AI71" s="511">
        <f t="shared" si="146"/>
        <v>2.863188223206909</v>
      </c>
      <c r="AJ71" s="457">
        <f>+AJ67+AJ69</f>
        <v>1181</v>
      </c>
      <c r="AK71" s="457">
        <f t="shared" ref="AK71:AM71" si="147">+AK67+AK69</f>
        <v>277</v>
      </c>
      <c r="AL71" s="457">
        <f t="shared" si="147"/>
        <v>0</v>
      </c>
      <c r="AM71" s="511">
        <f t="shared" si="147"/>
        <v>2.1804542800000002</v>
      </c>
      <c r="AN71" s="457">
        <f>+AN67+AN69</f>
        <v>1195</v>
      </c>
      <c r="AO71" s="457">
        <f t="shared" ref="AO71:AQ71" si="148">+AO67+AO69</f>
        <v>730</v>
      </c>
      <c r="AP71" s="457">
        <f t="shared" si="148"/>
        <v>0</v>
      </c>
      <c r="AQ71" s="511">
        <f t="shared" si="148"/>
        <v>6.5932090470000011</v>
      </c>
      <c r="AR71" s="457">
        <f>+AR67+AR69</f>
        <v>1205</v>
      </c>
      <c r="AS71" s="457">
        <f t="shared" ref="AS71:AU71" si="149">+AS67+AS69</f>
        <v>346</v>
      </c>
      <c r="AT71" s="457">
        <f t="shared" si="149"/>
        <v>0</v>
      </c>
      <c r="AU71" s="511">
        <f t="shared" si="149"/>
        <v>1.9402745500000003</v>
      </c>
      <c r="AV71" s="457">
        <f>+AV67+AV69</f>
        <v>1280</v>
      </c>
      <c r="AW71" s="457">
        <f t="shared" ref="AW71:BK71" si="150">+AW67+AW69</f>
        <v>0</v>
      </c>
      <c r="AX71" s="457">
        <f t="shared" si="150"/>
        <v>0</v>
      </c>
      <c r="AY71" s="511">
        <f t="shared" ca="1" si="150"/>
        <v>0</v>
      </c>
      <c r="AZ71" s="458">
        <f t="shared" si="150"/>
        <v>2095</v>
      </c>
      <c r="BA71" s="458">
        <f t="shared" si="150"/>
        <v>1654</v>
      </c>
      <c r="BB71" s="511">
        <f t="shared" si="150"/>
        <v>9.5363890955428587</v>
      </c>
      <c r="BC71" s="458">
        <f t="shared" si="150"/>
        <v>2450</v>
      </c>
      <c r="BD71" s="458">
        <f t="shared" ca="1" si="150"/>
        <v>1123</v>
      </c>
      <c r="BE71" s="458"/>
      <c r="BF71" s="458"/>
      <c r="BG71" s="458">
        <f t="shared" si="150"/>
        <v>1091</v>
      </c>
      <c r="BH71" s="458" t="e">
        <f t="shared" si="150"/>
        <v>#REF!</v>
      </c>
      <c r="BI71" s="458">
        <f t="shared" si="150"/>
        <v>3680</v>
      </c>
      <c r="BJ71" s="458"/>
      <c r="BK71" s="458" t="e">
        <f t="shared" ca="1" si="150"/>
        <v>#REF!</v>
      </c>
      <c r="BL71" s="458">
        <v>25101</v>
      </c>
      <c r="BM71" s="458"/>
      <c r="BN71" s="458" t="e">
        <v>#REF!</v>
      </c>
      <c r="BO71" s="525">
        <f t="shared" ca="1" si="36"/>
        <v>0</v>
      </c>
      <c r="BP71" s="472"/>
      <c r="BQ71" s="457">
        <f t="shared" ref="BQ71:BR71" si="151">+BQ67+BQ69</f>
        <v>4545</v>
      </c>
      <c r="BR71" s="457">
        <f t="shared" ca="1" si="151"/>
        <v>2777</v>
      </c>
      <c r="BS71" s="467">
        <f t="shared" ref="BS71:BS81" ca="1" si="152">IFERROR(BR71/BQ71,0)</f>
        <v>0.61100110011001096</v>
      </c>
      <c r="BT71" s="530">
        <f t="shared" ref="BT71" ca="1" si="153">+BT67+BT69</f>
        <v>15.091608763357142</v>
      </c>
      <c r="BU71" s="525">
        <f t="shared" ca="1" si="142"/>
        <v>0.24020413459043335</v>
      </c>
    </row>
    <row r="72" spans="1:73" ht="12.6" customHeight="1">
      <c r="A72" s="474"/>
      <c r="B72" s="502"/>
      <c r="C72" s="502"/>
      <c r="D72" s="474"/>
      <c r="E72" s="474"/>
      <c r="F72" s="474"/>
      <c r="G72" s="516"/>
      <c r="H72" s="474"/>
      <c r="I72" s="474"/>
      <c r="J72" s="474"/>
      <c r="K72" s="516"/>
      <c r="L72" s="474"/>
      <c r="M72" s="474"/>
      <c r="N72" s="474"/>
      <c r="O72" s="516"/>
      <c r="P72" s="474"/>
      <c r="Q72" s="474"/>
      <c r="R72" s="474"/>
      <c r="S72" s="516"/>
      <c r="T72" s="474"/>
      <c r="U72" s="474"/>
      <c r="V72" s="474"/>
      <c r="W72" s="516"/>
      <c r="X72" s="474"/>
      <c r="Y72" s="474"/>
      <c r="Z72" s="474"/>
      <c r="AA72" s="516"/>
      <c r="AB72" s="474"/>
      <c r="AC72" s="474"/>
      <c r="AD72" s="474"/>
      <c r="AE72" s="516"/>
      <c r="AF72" s="474"/>
      <c r="AG72" s="474"/>
      <c r="AH72" s="474"/>
      <c r="AI72" s="516"/>
      <c r="AJ72" s="474"/>
      <c r="AK72" s="474"/>
      <c r="AL72" s="474"/>
      <c r="AM72" s="516"/>
      <c r="AN72" s="474"/>
      <c r="AO72" s="474"/>
      <c r="AP72" s="474"/>
      <c r="AQ72" s="516"/>
      <c r="AR72" s="474"/>
      <c r="AS72" s="474"/>
      <c r="AT72" s="474"/>
      <c r="AU72" s="516"/>
      <c r="AV72" s="474"/>
      <c r="AW72" s="474"/>
      <c r="AX72" s="474"/>
      <c r="AY72" s="516"/>
      <c r="AZ72" s="474"/>
      <c r="BA72" s="474"/>
      <c r="BB72" s="516"/>
      <c r="BC72" s="474"/>
      <c r="BD72" s="474"/>
      <c r="BE72" s="474"/>
      <c r="BF72" s="474"/>
      <c r="BG72" s="474"/>
      <c r="BH72" s="474"/>
      <c r="BI72" s="474"/>
      <c r="BJ72" s="474"/>
      <c r="BK72" s="474"/>
      <c r="BL72" s="474"/>
      <c r="BM72" s="474"/>
      <c r="BN72" s="474"/>
      <c r="BO72" s="525">
        <f t="shared" si="36"/>
        <v>0</v>
      </c>
      <c r="BP72" s="472"/>
      <c r="BQ72" s="457"/>
      <c r="BR72" s="457"/>
      <c r="BS72" s="467">
        <f t="shared" si="152"/>
        <v>0</v>
      </c>
      <c r="BT72" s="530"/>
      <c r="BU72" s="525">
        <f t="shared" si="142"/>
        <v>0</v>
      </c>
    </row>
    <row r="73" spans="1:73" ht="12.6" customHeight="1">
      <c r="A73" s="254" t="s">
        <v>109</v>
      </c>
      <c r="B73" s="129">
        <f>D73+H73+L73+P73+T73+X73+AB73+AF73+AJ73+AN73+AR73+AV73</f>
        <v>0</v>
      </c>
      <c r="C73" s="257"/>
      <c r="D73" s="129"/>
      <c r="E73" s="129"/>
      <c r="F73" s="129"/>
      <c r="G73" s="509">
        <f t="shared" ref="G73:G78" si="154">E73*(F73-C73)*66.47/10^7</f>
        <v>0</v>
      </c>
      <c r="H73" s="129"/>
      <c r="I73" s="129">
        <v>16</v>
      </c>
      <c r="J73" s="129">
        <v>2020</v>
      </c>
      <c r="K73" s="509">
        <f t="shared" ref="K73:K78" si="155">I73*(J73-C73)*66.91/10^7</f>
        <v>0.21625311999999997</v>
      </c>
      <c r="L73" s="129"/>
      <c r="M73" s="129"/>
      <c r="N73" s="129"/>
      <c r="O73" s="509">
        <f t="shared" ref="O73:O78" si="156">M73*(N73-C73)*67.28/10^7</f>
        <v>0</v>
      </c>
      <c r="P73" s="129"/>
      <c r="Q73" s="129"/>
      <c r="R73" s="129"/>
      <c r="S73" s="509">
        <f t="shared" ref="S73:S78" si="157">Q73*(R73-C73)*67.28/10^7</f>
        <v>0</v>
      </c>
      <c r="T73" s="129"/>
      <c r="U73" s="129"/>
      <c r="V73" s="129">
        <f t="shared" ref="V73:V78" si="158">(T73*U73)/10^6</f>
        <v>0</v>
      </c>
      <c r="W73" s="509">
        <f t="shared" ref="W73:W78" si="159">U73*(V73-C73)*66.93/10^7</f>
        <v>0</v>
      </c>
      <c r="X73" s="129"/>
      <c r="Y73" s="129"/>
      <c r="Z73" s="129"/>
      <c r="AA73" s="509">
        <f t="shared" ref="AA73:AA78" si="160">Y73*(Z73-C73)*66.69/10^7</f>
        <v>0</v>
      </c>
      <c r="AB73" s="129"/>
      <c r="AC73" s="129"/>
      <c r="AD73" s="129"/>
      <c r="AE73" s="509">
        <f t="shared" ref="AE73:AE78" si="161">AC73*(AD73-G73)*66.73/10^7</f>
        <v>0</v>
      </c>
      <c r="AF73" s="129"/>
      <c r="AG73" s="129">
        <v>16</v>
      </c>
      <c r="AH73" s="129">
        <v>2029</v>
      </c>
      <c r="AI73" s="509">
        <f t="shared" ref="AI73:AI78" si="162">AG73*(AH73-K73)*67.58/10^7</f>
        <v>0.21936832898264066</v>
      </c>
      <c r="AJ73" s="129"/>
      <c r="AK73" s="129"/>
      <c r="AL73" s="129"/>
      <c r="AM73" s="509">
        <f t="shared" ref="AM73:AM78" si="163">AK73*(AL73-O73)*67.91/10^7</f>
        <v>0</v>
      </c>
      <c r="AN73" s="129"/>
      <c r="AO73" s="129"/>
      <c r="AP73" s="129"/>
      <c r="AQ73" s="509">
        <f t="shared" ref="AQ73:AQ78" si="164">AO73*(AP73-S73)*68.01/10^7</f>
        <v>0</v>
      </c>
      <c r="AR73" s="129"/>
      <c r="AS73" s="129">
        <v>1</v>
      </c>
      <c r="AT73" s="129">
        <v>2018</v>
      </c>
      <c r="AU73" s="509">
        <f t="shared" ref="AU73:AU78" si="165">AS73*(AT73-W73)*67.01/10^7</f>
        <v>1.3522618000000002E-2</v>
      </c>
      <c r="AV73" s="129"/>
      <c r="AW73" s="129"/>
      <c r="AX73" s="129"/>
      <c r="AY73" s="509">
        <f t="shared" ref="AY73:AY78" si="166">AW73*(AX73-AA73)*66.69/10^7</f>
        <v>0</v>
      </c>
      <c r="AZ73" s="23">
        <f t="shared" ref="AZ73:BA78" si="167">+D73+H73+L73</f>
        <v>0</v>
      </c>
      <c r="BA73" s="23">
        <f t="shared" si="167"/>
        <v>16</v>
      </c>
      <c r="BB73" s="509">
        <f t="shared" ref="BB73:BB78" si="168">+G73+K73+O73</f>
        <v>0.21625311999999997</v>
      </c>
      <c r="BC73" s="23">
        <f t="shared" ref="BC73:BD78" si="169">+P73+T73+X73</f>
        <v>0</v>
      </c>
      <c r="BD73" s="257">
        <f t="shared" si="169"/>
        <v>0</v>
      </c>
      <c r="BE73" s="257">
        <f t="shared" ref="BE73:BE78" si="170">S73+W73+AA73</f>
        <v>0</v>
      </c>
      <c r="BF73" s="257">
        <f t="shared" ref="BF73:BG78" si="171">AB73+AF73+AJ73</f>
        <v>0</v>
      </c>
      <c r="BG73" s="23">
        <f t="shared" si="171"/>
        <v>16</v>
      </c>
      <c r="BH73" s="257">
        <f t="shared" ref="BH73:BH78" si="172">AE73+AI73+AM73</f>
        <v>0.21936832898264066</v>
      </c>
      <c r="BI73" s="23">
        <f t="shared" ref="BI73:BJ78" si="173">+AN73+AR73+AV73</f>
        <v>0</v>
      </c>
      <c r="BJ73" s="23">
        <f t="shared" si="173"/>
        <v>1</v>
      </c>
      <c r="BK73" s="257">
        <f t="shared" ref="BK73:BK78" si="174">AQ73+AU73+AY73</f>
        <v>1.3522618000000002E-2</v>
      </c>
      <c r="BL73" s="23">
        <f t="shared" ref="BL73:BN78" si="175">AZ73+BC73+BF73+BI73</f>
        <v>0</v>
      </c>
      <c r="BM73" s="23">
        <f t="shared" si="175"/>
        <v>33</v>
      </c>
      <c r="BN73" s="257">
        <f t="shared" si="175"/>
        <v>0.44914406698264064</v>
      </c>
      <c r="BO73" s="466">
        <f t="shared" ref="BO73:BO78" si="176">IFERROR(BM73/BL73,0)</f>
        <v>0</v>
      </c>
      <c r="BP73" s="472"/>
      <c r="BQ73" s="23">
        <f t="shared" ref="BQ73:BR78" si="177">D73+H73+L73+P73+T73+X73</f>
        <v>0</v>
      </c>
      <c r="BR73" s="23">
        <f t="shared" si="177"/>
        <v>16</v>
      </c>
      <c r="BS73" s="466">
        <f t="shared" si="152"/>
        <v>0</v>
      </c>
      <c r="BT73" s="509">
        <f t="shared" ref="BT73:BT78" si="178">G73+K73+O73+S73+W73+AA73</f>
        <v>0.21625311999999997</v>
      </c>
      <c r="BU73" s="466">
        <f t="shared" si="142"/>
        <v>0</v>
      </c>
    </row>
    <row r="74" spans="1:73" ht="12.6" customHeight="1">
      <c r="A74" s="254" t="s">
        <v>110</v>
      </c>
      <c r="B74" s="129">
        <f>D74+H74+L74+P74+T74+X74+AB74+AF74+AJ74+AN74+AR74+AV74</f>
        <v>0</v>
      </c>
      <c r="C74" s="257"/>
      <c r="D74" s="129"/>
      <c r="E74" s="129"/>
      <c r="F74" s="129"/>
      <c r="G74" s="509">
        <f t="shared" si="154"/>
        <v>0</v>
      </c>
      <c r="H74" s="129"/>
      <c r="I74" s="129"/>
      <c r="J74" s="129"/>
      <c r="K74" s="509">
        <f t="shared" si="155"/>
        <v>0</v>
      </c>
      <c r="L74" s="129"/>
      <c r="M74" s="129"/>
      <c r="N74" s="129"/>
      <c r="O74" s="509">
        <f t="shared" si="156"/>
        <v>0</v>
      </c>
      <c r="P74" s="129"/>
      <c r="Q74" s="129"/>
      <c r="R74" s="129"/>
      <c r="S74" s="509">
        <f t="shared" si="157"/>
        <v>0</v>
      </c>
      <c r="T74" s="129"/>
      <c r="U74" s="129"/>
      <c r="V74" s="129">
        <f t="shared" si="158"/>
        <v>0</v>
      </c>
      <c r="W74" s="509">
        <f t="shared" si="159"/>
        <v>0</v>
      </c>
      <c r="X74" s="129"/>
      <c r="Y74" s="129"/>
      <c r="Z74" s="129"/>
      <c r="AA74" s="509">
        <f t="shared" si="160"/>
        <v>0</v>
      </c>
      <c r="AB74" s="129"/>
      <c r="AC74" s="129"/>
      <c r="AD74" s="129"/>
      <c r="AE74" s="509">
        <f t="shared" si="161"/>
        <v>0</v>
      </c>
      <c r="AF74" s="129"/>
      <c r="AG74" s="129"/>
      <c r="AH74" s="129"/>
      <c r="AI74" s="509">
        <f t="shared" si="162"/>
        <v>0</v>
      </c>
      <c r="AJ74" s="129"/>
      <c r="AK74" s="129"/>
      <c r="AL74" s="129"/>
      <c r="AM74" s="509">
        <f t="shared" si="163"/>
        <v>0</v>
      </c>
      <c r="AN74" s="129"/>
      <c r="AO74" s="129"/>
      <c r="AP74" s="129"/>
      <c r="AQ74" s="509">
        <f t="shared" si="164"/>
        <v>0</v>
      </c>
      <c r="AR74" s="129"/>
      <c r="AS74" s="129"/>
      <c r="AT74" s="129"/>
      <c r="AU74" s="509">
        <f t="shared" si="165"/>
        <v>0</v>
      </c>
      <c r="AV74" s="129"/>
      <c r="AW74" s="129"/>
      <c r="AX74" s="129"/>
      <c r="AY74" s="509">
        <f t="shared" si="166"/>
        <v>0</v>
      </c>
      <c r="AZ74" s="23">
        <f t="shared" si="167"/>
        <v>0</v>
      </c>
      <c r="BA74" s="23">
        <f t="shared" si="167"/>
        <v>0</v>
      </c>
      <c r="BB74" s="509">
        <f t="shared" si="168"/>
        <v>0</v>
      </c>
      <c r="BC74" s="23">
        <f t="shared" si="169"/>
        <v>0</v>
      </c>
      <c r="BD74" s="257">
        <f t="shared" si="169"/>
        <v>0</v>
      </c>
      <c r="BE74" s="257">
        <f t="shared" si="170"/>
        <v>0</v>
      </c>
      <c r="BF74" s="257">
        <f t="shared" si="171"/>
        <v>0</v>
      </c>
      <c r="BG74" s="23">
        <f t="shared" si="171"/>
        <v>0</v>
      </c>
      <c r="BH74" s="257">
        <f t="shared" si="172"/>
        <v>0</v>
      </c>
      <c r="BI74" s="23">
        <f t="shared" si="173"/>
        <v>0</v>
      </c>
      <c r="BJ74" s="23">
        <f t="shared" si="173"/>
        <v>0</v>
      </c>
      <c r="BK74" s="257">
        <f t="shared" si="174"/>
        <v>0</v>
      </c>
      <c r="BL74" s="23">
        <f t="shared" si="175"/>
        <v>0</v>
      </c>
      <c r="BM74" s="23">
        <f t="shared" si="175"/>
        <v>0</v>
      </c>
      <c r="BN74" s="257">
        <f t="shared" si="175"/>
        <v>0</v>
      </c>
      <c r="BO74" s="466">
        <f t="shared" si="176"/>
        <v>0</v>
      </c>
      <c r="BP74" s="472"/>
      <c r="BQ74" s="23">
        <f t="shared" si="177"/>
        <v>0</v>
      </c>
      <c r="BR74" s="23">
        <f t="shared" si="177"/>
        <v>0</v>
      </c>
      <c r="BS74" s="466">
        <f t="shared" si="152"/>
        <v>0</v>
      </c>
      <c r="BT74" s="509">
        <f t="shared" si="178"/>
        <v>0</v>
      </c>
      <c r="BU74" s="466">
        <f t="shared" si="142"/>
        <v>0</v>
      </c>
    </row>
    <row r="75" spans="1:73" ht="12.6" customHeight="1">
      <c r="A75" s="254" t="s">
        <v>132</v>
      </c>
      <c r="B75" s="129">
        <f>D75+H75+L75+P75+T75+X75+AB75+AF75+AJ75+AN75+AR75+AV75</f>
        <v>250</v>
      </c>
      <c r="C75" s="257"/>
      <c r="D75" s="129">
        <v>250</v>
      </c>
      <c r="E75" s="129"/>
      <c r="F75" s="129"/>
      <c r="G75" s="509">
        <f t="shared" si="154"/>
        <v>0</v>
      </c>
      <c r="H75" s="129"/>
      <c r="I75" s="129"/>
      <c r="J75" s="129"/>
      <c r="K75" s="509">
        <f t="shared" si="155"/>
        <v>0</v>
      </c>
      <c r="L75" s="129"/>
      <c r="M75" s="129"/>
      <c r="N75" s="129"/>
      <c r="O75" s="509">
        <f t="shared" si="156"/>
        <v>0</v>
      </c>
      <c r="P75" s="129"/>
      <c r="Q75" s="129"/>
      <c r="R75" s="129"/>
      <c r="S75" s="509">
        <f t="shared" si="157"/>
        <v>0</v>
      </c>
      <c r="T75" s="129"/>
      <c r="U75" s="129"/>
      <c r="V75" s="129">
        <f t="shared" si="158"/>
        <v>0</v>
      </c>
      <c r="W75" s="509">
        <f t="shared" si="159"/>
        <v>0</v>
      </c>
      <c r="X75" s="129"/>
      <c r="Y75" s="129"/>
      <c r="Z75" s="129"/>
      <c r="AA75" s="509">
        <f t="shared" si="160"/>
        <v>0</v>
      </c>
      <c r="AB75" s="129"/>
      <c r="AC75" s="129"/>
      <c r="AD75" s="129"/>
      <c r="AE75" s="509">
        <f t="shared" si="161"/>
        <v>0</v>
      </c>
      <c r="AF75" s="129"/>
      <c r="AG75" s="129"/>
      <c r="AH75" s="129"/>
      <c r="AI75" s="509">
        <f t="shared" si="162"/>
        <v>0</v>
      </c>
      <c r="AJ75" s="129"/>
      <c r="AK75" s="129"/>
      <c r="AL75" s="129"/>
      <c r="AM75" s="509">
        <f t="shared" si="163"/>
        <v>0</v>
      </c>
      <c r="AN75" s="129"/>
      <c r="AO75" s="129"/>
      <c r="AP75" s="129"/>
      <c r="AQ75" s="509">
        <f t="shared" si="164"/>
        <v>0</v>
      </c>
      <c r="AR75" s="129"/>
      <c r="AS75" s="129"/>
      <c r="AT75" s="129"/>
      <c r="AU75" s="509">
        <f t="shared" si="165"/>
        <v>0</v>
      </c>
      <c r="AV75" s="129"/>
      <c r="AW75" s="129"/>
      <c r="AX75" s="129"/>
      <c r="AY75" s="509">
        <f t="shared" si="166"/>
        <v>0</v>
      </c>
      <c r="AZ75" s="23">
        <f t="shared" si="167"/>
        <v>250</v>
      </c>
      <c r="BA75" s="23">
        <f t="shared" si="167"/>
        <v>0</v>
      </c>
      <c r="BB75" s="509">
        <f t="shared" si="168"/>
        <v>0</v>
      </c>
      <c r="BC75" s="23">
        <f t="shared" si="169"/>
        <v>0</v>
      </c>
      <c r="BD75" s="257">
        <f t="shared" si="169"/>
        <v>0</v>
      </c>
      <c r="BE75" s="257">
        <f t="shared" si="170"/>
        <v>0</v>
      </c>
      <c r="BF75" s="257">
        <f t="shared" si="171"/>
        <v>0</v>
      </c>
      <c r="BG75" s="23">
        <f t="shared" si="171"/>
        <v>0</v>
      </c>
      <c r="BH75" s="257">
        <f t="shared" si="172"/>
        <v>0</v>
      </c>
      <c r="BI75" s="23">
        <f t="shared" si="173"/>
        <v>0</v>
      </c>
      <c r="BJ75" s="23">
        <f t="shared" si="173"/>
        <v>0</v>
      </c>
      <c r="BK75" s="257">
        <f t="shared" si="174"/>
        <v>0</v>
      </c>
      <c r="BL75" s="23">
        <f t="shared" si="175"/>
        <v>250</v>
      </c>
      <c r="BM75" s="23">
        <f t="shared" si="175"/>
        <v>0</v>
      </c>
      <c r="BN75" s="257">
        <f t="shared" si="175"/>
        <v>0</v>
      </c>
      <c r="BO75" s="466">
        <f t="shared" si="176"/>
        <v>0</v>
      </c>
      <c r="BP75" s="472"/>
      <c r="BQ75" s="23">
        <f t="shared" si="177"/>
        <v>250</v>
      </c>
      <c r="BR75" s="23">
        <f t="shared" si="177"/>
        <v>0</v>
      </c>
      <c r="BS75" s="466">
        <f t="shared" si="152"/>
        <v>0</v>
      </c>
      <c r="BT75" s="509">
        <f t="shared" si="178"/>
        <v>0</v>
      </c>
      <c r="BU75" s="466">
        <f t="shared" si="142"/>
        <v>0</v>
      </c>
    </row>
    <row r="76" spans="1:73" ht="12.6" customHeight="1">
      <c r="A76" s="254" t="s">
        <v>121</v>
      </c>
      <c r="B76" s="129"/>
      <c r="C76" s="257"/>
      <c r="D76" s="129"/>
      <c r="E76" s="129"/>
      <c r="F76" s="129"/>
      <c r="G76" s="509">
        <f t="shared" si="154"/>
        <v>0</v>
      </c>
      <c r="H76" s="129"/>
      <c r="I76" s="129"/>
      <c r="J76" s="129"/>
      <c r="K76" s="509">
        <f t="shared" si="155"/>
        <v>0</v>
      </c>
      <c r="L76" s="129"/>
      <c r="M76" s="129"/>
      <c r="N76" s="129"/>
      <c r="O76" s="509">
        <f t="shared" si="156"/>
        <v>0</v>
      </c>
      <c r="P76" s="129"/>
      <c r="Q76" s="129"/>
      <c r="R76" s="129"/>
      <c r="S76" s="509">
        <f t="shared" si="157"/>
        <v>0</v>
      </c>
      <c r="T76" s="129"/>
      <c r="U76" s="129"/>
      <c r="V76" s="129"/>
      <c r="W76" s="509">
        <f t="shared" si="159"/>
        <v>0</v>
      </c>
      <c r="X76" s="129"/>
      <c r="Y76" s="129"/>
      <c r="Z76" s="129"/>
      <c r="AA76" s="509">
        <f t="shared" si="160"/>
        <v>0</v>
      </c>
      <c r="AB76" s="129"/>
      <c r="AC76" s="129"/>
      <c r="AD76" s="129"/>
      <c r="AE76" s="509">
        <f t="shared" si="161"/>
        <v>0</v>
      </c>
      <c r="AF76" s="129"/>
      <c r="AG76" s="129"/>
      <c r="AH76" s="129"/>
      <c r="AI76" s="509">
        <f t="shared" si="162"/>
        <v>0</v>
      </c>
      <c r="AJ76" s="129"/>
      <c r="AK76" s="129"/>
      <c r="AL76" s="129"/>
      <c r="AM76" s="509">
        <f t="shared" si="163"/>
        <v>0</v>
      </c>
      <c r="AN76" s="129"/>
      <c r="AO76" s="129"/>
      <c r="AP76" s="129"/>
      <c r="AQ76" s="509">
        <f t="shared" si="164"/>
        <v>0</v>
      </c>
      <c r="AR76" s="129"/>
      <c r="AS76" s="129"/>
      <c r="AT76" s="129"/>
      <c r="AU76" s="509">
        <f t="shared" si="165"/>
        <v>0</v>
      </c>
      <c r="AV76" s="129"/>
      <c r="AW76" s="129"/>
      <c r="AX76" s="129"/>
      <c r="AY76" s="509">
        <f t="shared" si="166"/>
        <v>0</v>
      </c>
      <c r="AZ76" s="23">
        <f t="shared" si="167"/>
        <v>0</v>
      </c>
      <c r="BA76" s="23">
        <f t="shared" si="167"/>
        <v>0</v>
      </c>
      <c r="BB76" s="509">
        <f t="shared" si="168"/>
        <v>0</v>
      </c>
      <c r="BC76" s="23">
        <f t="shared" si="169"/>
        <v>0</v>
      </c>
      <c r="BD76" s="257">
        <f t="shared" si="169"/>
        <v>0</v>
      </c>
      <c r="BE76" s="257">
        <f t="shared" si="170"/>
        <v>0</v>
      </c>
      <c r="BF76" s="257">
        <f t="shared" si="171"/>
        <v>0</v>
      </c>
      <c r="BG76" s="23">
        <f t="shared" si="171"/>
        <v>0</v>
      </c>
      <c r="BH76" s="257">
        <f t="shared" si="172"/>
        <v>0</v>
      </c>
      <c r="BI76" s="23">
        <f t="shared" si="173"/>
        <v>0</v>
      </c>
      <c r="BJ76" s="23">
        <f t="shared" si="173"/>
        <v>0</v>
      </c>
      <c r="BK76" s="257">
        <f t="shared" si="174"/>
        <v>0</v>
      </c>
      <c r="BL76" s="23">
        <f t="shared" si="175"/>
        <v>0</v>
      </c>
      <c r="BM76" s="23">
        <f t="shared" si="175"/>
        <v>0</v>
      </c>
      <c r="BN76" s="257">
        <f t="shared" si="175"/>
        <v>0</v>
      </c>
      <c r="BO76" s="466">
        <f t="shared" si="176"/>
        <v>0</v>
      </c>
      <c r="BP76" s="472"/>
      <c r="BQ76" s="23">
        <f t="shared" si="177"/>
        <v>0</v>
      </c>
      <c r="BR76" s="23">
        <f t="shared" si="177"/>
        <v>0</v>
      </c>
      <c r="BS76" s="466">
        <f t="shared" si="152"/>
        <v>0</v>
      </c>
      <c r="BT76" s="509">
        <f t="shared" si="178"/>
        <v>0</v>
      </c>
      <c r="BU76" s="466">
        <f t="shared" si="142"/>
        <v>0</v>
      </c>
    </row>
    <row r="77" spans="1:73" ht="12.6" customHeight="1">
      <c r="A77" s="254" t="s">
        <v>122</v>
      </c>
      <c r="B77" s="129">
        <f>D77+H77+L77+P77+T77+X77+AB77+AF77+AJ77+AN77+AR77+AV77</f>
        <v>0</v>
      </c>
      <c r="C77" s="257"/>
      <c r="D77" s="129"/>
      <c r="E77" s="129"/>
      <c r="F77" s="129"/>
      <c r="G77" s="509">
        <f t="shared" si="154"/>
        <v>0</v>
      </c>
      <c r="H77" s="129"/>
      <c r="I77" s="129"/>
      <c r="J77" s="129"/>
      <c r="K77" s="509">
        <f t="shared" si="155"/>
        <v>0</v>
      </c>
      <c r="L77" s="129"/>
      <c r="M77" s="129"/>
      <c r="N77" s="129"/>
      <c r="O77" s="509">
        <f t="shared" si="156"/>
        <v>0</v>
      </c>
      <c r="P77" s="129"/>
      <c r="Q77" s="129"/>
      <c r="R77" s="129"/>
      <c r="S77" s="509">
        <f t="shared" si="157"/>
        <v>0</v>
      </c>
      <c r="T77" s="129"/>
      <c r="U77" s="129"/>
      <c r="V77" s="129">
        <f t="shared" si="158"/>
        <v>0</v>
      </c>
      <c r="W77" s="509">
        <f t="shared" si="159"/>
        <v>0</v>
      </c>
      <c r="X77" s="129"/>
      <c r="Y77" s="129"/>
      <c r="Z77" s="129"/>
      <c r="AA77" s="509">
        <f t="shared" si="160"/>
        <v>0</v>
      </c>
      <c r="AB77" s="129"/>
      <c r="AC77" s="129"/>
      <c r="AD77" s="129"/>
      <c r="AE77" s="509">
        <f t="shared" si="161"/>
        <v>0</v>
      </c>
      <c r="AF77" s="129"/>
      <c r="AG77" s="129"/>
      <c r="AH77" s="129"/>
      <c r="AI77" s="509">
        <f t="shared" si="162"/>
        <v>0</v>
      </c>
      <c r="AJ77" s="129"/>
      <c r="AK77" s="129"/>
      <c r="AL77" s="129"/>
      <c r="AM77" s="509">
        <f t="shared" si="163"/>
        <v>0</v>
      </c>
      <c r="AN77" s="129"/>
      <c r="AO77" s="129"/>
      <c r="AP77" s="129"/>
      <c r="AQ77" s="509">
        <f t="shared" si="164"/>
        <v>0</v>
      </c>
      <c r="AR77" s="129"/>
      <c r="AS77" s="129"/>
      <c r="AT77" s="129"/>
      <c r="AU77" s="509">
        <f t="shared" si="165"/>
        <v>0</v>
      </c>
      <c r="AV77" s="129"/>
      <c r="AW77" s="129"/>
      <c r="AX77" s="129"/>
      <c r="AY77" s="509">
        <f t="shared" si="166"/>
        <v>0</v>
      </c>
      <c r="AZ77" s="23">
        <f t="shared" si="167"/>
        <v>0</v>
      </c>
      <c r="BA77" s="23">
        <f t="shared" si="167"/>
        <v>0</v>
      </c>
      <c r="BB77" s="509">
        <f t="shared" si="168"/>
        <v>0</v>
      </c>
      <c r="BC77" s="23">
        <f t="shared" si="169"/>
        <v>0</v>
      </c>
      <c r="BD77" s="257">
        <f t="shared" si="169"/>
        <v>0</v>
      </c>
      <c r="BE77" s="257">
        <f t="shared" si="170"/>
        <v>0</v>
      </c>
      <c r="BF77" s="257">
        <f t="shared" si="171"/>
        <v>0</v>
      </c>
      <c r="BG77" s="23">
        <f t="shared" si="171"/>
        <v>0</v>
      </c>
      <c r="BH77" s="257">
        <f t="shared" si="172"/>
        <v>0</v>
      </c>
      <c r="BI77" s="23">
        <f t="shared" si="173"/>
        <v>0</v>
      </c>
      <c r="BJ77" s="23">
        <f t="shared" si="173"/>
        <v>0</v>
      </c>
      <c r="BK77" s="257">
        <f t="shared" si="174"/>
        <v>0</v>
      </c>
      <c r="BL77" s="23">
        <f t="shared" si="175"/>
        <v>0</v>
      </c>
      <c r="BM77" s="23">
        <f t="shared" si="175"/>
        <v>0</v>
      </c>
      <c r="BN77" s="257">
        <f t="shared" si="175"/>
        <v>0</v>
      </c>
      <c r="BO77" s="466">
        <f t="shared" si="176"/>
        <v>0</v>
      </c>
      <c r="BP77" s="472"/>
      <c r="BQ77" s="23">
        <f t="shared" si="177"/>
        <v>0</v>
      </c>
      <c r="BR77" s="23">
        <f t="shared" si="177"/>
        <v>0</v>
      </c>
      <c r="BS77" s="466">
        <f t="shared" si="152"/>
        <v>0</v>
      </c>
      <c r="BT77" s="509">
        <f t="shared" si="178"/>
        <v>0</v>
      </c>
      <c r="BU77" s="466">
        <f t="shared" si="142"/>
        <v>0</v>
      </c>
    </row>
    <row r="78" spans="1:73" ht="12.6" customHeight="1">
      <c r="A78" s="503" t="s">
        <v>123</v>
      </c>
      <c r="B78" s="129">
        <f>D78+H78+L78+P78+T78+X78+AB78+AF78+AJ78+AN78+AR78+AV78</f>
        <v>0</v>
      </c>
      <c r="C78" s="257"/>
      <c r="D78" s="129"/>
      <c r="E78" s="129"/>
      <c r="F78" s="129"/>
      <c r="G78" s="509">
        <f t="shared" si="154"/>
        <v>0</v>
      </c>
      <c r="H78" s="129"/>
      <c r="I78" s="129"/>
      <c r="J78" s="129"/>
      <c r="K78" s="509">
        <f t="shared" si="155"/>
        <v>0</v>
      </c>
      <c r="L78" s="129"/>
      <c r="M78" s="129"/>
      <c r="N78" s="129"/>
      <c r="O78" s="509">
        <f t="shared" si="156"/>
        <v>0</v>
      </c>
      <c r="P78" s="129"/>
      <c r="Q78" s="129"/>
      <c r="R78" s="129"/>
      <c r="S78" s="509">
        <f t="shared" si="157"/>
        <v>0</v>
      </c>
      <c r="T78" s="129"/>
      <c r="U78" s="129"/>
      <c r="V78" s="129">
        <f t="shared" si="158"/>
        <v>0</v>
      </c>
      <c r="W78" s="509">
        <f t="shared" si="159"/>
        <v>0</v>
      </c>
      <c r="X78" s="129"/>
      <c r="Y78" s="129"/>
      <c r="Z78" s="129"/>
      <c r="AA78" s="509">
        <f t="shared" si="160"/>
        <v>0</v>
      </c>
      <c r="AB78" s="129"/>
      <c r="AC78" s="129"/>
      <c r="AD78" s="129"/>
      <c r="AE78" s="509">
        <f t="shared" si="161"/>
        <v>0</v>
      </c>
      <c r="AF78" s="129"/>
      <c r="AG78" s="129"/>
      <c r="AH78" s="129"/>
      <c r="AI78" s="509">
        <f t="shared" si="162"/>
        <v>0</v>
      </c>
      <c r="AJ78" s="129"/>
      <c r="AK78" s="129"/>
      <c r="AL78" s="129"/>
      <c r="AM78" s="509">
        <f t="shared" si="163"/>
        <v>0</v>
      </c>
      <c r="AN78" s="129"/>
      <c r="AO78" s="129"/>
      <c r="AP78" s="129"/>
      <c r="AQ78" s="509">
        <f t="shared" si="164"/>
        <v>0</v>
      </c>
      <c r="AR78" s="129"/>
      <c r="AS78" s="129"/>
      <c r="AT78" s="129"/>
      <c r="AU78" s="509">
        <f t="shared" si="165"/>
        <v>0</v>
      </c>
      <c r="AV78" s="129"/>
      <c r="AW78" s="129"/>
      <c r="AX78" s="129"/>
      <c r="AY78" s="509">
        <f t="shared" si="166"/>
        <v>0</v>
      </c>
      <c r="AZ78" s="23">
        <f t="shared" si="167"/>
        <v>0</v>
      </c>
      <c r="BA78" s="23">
        <f t="shared" si="167"/>
        <v>0</v>
      </c>
      <c r="BB78" s="509">
        <f t="shared" si="168"/>
        <v>0</v>
      </c>
      <c r="BC78" s="23">
        <f t="shared" si="169"/>
        <v>0</v>
      </c>
      <c r="BD78" s="257">
        <f t="shared" si="169"/>
        <v>0</v>
      </c>
      <c r="BE78" s="257">
        <f t="shared" si="170"/>
        <v>0</v>
      </c>
      <c r="BF78" s="257">
        <f t="shared" si="171"/>
        <v>0</v>
      </c>
      <c r="BG78" s="23">
        <f t="shared" si="171"/>
        <v>0</v>
      </c>
      <c r="BH78" s="257">
        <f t="shared" si="172"/>
        <v>0</v>
      </c>
      <c r="BI78" s="23">
        <f t="shared" si="173"/>
        <v>0</v>
      </c>
      <c r="BJ78" s="23">
        <f t="shared" si="173"/>
        <v>0</v>
      </c>
      <c r="BK78" s="257">
        <f t="shared" si="174"/>
        <v>0</v>
      </c>
      <c r="BL78" s="23">
        <f t="shared" si="175"/>
        <v>0</v>
      </c>
      <c r="BM78" s="23">
        <f t="shared" si="175"/>
        <v>0</v>
      </c>
      <c r="BN78" s="257">
        <f t="shared" si="175"/>
        <v>0</v>
      </c>
      <c r="BO78" s="466">
        <f t="shared" si="176"/>
        <v>0</v>
      </c>
      <c r="BP78" s="472"/>
      <c r="BQ78" s="23">
        <f t="shared" si="177"/>
        <v>0</v>
      </c>
      <c r="BR78" s="23">
        <f t="shared" si="177"/>
        <v>0</v>
      </c>
      <c r="BS78" s="466">
        <f t="shared" si="152"/>
        <v>0</v>
      </c>
      <c r="BT78" s="509">
        <f t="shared" si="178"/>
        <v>0</v>
      </c>
      <c r="BU78" s="466">
        <f t="shared" si="142"/>
        <v>0</v>
      </c>
    </row>
    <row r="79" spans="1:73" ht="12.6" customHeight="1">
      <c r="A79" s="482" t="s">
        <v>108</v>
      </c>
      <c r="B79" s="457">
        <f>SUM(B73:B78)</f>
        <v>250</v>
      </c>
      <c r="C79" s="458"/>
      <c r="D79" s="457">
        <f>SUM(D73:D78)</f>
        <v>250</v>
      </c>
      <c r="E79" s="457"/>
      <c r="F79" s="457"/>
      <c r="G79" s="511">
        <f>SUM(G73:G78)</f>
        <v>0</v>
      </c>
      <c r="H79" s="457">
        <f>SUM(H73:H78)</f>
        <v>0</v>
      </c>
      <c r="I79" s="457">
        <f>SUM(I73:I78)</f>
        <v>16</v>
      </c>
      <c r="J79" s="457"/>
      <c r="K79" s="511">
        <f>SUM(K73:K78)</f>
        <v>0.21625311999999997</v>
      </c>
      <c r="L79" s="457">
        <f>SUM(L73:L78)</f>
        <v>0</v>
      </c>
      <c r="M79" s="457"/>
      <c r="N79" s="457"/>
      <c r="O79" s="511">
        <f>SUM(O73:O78)</f>
        <v>0</v>
      </c>
      <c r="P79" s="457">
        <f>SUM(P73:P78)</f>
        <v>0</v>
      </c>
      <c r="Q79" s="457"/>
      <c r="R79" s="457"/>
      <c r="S79" s="511">
        <f t="shared" ref="S79:Y79" si="179">SUM(S73:S78)</f>
        <v>0</v>
      </c>
      <c r="T79" s="457">
        <f t="shared" si="179"/>
        <v>0</v>
      </c>
      <c r="U79" s="457">
        <f t="shared" si="179"/>
        <v>0</v>
      </c>
      <c r="V79" s="457">
        <f t="shared" si="179"/>
        <v>0</v>
      </c>
      <c r="W79" s="511">
        <f t="shared" si="179"/>
        <v>0</v>
      </c>
      <c r="X79" s="457">
        <f t="shared" si="179"/>
        <v>0</v>
      </c>
      <c r="Y79" s="457">
        <f t="shared" si="179"/>
        <v>0</v>
      </c>
      <c r="Z79" s="457">
        <f>SUM(Z73:Z78)</f>
        <v>0</v>
      </c>
      <c r="AA79" s="511">
        <f t="shared" ref="AA79" si="180">SUM(AA73:AA78)</f>
        <v>0</v>
      </c>
      <c r="AB79" s="457">
        <f>SUM(AB73:AB78)</f>
        <v>0</v>
      </c>
      <c r="AC79" s="457">
        <f t="shared" ref="AC79" si="181">SUM(AC73:AC78)</f>
        <v>0</v>
      </c>
      <c r="AD79" s="457">
        <f>SUM(AD73:AD78)</f>
        <v>0</v>
      </c>
      <c r="AE79" s="511">
        <f t="shared" ref="AE79" si="182">SUM(AE73:AE78)</f>
        <v>0</v>
      </c>
      <c r="AF79" s="457">
        <f>SUM(AF73:AF78)</f>
        <v>0</v>
      </c>
      <c r="AG79" s="457">
        <f t="shared" ref="AG79" si="183">SUM(AG73:AG78)</f>
        <v>16</v>
      </c>
      <c r="AH79" s="457">
        <f>SUM(AH73:AH78)</f>
        <v>2029</v>
      </c>
      <c r="AI79" s="511">
        <f t="shared" ref="AI79" si="184">SUM(AI73:AI78)</f>
        <v>0.21936832898264066</v>
      </c>
      <c r="AJ79" s="457">
        <f>SUM(AJ73:AJ78)</f>
        <v>0</v>
      </c>
      <c r="AK79" s="457">
        <f t="shared" ref="AK79" si="185">SUM(AK73:AK78)</f>
        <v>0</v>
      </c>
      <c r="AL79" s="457">
        <f>SUM(AL73:AL78)</f>
        <v>0</v>
      </c>
      <c r="AM79" s="511">
        <f t="shared" ref="AM79" si="186">SUM(AM73:AM78)</f>
        <v>0</v>
      </c>
      <c r="AN79" s="457">
        <f>SUM(AN73:AN78)</f>
        <v>0</v>
      </c>
      <c r="AO79" s="457">
        <f t="shared" ref="AO79" si="187">SUM(AO73:AO78)</f>
        <v>0</v>
      </c>
      <c r="AP79" s="457">
        <f>SUM(AP73:AP78)</f>
        <v>0</v>
      </c>
      <c r="AQ79" s="511">
        <f t="shared" ref="AQ79" si="188">SUM(AQ73:AQ78)</f>
        <v>0</v>
      </c>
      <c r="AR79" s="457">
        <f>SUM(AR73:AR78)</f>
        <v>0</v>
      </c>
      <c r="AS79" s="457">
        <f t="shared" ref="AS79" si="189">SUM(AS73:AS78)</f>
        <v>1</v>
      </c>
      <c r="AT79" s="457">
        <f>SUM(AT73:AT78)</f>
        <v>2018</v>
      </c>
      <c r="AU79" s="511">
        <f t="shared" ref="AU79" si="190">SUM(AU73:AU78)</f>
        <v>1.3522618000000002E-2</v>
      </c>
      <c r="AV79" s="457">
        <f>SUM(AV73:AV78)</f>
        <v>0</v>
      </c>
      <c r="AW79" s="457">
        <f t="shared" ref="AW79" si="191">SUM(AW73:AW78)</f>
        <v>0</v>
      </c>
      <c r="AX79" s="457">
        <f>SUM(AX73:AX78)</f>
        <v>0</v>
      </c>
      <c r="AY79" s="511">
        <f t="shared" ref="AY79:BN79" si="192">SUM(AY73:AY78)</f>
        <v>0</v>
      </c>
      <c r="AZ79" s="457">
        <f t="shared" si="192"/>
        <v>250</v>
      </c>
      <c r="BA79" s="458">
        <f t="shared" si="192"/>
        <v>16</v>
      </c>
      <c r="BB79" s="511">
        <f t="shared" si="192"/>
        <v>0.21625311999999997</v>
      </c>
      <c r="BC79" s="457">
        <f t="shared" si="192"/>
        <v>0</v>
      </c>
      <c r="BD79" s="458">
        <f t="shared" si="192"/>
        <v>0</v>
      </c>
      <c r="BE79" s="458">
        <f t="shared" si="192"/>
        <v>0</v>
      </c>
      <c r="BF79" s="458">
        <f t="shared" si="192"/>
        <v>0</v>
      </c>
      <c r="BG79" s="457">
        <f t="shared" si="192"/>
        <v>16</v>
      </c>
      <c r="BH79" s="458">
        <f t="shared" si="192"/>
        <v>0.21936832898264066</v>
      </c>
      <c r="BI79" s="458">
        <f t="shared" si="192"/>
        <v>0</v>
      </c>
      <c r="BJ79" s="458">
        <f t="shared" si="192"/>
        <v>1</v>
      </c>
      <c r="BK79" s="458">
        <f t="shared" si="192"/>
        <v>1.3522618000000002E-2</v>
      </c>
      <c r="BL79" s="458">
        <f t="shared" si="192"/>
        <v>250</v>
      </c>
      <c r="BM79" s="458">
        <f t="shared" si="192"/>
        <v>33</v>
      </c>
      <c r="BN79" s="458">
        <f t="shared" si="192"/>
        <v>0.44914406698264064</v>
      </c>
      <c r="BO79" s="525">
        <f>IFERROR(BM79/BL79,0)</f>
        <v>0.13200000000000001</v>
      </c>
      <c r="BP79" s="472"/>
      <c r="BQ79" s="457">
        <f t="shared" ref="BQ79:BR79" si="193">SUM(BQ73:BQ78)</f>
        <v>250</v>
      </c>
      <c r="BR79" s="457">
        <f t="shared" si="193"/>
        <v>16</v>
      </c>
      <c r="BS79" s="467">
        <f t="shared" si="152"/>
        <v>6.4000000000000001E-2</v>
      </c>
      <c r="BT79" s="530">
        <f t="shared" ref="BT79" si="194">SUM(BT73:BT78)</f>
        <v>0.21625311999999997</v>
      </c>
      <c r="BU79" s="525">
        <f t="shared" si="142"/>
        <v>6.4000000000000001E-2</v>
      </c>
    </row>
    <row r="80" spans="1:73" ht="12.6" customHeight="1">
      <c r="A80" s="474"/>
      <c r="B80" s="502"/>
      <c r="C80" s="502"/>
      <c r="D80" s="474"/>
      <c r="E80" s="474"/>
      <c r="F80" s="474"/>
      <c r="G80" s="516"/>
      <c r="H80" s="474"/>
      <c r="I80" s="474"/>
      <c r="J80" s="474"/>
      <c r="K80" s="516"/>
      <c r="L80" s="474"/>
      <c r="M80" s="474"/>
      <c r="N80" s="474"/>
      <c r="O80" s="516"/>
      <c r="P80" s="474"/>
      <c r="Q80" s="474"/>
      <c r="R80" s="474"/>
      <c r="S80" s="516"/>
      <c r="T80" s="474"/>
      <c r="U80" s="474"/>
      <c r="V80" s="474"/>
      <c r="W80" s="516"/>
      <c r="X80" s="474"/>
      <c r="Y80" s="474"/>
      <c r="Z80" s="474"/>
      <c r="AA80" s="516"/>
      <c r="AB80" s="474"/>
      <c r="AC80" s="474"/>
      <c r="AD80" s="474"/>
      <c r="AE80" s="516"/>
      <c r="AF80" s="474"/>
      <c r="AG80" s="474"/>
      <c r="AH80" s="474"/>
      <c r="AI80" s="516"/>
      <c r="AJ80" s="474"/>
      <c r="AK80" s="474"/>
      <c r="AL80" s="474"/>
      <c r="AM80" s="516"/>
      <c r="AN80" s="474"/>
      <c r="AO80" s="474"/>
      <c r="AP80" s="474"/>
      <c r="AQ80" s="516"/>
      <c r="AR80" s="474"/>
      <c r="AS80" s="474"/>
      <c r="AT80" s="474"/>
      <c r="AU80" s="516"/>
      <c r="AV80" s="474"/>
      <c r="AW80" s="474"/>
      <c r="AX80" s="474"/>
      <c r="AY80" s="516"/>
      <c r="AZ80" s="474"/>
      <c r="BA80" s="474"/>
      <c r="BB80" s="516"/>
      <c r="BC80" s="474"/>
      <c r="BD80" s="474"/>
      <c r="BE80" s="474"/>
      <c r="BF80" s="474"/>
      <c r="BG80" s="474"/>
      <c r="BH80" s="474"/>
      <c r="BI80" s="474"/>
      <c r="BJ80" s="474"/>
      <c r="BK80" s="474"/>
      <c r="BL80" s="474"/>
      <c r="BM80" s="474"/>
      <c r="BN80" s="474"/>
      <c r="BO80" s="527">
        <f t="shared" si="36"/>
        <v>0</v>
      </c>
      <c r="BP80" s="472"/>
      <c r="BQ80" s="464"/>
      <c r="BR80" s="464"/>
      <c r="BS80" s="470">
        <f t="shared" si="152"/>
        <v>0</v>
      </c>
      <c r="BT80" s="532"/>
      <c r="BU80" s="527">
        <f t="shared" si="142"/>
        <v>0</v>
      </c>
    </row>
    <row r="81" spans="1:73" ht="12.6" customHeight="1">
      <c r="A81" s="482" t="s">
        <v>233</v>
      </c>
      <c r="B81" s="457">
        <f>B71+B79</f>
        <v>11811</v>
      </c>
      <c r="C81" s="457"/>
      <c r="D81" s="457">
        <f t="shared" ref="D81:E81" si="195">D24+D54+D61+D65+D79</f>
        <v>915</v>
      </c>
      <c r="E81" s="457">
        <f t="shared" si="195"/>
        <v>485</v>
      </c>
      <c r="F81" s="483"/>
      <c r="G81" s="511">
        <f t="shared" ref="G81" si="196">G24+G54+G61+G65+G79</f>
        <v>2.9971425553714286</v>
      </c>
      <c r="H81" s="457">
        <f t="shared" ref="H81:AY81" si="197">H24+H54+H61+H65+H79</f>
        <v>755</v>
      </c>
      <c r="I81" s="457">
        <f t="shared" si="197"/>
        <v>496</v>
      </c>
      <c r="J81" s="457"/>
      <c r="K81" s="511">
        <f t="shared" si="197"/>
        <v>2.8668354185714291</v>
      </c>
      <c r="L81" s="457">
        <f t="shared" si="197"/>
        <v>675</v>
      </c>
      <c r="M81" s="457">
        <f t="shared" si="197"/>
        <v>689</v>
      </c>
      <c r="N81" s="457"/>
      <c r="O81" s="511">
        <f t="shared" si="197"/>
        <v>3.8886642416000003</v>
      </c>
      <c r="P81" s="457">
        <f t="shared" si="197"/>
        <v>720</v>
      </c>
      <c r="Q81" s="457">
        <f t="shared" ref="Q81" si="198">Q24+Q54+Q61+Q65+Q79</f>
        <v>350</v>
      </c>
      <c r="R81" s="457"/>
      <c r="S81" s="511">
        <f t="shared" ref="S81" si="199">S24+S54+S61+S65+S79</f>
        <v>1.7134964592000002</v>
      </c>
      <c r="T81" s="457">
        <f t="shared" si="197"/>
        <v>715</v>
      </c>
      <c r="U81" s="457">
        <f t="shared" si="197"/>
        <v>292</v>
      </c>
      <c r="V81" s="457">
        <f t="shared" si="197"/>
        <v>0</v>
      </c>
      <c r="W81" s="511">
        <f t="shared" si="197"/>
        <v>1.6969318419000001</v>
      </c>
      <c r="X81" s="457">
        <f t="shared" si="197"/>
        <v>1015</v>
      </c>
      <c r="Y81" s="457">
        <f t="shared" ca="1" si="197"/>
        <v>481</v>
      </c>
      <c r="Z81" s="457">
        <f t="shared" si="197"/>
        <v>0</v>
      </c>
      <c r="AA81" s="511">
        <f t="shared" ref="AA81" ca="1" si="200">AA24+AA54+AA61+AA65+AA79</f>
        <v>2.1447913667142862</v>
      </c>
      <c r="AB81" s="457">
        <f t="shared" si="197"/>
        <v>975</v>
      </c>
      <c r="AC81" s="457">
        <f t="shared" ref="AC81:AE81" si="201">AC24+AC54+AC61+AC65+AC79</f>
        <v>300</v>
      </c>
      <c r="AD81" s="457">
        <f t="shared" si="201"/>
        <v>0</v>
      </c>
      <c r="AE81" s="511">
        <f t="shared" si="201"/>
        <v>3.3826232535137759</v>
      </c>
      <c r="AF81" s="457">
        <f t="shared" si="197"/>
        <v>1180</v>
      </c>
      <c r="AG81" s="457">
        <f t="shared" si="197"/>
        <v>530</v>
      </c>
      <c r="AH81" s="457">
        <f t="shared" si="197"/>
        <v>2029</v>
      </c>
      <c r="AI81" s="511">
        <f t="shared" si="197"/>
        <v>3.0825565521895495</v>
      </c>
      <c r="AJ81" s="457">
        <f t="shared" si="197"/>
        <v>1181</v>
      </c>
      <c r="AK81" s="457">
        <f t="shared" ref="AK81:AM81" si="202">AK24+AK54+AK61+AK65+AK79</f>
        <v>277</v>
      </c>
      <c r="AL81" s="457">
        <f t="shared" si="202"/>
        <v>0</v>
      </c>
      <c r="AM81" s="511">
        <f t="shared" si="202"/>
        <v>2.1804542800000002</v>
      </c>
      <c r="AN81" s="457">
        <f t="shared" si="197"/>
        <v>1195</v>
      </c>
      <c r="AO81" s="457">
        <f t="shared" si="197"/>
        <v>730</v>
      </c>
      <c r="AP81" s="457">
        <f t="shared" si="197"/>
        <v>0</v>
      </c>
      <c r="AQ81" s="511">
        <f t="shared" si="197"/>
        <v>6.5932090470000011</v>
      </c>
      <c r="AR81" s="457">
        <f t="shared" si="197"/>
        <v>1205</v>
      </c>
      <c r="AS81" s="457">
        <f t="shared" ref="AS81:AU81" si="203">AS24+AS54+AS61+AS65+AS79</f>
        <v>347</v>
      </c>
      <c r="AT81" s="457">
        <f t="shared" si="203"/>
        <v>2018</v>
      </c>
      <c r="AU81" s="511">
        <f t="shared" si="203"/>
        <v>1.9537971680000004</v>
      </c>
      <c r="AV81" s="457">
        <f t="shared" si="197"/>
        <v>1280</v>
      </c>
      <c r="AW81" s="457">
        <f t="shared" si="197"/>
        <v>0</v>
      </c>
      <c r="AX81" s="457">
        <f t="shared" si="197"/>
        <v>0</v>
      </c>
      <c r="AY81" s="511">
        <f t="shared" ca="1" si="197"/>
        <v>0</v>
      </c>
      <c r="AZ81" s="458">
        <f t="shared" ref="AZ81:BA81" si="204">+D81+H81+L81</f>
        <v>2345</v>
      </c>
      <c r="BA81" s="458">
        <f t="shared" si="204"/>
        <v>1670</v>
      </c>
      <c r="BB81" s="511">
        <f>+G81+K81+O81</f>
        <v>9.752642215542858</v>
      </c>
      <c r="BC81" s="458">
        <f>+P81+T81+X81</f>
        <v>2450</v>
      </c>
      <c r="BD81" s="458">
        <f ca="1">+Q81+U81+Y81</f>
        <v>1123</v>
      </c>
      <c r="BE81" s="458">
        <f ca="1">S81+W81+AA81</f>
        <v>5.5552196678142867</v>
      </c>
      <c r="BF81" s="458">
        <f>AB81+AF81+AJ81</f>
        <v>3336</v>
      </c>
      <c r="BG81" s="458">
        <f>AC81+AG81+AK81</f>
        <v>1107</v>
      </c>
      <c r="BH81" s="458">
        <f>AE81+AI81+AM81</f>
        <v>8.6456340857033247</v>
      </c>
      <c r="BI81" s="458">
        <f>+AN81+AR81+AV81</f>
        <v>3680</v>
      </c>
      <c r="BJ81" s="458">
        <f>+AO81+AS81+AW81</f>
        <v>1077</v>
      </c>
      <c r="BK81" s="458">
        <f ca="1">AQ81+AU81+AY81</f>
        <v>8.5470062150000015</v>
      </c>
      <c r="BL81" s="458">
        <f>AZ81+BC81+BF81+BI81</f>
        <v>11811</v>
      </c>
      <c r="BM81" s="458">
        <f t="shared" ref="BM81:BN81" ca="1" si="205">BA81+BD81+BG81+BJ81</f>
        <v>4977</v>
      </c>
      <c r="BN81" s="458">
        <f t="shared" ca="1" si="205"/>
        <v>32.500502184060473</v>
      </c>
      <c r="BO81" s="525">
        <f ca="1">IFERROR(BM81/BL81,0)</f>
        <v>0.42138684277368554</v>
      </c>
      <c r="BP81" s="472"/>
      <c r="BQ81" s="457">
        <f t="shared" ref="BQ81:BR81" si="206">BQ24+BQ54+BQ61+BQ65+BQ79</f>
        <v>4795</v>
      </c>
      <c r="BR81" s="457">
        <f t="shared" ca="1" si="206"/>
        <v>2793</v>
      </c>
      <c r="BS81" s="467">
        <f t="shared" ca="1" si="152"/>
        <v>0.58248175182481754</v>
      </c>
      <c r="BT81" s="530">
        <f t="shared" ref="BT81" ca="1" si="207">BT24+BT54+BT61+BT65+BT79</f>
        <v>15.307861883357141</v>
      </c>
      <c r="BU81" s="525">
        <f t="shared" ca="1" si="142"/>
        <v>0.23647447294894589</v>
      </c>
    </row>
    <row r="82" spans="1:73" ht="12.6" customHeight="1">
      <c r="BJ82" s="21"/>
      <c r="BK82" s="21"/>
      <c r="BL82" s="21"/>
      <c r="BM82" s="21"/>
      <c r="BN82" s="21"/>
      <c r="BQ82" s="201"/>
      <c r="BR82" s="201"/>
    </row>
    <row r="83" spans="1:73" ht="12.6" customHeight="1">
      <c r="A83" s="482" t="s">
        <v>241</v>
      </c>
      <c r="B83" s="457"/>
      <c r="C83" s="457"/>
      <c r="D83" s="457"/>
      <c r="E83" s="457"/>
      <c r="F83" s="457"/>
      <c r="G83" s="511">
        <f>SUM(G6:G14)+SUM(G16:G20)+G31+G33+G39+G40+G47+G41</f>
        <v>1.7052818677000001</v>
      </c>
      <c r="H83" s="457"/>
      <c r="I83" s="457"/>
      <c r="J83" s="457"/>
      <c r="K83" s="511">
        <f>SUM(K6:K14)+SUM(K16:K20)+K31+K33+K39+K40+K47+K41</f>
        <v>1.6366600842000001</v>
      </c>
      <c r="L83" s="457"/>
      <c r="M83" s="457"/>
      <c r="N83" s="457"/>
      <c r="O83" s="511">
        <f>SUM(O6:O14)+SUM(O16:O20)+O31+O33+O39+O40+O47+O41</f>
        <v>1.3292065551999999</v>
      </c>
      <c r="P83" s="457"/>
      <c r="Q83" s="457"/>
      <c r="R83" s="457"/>
      <c r="S83" s="511">
        <f>SUM(S6:S14)+SUM(S16:S20)+S31+S33+S39+S40+S47+S41</f>
        <v>0.19299940799999998</v>
      </c>
      <c r="T83" s="457"/>
      <c r="U83" s="457"/>
      <c r="V83" s="457"/>
      <c r="W83" s="511">
        <f>SUM(W6:W14)+SUM(W16:W20)+W31+W33+W39+W40+W47+W41</f>
        <v>0.89439897599999996</v>
      </c>
      <c r="X83" s="457"/>
      <c r="Y83" s="457"/>
      <c r="Z83" s="457"/>
      <c r="AA83" s="511">
        <f ca="1">SUM(AA6:AA14)+SUM(AA16:AA20)+AA31+AA33+AA39+AA40+AA47+AA41</f>
        <v>1.7584619130000001</v>
      </c>
      <c r="AB83" s="457"/>
      <c r="AC83" s="457"/>
      <c r="AD83" s="457"/>
      <c r="AE83" s="511">
        <f>SUM(AE6:AE14)+SUM(AE16:AE20)+AE31+AE33+AE39+AE40+AE47+AE41</f>
        <v>2.9795278650000006</v>
      </c>
      <c r="AF83" s="458"/>
      <c r="AG83" s="457"/>
      <c r="AH83" s="457"/>
      <c r="AI83" s="511">
        <f>SUM(AI6:AI14)+SUM(AI16:AI20)+AI31+AI33+AI39+AI40+AI47+AI41</f>
        <v>-0.60735497599999988</v>
      </c>
      <c r="AJ83" s="458"/>
      <c r="AK83" s="457"/>
      <c r="AL83" s="457"/>
      <c r="AM83" s="511">
        <f>SUM(AM6:AM14)+SUM(AM16:AM20)+AM31+AM33+AM39+AM40+AM47+AM41</f>
        <v>1.7877579140000002</v>
      </c>
      <c r="AN83" s="458"/>
      <c r="AO83" s="457"/>
      <c r="AP83" s="457"/>
      <c r="AQ83" s="511">
        <f>SUM(AQ6:AQ14)+SUM(AQ16:AQ20)+AQ31+AQ33+AQ39+AQ40+AQ47+AQ41</f>
        <v>2.1303180360000002</v>
      </c>
      <c r="AR83" s="458">
        <f t="shared" ref="AR83:AV85" si="208">AR26+AR56+AR63+AR67+AR81</f>
        <v>2410</v>
      </c>
      <c r="AS83" s="457"/>
      <c r="AT83" s="457"/>
      <c r="AU83" s="511">
        <f>SUM(AU6:AU14)+SUM(AU16:AU20)+AU31+AU33+AU39+AU40+AU47+AU41</f>
        <v>0.93795237200000003</v>
      </c>
      <c r="AV83" s="458">
        <f t="shared" si="208"/>
        <v>2560</v>
      </c>
      <c r="AW83" s="457"/>
      <c r="AX83" s="457"/>
      <c r="AY83" s="511">
        <f>SUM(AY6:AY14)+SUM(AY16:AY20)+AY31+AY33+AY39+AY40+AY47+AY41</f>
        <v>0</v>
      </c>
      <c r="AZ83" s="458">
        <f t="shared" ref="AZ83:BA85" si="209">+D83+H83+L83</f>
        <v>0</v>
      </c>
      <c r="BA83" s="458">
        <f t="shared" si="209"/>
        <v>0</v>
      </c>
      <c r="BB83" s="511">
        <f t="shared" ref="BB83:BB85" si="210">+G83+K83+O83</f>
        <v>4.6711485070999998</v>
      </c>
      <c r="BC83" s="458">
        <f t="shared" ref="BC83:BD85" si="211">+P83+T83+X83</f>
        <v>0</v>
      </c>
      <c r="BD83" s="458">
        <f t="shared" si="211"/>
        <v>0</v>
      </c>
      <c r="BE83" s="458">
        <f t="shared" ref="BE83:BE85" ca="1" si="212">S83+W83+AA83</f>
        <v>2.8458602969999998</v>
      </c>
      <c r="BF83" s="458">
        <f t="shared" ref="BF83:BG85" si="213">AB83+AF83+AJ83</f>
        <v>0</v>
      </c>
      <c r="BG83" s="458">
        <f t="shared" si="213"/>
        <v>0</v>
      </c>
      <c r="BH83" s="458">
        <f t="shared" ref="BH83:BH85" si="214">AE83+AI83+AM83</f>
        <v>4.1599308030000008</v>
      </c>
      <c r="BI83" s="458">
        <f t="shared" ref="BI83:BJ85" si="215">+AN83+AR83+AV83</f>
        <v>4970</v>
      </c>
      <c r="BJ83" s="458">
        <f t="shared" si="215"/>
        <v>0</v>
      </c>
      <c r="BK83" s="458">
        <f t="shared" ref="BK83:BK85" si="216">AQ83+AU83+AY83</f>
        <v>3.0682704080000001</v>
      </c>
      <c r="BL83" s="458">
        <f t="shared" ref="BL83:BN85" si="217">AZ83+BC83+BF83+BI83</f>
        <v>4970</v>
      </c>
      <c r="BM83" s="458">
        <f t="shared" si="217"/>
        <v>0</v>
      </c>
      <c r="BN83" s="458">
        <f t="shared" ca="1" si="217"/>
        <v>14.7452100151</v>
      </c>
      <c r="BO83" s="525">
        <f t="shared" ref="BO83:BO85" si="218">IFERROR(BM83/BL83,0)</f>
        <v>0</v>
      </c>
      <c r="BQ83" s="457"/>
      <c r="BR83" s="457"/>
      <c r="BS83" s="525"/>
      <c r="BT83" s="511">
        <f ca="1">SUM(BT6:BT14)+SUM(BT16:BT20)+BT31+BT33+BT39+BT40+BT47+BT41</f>
        <v>7.5170088040999996</v>
      </c>
      <c r="BU83" s="525"/>
    </row>
    <row r="84" spans="1:73" ht="12.6" customHeight="1">
      <c r="AF84" s="21"/>
      <c r="AJ84" s="21"/>
      <c r="AN84" s="21"/>
      <c r="BJ84" s="21"/>
      <c r="BK84" s="21"/>
      <c r="BL84" s="21"/>
      <c r="BM84" s="21"/>
      <c r="BN84" s="21"/>
      <c r="BQ84" s="201"/>
      <c r="BR84" s="201"/>
    </row>
    <row r="85" spans="1:73" ht="12.6" customHeight="1">
      <c r="A85" s="482" t="s">
        <v>242</v>
      </c>
      <c r="B85" s="457"/>
      <c r="C85" s="457"/>
      <c r="D85" s="457"/>
      <c r="E85" s="457"/>
      <c r="F85" s="457"/>
      <c r="G85" s="530">
        <f>G81-G83</f>
        <v>1.2918606876714285</v>
      </c>
      <c r="H85" s="457"/>
      <c r="I85" s="457"/>
      <c r="J85" s="457"/>
      <c r="K85" s="530">
        <f>K81-K83</f>
        <v>1.230175334371429</v>
      </c>
      <c r="L85" s="457"/>
      <c r="M85" s="457"/>
      <c r="N85" s="457"/>
      <c r="O85" s="530">
        <f>O81-O83</f>
        <v>2.5594576864000005</v>
      </c>
      <c r="P85" s="457"/>
      <c r="Q85" s="457"/>
      <c r="R85" s="457"/>
      <c r="S85" s="530">
        <f>S81-S83</f>
        <v>1.5204970512000002</v>
      </c>
      <c r="T85" s="457"/>
      <c r="U85" s="457"/>
      <c r="V85" s="457"/>
      <c r="W85" s="530">
        <f>W81-W83</f>
        <v>0.80253286590000017</v>
      </c>
      <c r="X85" s="457"/>
      <c r="Y85" s="457"/>
      <c r="Z85" s="457"/>
      <c r="AA85" s="530">
        <f ca="1">AA81-AA83</f>
        <v>0.38632945371428606</v>
      </c>
      <c r="AB85" s="457"/>
      <c r="AC85" s="457"/>
      <c r="AD85" s="457"/>
      <c r="AE85" s="530">
        <f>AE81-AE83</f>
        <v>0.40309538851377535</v>
      </c>
      <c r="AF85" s="458"/>
      <c r="AG85" s="457"/>
      <c r="AH85" s="457"/>
      <c r="AI85" s="530">
        <f>AI81-AI83</f>
        <v>3.6899115281895494</v>
      </c>
      <c r="AJ85" s="458"/>
      <c r="AK85" s="457"/>
      <c r="AL85" s="457"/>
      <c r="AM85" s="530">
        <f>AM81-AM83</f>
        <v>0.39269636600000002</v>
      </c>
      <c r="AN85" s="458"/>
      <c r="AO85" s="457"/>
      <c r="AP85" s="457"/>
      <c r="AQ85" s="530">
        <f>AQ81-AQ83</f>
        <v>4.4628910110000009</v>
      </c>
      <c r="AR85" s="458">
        <f t="shared" si="208"/>
        <v>2410</v>
      </c>
      <c r="AS85" s="457"/>
      <c r="AT85" s="457"/>
      <c r="AU85" s="530">
        <f>AU81-AU83</f>
        <v>1.0158447960000003</v>
      </c>
      <c r="AV85" s="458">
        <f t="shared" si="208"/>
        <v>2560</v>
      </c>
      <c r="AW85" s="457"/>
      <c r="AX85" s="457"/>
      <c r="AY85" s="530">
        <f ca="1">AY81-AY83</f>
        <v>0</v>
      </c>
      <c r="AZ85" s="458">
        <f t="shared" si="209"/>
        <v>0</v>
      </c>
      <c r="BA85" s="458">
        <f t="shared" si="209"/>
        <v>0</v>
      </c>
      <c r="BB85" s="511">
        <f t="shared" si="210"/>
        <v>5.0814937084428582</v>
      </c>
      <c r="BC85" s="458">
        <f t="shared" si="211"/>
        <v>0</v>
      </c>
      <c r="BD85" s="458">
        <f t="shared" si="211"/>
        <v>0</v>
      </c>
      <c r="BE85" s="458">
        <f t="shared" ca="1" si="212"/>
        <v>2.7093593708142865</v>
      </c>
      <c r="BF85" s="458">
        <f t="shared" si="213"/>
        <v>0</v>
      </c>
      <c r="BG85" s="458">
        <f t="shared" si="213"/>
        <v>0</v>
      </c>
      <c r="BH85" s="458">
        <f t="shared" si="214"/>
        <v>4.4857032827033247</v>
      </c>
      <c r="BI85" s="458">
        <f t="shared" si="215"/>
        <v>4970</v>
      </c>
      <c r="BJ85" s="458">
        <f t="shared" si="215"/>
        <v>0</v>
      </c>
      <c r="BK85" s="458">
        <f t="shared" ca="1" si="216"/>
        <v>5.4787358070000014</v>
      </c>
      <c r="BL85" s="458">
        <f t="shared" si="217"/>
        <v>4970</v>
      </c>
      <c r="BM85" s="458">
        <f t="shared" si="217"/>
        <v>0</v>
      </c>
      <c r="BN85" s="458">
        <f t="shared" ca="1" si="217"/>
        <v>17.755292168960473</v>
      </c>
      <c r="BO85" s="525">
        <f t="shared" si="218"/>
        <v>0</v>
      </c>
      <c r="BQ85" s="457"/>
      <c r="BR85" s="457"/>
      <c r="BS85" s="525"/>
      <c r="BT85" s="530">
        <f ca="1">BT81-BT83</f>
        <v>7.7908530792571415</v>
      </c>
      <c r="BU85" s="525"/>
    </row>
  </sheetData>
  <mergeCells count="19">
    <mergeCell ref="BL4:BO4"/>
    <mergeCell ref="X4:AA4"/>
    <mergeCell ref="AB4:AE4"/>
    <mergeCell ref="AZ4:BB4"/>
    <mergeCell ref="BC4:BE4"/>
    <mergeCell ref="BF4:BH4"/>
    <mergeCell ref="BQ4:BT4"/>
    <mergeCell ref="A4:A5"/>
    <mergeCell ref="D4:G4"/>
    <mergeCell ref="H4:K4"/>
    <mergeCell ref="P4:S4"/>
    <mergeCell ref="L4:O4"/>
    <mergeCell ref="T4:W4"/>
    <mergeCell ref="AV4:AY4"/>
    <mergeCell ref="AF4:AI4"/>
    <mergeCell ref="AJ4:AM4"/>
    <mergeCell ref="AN4:AQ4"/>
    <mergeCell ref="AR4:AU4"/>
    <mergeCell ref="BI4:BK4"/>
  </mergeCells>
  <phoneticPr fontId="7" type="noConversion"/>
  <pageMargins left="0.75" right="0.75" top="1" bottom="1" header="0.5" footer="0.5"/>
  <headerFooter alignWithMargins="0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85"/>
  <sheetViews>
    <sheetView workbookViewId="0">
      <pane xSplit="2" ySplit="5" topLeftCell="BE16" activePane="bottomRight" state="frozen"/>
      <selection activeCell="B27" sqref="B26:B27"/>
      <selection pane="topRight" activeCell="B27" sqref="B26:B27"/>
      <selection pane="bottomLeft" activeCell="B27" sqref="B26:B27"/>
      <selection pane="bottomRight" activeCell="BK24" sqref="BK24"/>
    </sheetView>
  </sheetViews>
  <sheetFormatPr defaultRowHeight="12.6" customHeight="1"/>
  <cols>
    <col min="1" max="1" width="20.42578125" customWidth="1"/>
    <col min="2" max="3" width="9.42578125" customWidth="1"/>
    <col min="4" max="7" width="8.42578125" customWidth="1"/>
    <col min="8" max="11" width="9.28515625" customWidth="1"/>
    <col min="12" max="15" width="8.7109375" customWidth="1"/>
    <col min="16" max="51" width="9.140625" customWidth="1"/>
    <col min="52" max="61" width="9.140625" style="21" customWidth="1"/>
    <col min="62" max="68" width="9.140625" customWidth="1"/>
    <col min="72" max="72" width="9.140625" customWidth="1"/>
  </cols>
  <sheetData>
    <row r="1" spans="1:73" s="21" customFormat="1" ht="12.6" customHeight="1">
      <c r="A1" s="28" t="s">
        <v>102</v>
      </c>
    </row>
    <row r="2" spans="1:73" ht="15.75" customHeight="1">
      <c r="A2" s="85" t="s">
        <v>138</v>
      </c>
      <c r="C2" s="53"/>
      <c r="H2" s="21"/>
      <c r="I2" s="21"/>
      <c r="J2" s="21"/>
      <c r="K2" s="21"/>
      <c r="L2" s="53"/>
      <c r="M2" s="53"/>
      <c r="N2" s="53"/>
      <c r="O2" s="53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</row>
    <row r="3" spans="1:73" ht="12.6" customHeight="1">
      <c r="A3" s="20"/>
      <c r="B3" s="53"/>
      <c r="C3" s="53"/>
      <c r="D3" s="53"/>
      <c r="E3" s="53"/>
      <c r="F3" s="53"/>
      <c r="G3" s="53"/>
      <c r="L3" s="53"/>
      <c r="M3" s="53"/>
      <c r="N3" s="53"/>
      <c r="O3" s="53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</row>
    <row r="4" spans="1:73" s="1" customFormat="1" ht="12.6" customHeight="1">
      <c r="A4" s="545" t="s">
        <v>10</v>
      </c>
      <c r="B4" s="490" t="s">
        <v>134</v>
      </c>
      <c r="C4" s="490"/>
      <c r="D4" s="544">
        <v>42461</v>
      </c>
      <c r="E4" s="544"/>
      <c r="F4" s="544"/>
      <c r="G4" s="544"/>
      <c r="H4" s="544">
        <f>D4+31</f>
        <v>42492</v>
      </c>
      <c r="I4" s="544"/>
      <c r="J4" s="544"/>
      <c r="K4" s="544"/>
      <c r="L4" s="544">
        <f>H4+31</f>
        <v>42523</v>
      </c>
      <c r="M4" s="544"/>
      <c r="N4" s="544"/>
      <c r="O4" s="544"/>
      <c r="P4" s="541">
        <f>L4+31</f>
        <v>42554</v>
      </c>
      <c r="Q4" s="542"/>
      <c r="R4" s="542"/>
      <c r="S4" s="543"/>
      <c r="T4" s="544">
        <f>P4+31</f>
        <v>42585</v>
      </c>
      <c r="U4" s="544"/>
      <c r="V4" s="544"/>
      <c r="W4" s="544"/>
      <c r="X4" s="544">
        <f>T4+31</f>
        <v>42616</v>
      </c>
      <c r="Y4" s="544"/>
      <c r="Z4" s="544"/>
      <c r="AA4" s="544"/>
      <c r="AB4" s="541">
        <f>X4+31</f>
        <v>42647</v>
      </c>
      <c r="AC4" s="542"/>
      <c r="AD4" s="542"/>
      <c r="AE4" s="543"/>
      <c r="AF4" s="541">
        <f>AB4+31</f>
        <v>42678</v>
      </c>
      <c r="AG4" s="542"/>
      <c r="AH4" s="542"/>
      <c r="AI4" s="543"/>
      <c r="AJ4" s="541">
        <f>AF4+31</f>
        <v>42709</v>
      </c>
      <c r="AK4" s="542"/>
      <c r="AL4" s="542"/>
      <c r="AM4" s="543"/>
      <c r="AN4" s="541">
        <f>AJ4+31</f>
        <v>42740</v>
      </c>
      <c r="AO4" s="542"/>
      <c r="AP4" s="542"/>
      <c r="AQ4" s="543"/>
      <c r="AR4" s="541">
        <f>AN4+31</f>
        <v>42771</v>
      </c>
      <c r="AS4" s="542"/>
      <c r="AT4" s="542"/>
      <c r="AU4" s="543"/>
      <c r="AV4" s="541">
        <f>AR4+31</f>
        <v>42802</v>
      </c>
      <c r="AW4" s="542"/>
      <c r="AX4" s="542"/>
      <c r="AY4" s="543"/>
      <c r="AZ4" s="541" t="s">
        <v>19</v>
      </c>
      <c r="BA4" s="542"/>
      <c r="BB4" s="543"/>
      <c r="BC4" s="541" t="s">
        <v>20</v>
      </c>
      <c r="BD4" s="542"/>
      <c r="BE4" s="543"/>
      <c r="BF4" s="541" t="s">
        <v>21</v>
      </c>
      <c r="BG4" s="542"/>
      <c r="BH4" s="543"/>
      <c r="BI4" s="544" t="s">
        <v>22</v>
      </c>
      <c r="BJ4" s="544"/>
      <c r="BK4" s="544"/>
      <c r="BL4" s="541" t="s">
        <v>246</v>
      </c>
      <c r="BM4" s="542"/>
      <c r="BN4" s="542"/>
      <c r="BO4" s="543"/>
      <c r="BP4" s="471"/>
      <c r="BQ4" s="541" t="s">
        <v>244</v>
      </c>
      <c r="BR4" s="542"/>
      <c r="BS4" s="542"/>
      <c r="BT4" s="543"/>
      <c r="BU4" s="524"/>
    </row>
    <row r="5" spans="1:73" s="1" customFormat="1" ht="36" customHeight="1">
      <c r="A5" s="545"/>
      <c r="B5" s="456" t="s">
        <v>68</v>
      </c>
      <c r="C5" s="456" t="s">
        <v>225</v>
      </c>
      <c r="D5" s="456" t="s">
        <v>229</v>
      </c>
      <c r="E5" s="456" t="s">
        <v>212</v>
      </c>
      <c r="F5" s="456" t="s">
        <v>213</v>
      </c>
      <c r="G5" s="456" t="s">
        <v>234</v>
      </c>
      <c r="H5" s="456" t="s">
        <v>229</v>
      </c>
      <c r="I5" s="456" t="s">
        <v>212</v>
      </c>
      <c r="J5" s="456" t="s">
        <v>213</v>
      </c>
      <c r="K5" s="456" t="s">
        <v>234</v>
      </c>
      <c r="L5" s="456" t="s">
        <v>229</v>
      </c>
      <c r="M5" s="456" t="s">
        <v>212</v>
      </c>
      <c r="N5" s="456" t="s">
        <v>213</v>
      </c>
      <c r="O5" s="456" t="s">
        <v>234</v>
      </c>
      <c r="P5" s="456" t="s">
        <v>229</v>
      </c>
      <c r="Q5" s="456" t="s">
        <v>212</v>
      </c>
      <c r="R5" s="456" t="s">
        <v>213</v>
      </c>
      <c r="S5" s="456" t="s">
        <v>234</v>
      </c>
      <c r="T5" s="456" t="s">
        <v>229</v>
      </c>
      <c r="U5" s="456" t="s">
        <v>212</v>
      </c>
      <c r="V5" s="456" t="s">
        <v>213</v>
      </c>
      <c r="W5" s="456" t="s">
        <v>234</v>
      </c>
      <c r="X5" s="456" t="s">
        <v>229</v>
      </c>
      <c r="Y5" s="456" t="s">
        <v>212</v>
      </c>
      <c r="Z5" s="456" t="s">
        <v>213</v>
      </c>
      <c r="AA5" s="456" t="s">
        <v>234</v>
      </c>
      <c r="AB5" s="456" t="s">
        <v>229</v>
      </c>
      <c r="AC5" s="456" t="s">
        <v>212</v>
      </c>
      <c r="AD5" s="456" t="s">
        <v>213</v>
      </c>
      <c r="AE5" s="456" t="s">
        <v>234</v>
      </c>
      <c r="AF5" s="456" t="s">
        <v>229</v>
      </c>
      <c r="AG5" s="456" t="s">
        <v>212</v>
      </c>
      <c r="AH5" s="456" t="s">
        <v>213</v>
      </c>
      <c r="AI5" s="456" t="s">
        <v>234</v>
      </c>
      <c r="AJ5" s="456" t="s">
        <v>229</v>
      </c>
      <c r="AK5" s="456" t="s">
        <v>212</v>
      </c>
      <c r="AL5" s="456" t="s">
        <v>213</v>
      </c>
      <c r="AM5" s="456" t="s">
        <v>234</v>
      </c>
      <c r="AN5" s="456" t="s">
        <v>229</v>
      </c>
      <c r="AO5" s="456" t="s">
        <v>212</v>
      </c>
      <c r="AP5" s="456" t="s">
        <v>213</v>
      </c>
      <c r="AQ5" s="456" t="s">
        <v>234</v>
      </c>
      <c r="AR5" s="456" t="s">
        <v>229</v>
      </c>
      <c r="AS5" s="456" t="s">
        <v>212</v>
      </c>
      <c r="AT5" s="456" t="s">
        <v>213</v>
      </c>
      <c r="AU5" s="456" t="s">
        <v>234</v>
      </c>
      <c r="AV5" s="456" t="s">
        <v>229</v>
      </c>
      <c r="AW5" s="456" t="s">
        <v>212</v>
      </c>
      <c r="AX5" s="456" t="s">
        <v>213</v>
      </c>
      <c r="AY5" s="456" t="s">
        <v>234</v>
      </c>
      <c r="AZ5" s="456" t="s">
        <v>229</v>
      </c>
      <c r="BA5" s="456" t="s">
        <v>228</v>
      </c>
      <c r="BB5" s="456" t="s">
        <v>234</v>
      </c>
      <c r="BC5" s="456" t="s">
        <v>229</v>
      </c>
      <c r="BD5" s="456" t="s">
        <v>228</v>
      </c>
      <c r="BE5" s="456" t="s">
        <v>234</v>
      </c>
      <c r="BF5" s="456" t="s">
        <v>229</v>
      </c>
      <c r="BG5" s="456" t="s">
        <v>228</v>
      </c>
      <c r="BH5" s="456" t="s">
        <v>234</v>
      </c>
      <c r="BI5" s="456" t="s">
        <v>229</v>
      </c>
      <c r="BJ5" s="456" t="s">
        <v>228</v>
      </c>
      <c r="BK5" s="456" t="s">
        <v>234</v>
      </c>
      <c r="BL5" s="456" t="s">
        <v>229</v>
      </c>
      <c r="BM5" s="456" t="s">
        <v>228</v>
      </c>
      <c r="BN5" s="456" t="s">
        <v>234</v>
      </c>
      <c r="BO5" s="456" t="s">
        <v>232</v>
      </c>
      <c r="BP5" s="471"/>
      <c r="BQ5" s="456" t="s">
        <v>229</v>
      </c>
      <c r="BR5" s="456" t="s">
        <v>212</v>
      </c>
      <c r="BS5" s="456" t="s">
        <v>232</v>
      </c>
      <c r="BT5" s="456" t="s">
        <v>234</v>
      </c>
      <c r="BU5" s="456" t="s">
        <v>240</v>
      </c>
    </row>
    <row r="6" spans="1:73" ht="12.6" customHeight="1">
      <c r="A6" s="254" t="s">
        <v>43</v>
      </c>
      <c r="B6" s="129">
        <f t="shared" ref="B6:B23" si="0">D6+H6+L6+P6+T6+X6+AB6+AF6+AJ6+AN6+AR6+AV6</f>
        <v>8400</v>
      </c>
      <c r="C6" s="257"/>
      <c r="D6" s="129">
        <v>400</v>
      </c>
      <c r="E6" s="129">
        <v>411</v>
      </c>
      <c r="F6" s="129">
        <v>1200</v>
      </c>
      <c r="G6" s="509">
        <f>E6*(F6-1070)*66.47/10^7</f>
        <v>0.35514920999999999</v>
      </c>
      <c r="H6" s="129">
        <v>400</v>
      </c>
      <c r="I6" s="129">
        <v>751</v>
      </c>
      <c r="J6" s="129">
        <v>1698.5</v>
      </c>
      <c r="K6" s="509">
        <f>717*(J6-1075)*66.91/10^7</f>
        <v>2.9912082044999999</v>
      </c>
      <c r="L6" s="129">
        <v>440</v>
      </c>
      <c r="M6" s="129">
        <v>207</v>
      </c>
      <c r="N6" s="129">
        <v>1984.2</v>
      </c>
      <c r="O6" s="509">
        <f>108*(N6-1089)*67.28/10^7</f>
        <v>0.65047380480000005</v>
      </c>
      <c r="P6" s="129">
        <v>640</v>
      </c>
      <c r="Q6" s="129">
        <v>19</v>
      </c>
      <c r="R6" s="129">
        <v>1976</v>
      </c>
      <c r="S6" s="509">
        <f>Q6*(R6-1075)*67.28/10^7</f>
        <v>0.115176632</v>
      </c>
      <c r="T6" s="129">
        <v>840</v>
      </c>
      <c r="U6" s="129">
        <v>335</v>
      </c>
      <c r="V6" s="129">
        <v>1878</v>
      </c>
      <c r="W6" s="509">
        <f>328*(V6-1001)*66.93/10^7</f>
        <v>1.9252816080000001</v>
      </c>
      <c r="X6" s="129">
        <v>840</v>
      </c>
      <c r="Y6" s="129">
        <v>514</v>
      </c>
      <c r="Z6" s="129">
        <v>1839</v>
      </c>
      <c r="AA6" s="509">
        <f>526*(Z6-1248)*67.01/10^7</f>
        <v>2.0831130660000001</v>
      </c>
      <c r="AB6" s="129">
        <v>840</v>
      </c>
      <c r="AC6" s="129">
        <v>527</v>
      </c>
      <c r="AD6" s="129">
        <v>1814</v>
      </c>
      <c r="AE6" s="509">
        <f>526*(AD6-1349)*66.73/10^7</f>
        <v>1.6321490700000001</v>
      </c>
      <c r="AF6" s="129">
        <v>940</v>
      </c>
      <c r="AG6" s="129">
        <v>226</v>
      </c>
      <c r="AH6" s="129">
        <v>2099</v>
      </c>
      <c r="AI6" s="509">
        <f>(AG6-3)*(AH6-1505)*67.58/10^7</f>
        <v>0.89517819599999993</v>
      </c>
      <c r="AJ6" s="129">
        <v>940</v>
      </c>
      <c r="AK6" s="129">
        <v>770</v>
      </c>
      <c r="AL6" s="129">
        <v>2022</v>
      </c>
      <c r="AM6" s="509">
        <f>(AK6-11)*(AL6-1573)*67.01/10^7</f>
        <v>2.2836404909999999</v>
      </c>
      <c r="AN6" s="129">
        <v>840</v>
      </c>
      <c r="AO6" s="129">
        <v>413</v>
      </c>
      <c r="AP6" s="129">
        <v>1942</v>
      </c>
      <c r="AQ6" s="509">
        <f>(AO6-6)*(AP6-1782)*68.01/10^7</f>
        <v>0.44288112000000002</v>
      </c>
      <c r="AR6" s="129">
        <v>840</v>
      </c>
      <c r="AS6" s="129">
        <v>414</v>
      </c>
      <c r="AT6" s="129">
        <v>2211</v>
      </c>
      <c r="AU6" s="509">
        <f>(AS6-5)*(AT6-2045)*67.01/10^7</f>
        <v>0.45495769400000002</v>
      </c>
      <c r="AV6" s="129">
        <v>440</v>
      </c>
      <c r="AW6" s="129"/>
      <c r="AX6" s="129"/>
      <c r="AY6" s="509">
        <f>AW6*(AX6-AA6)*67.01/10^7</f>
        <v>0</v>
      </c>
      <c r="AZ6" s="23">
        <f t="shared" ref="AZ6:BA23" si="1">+D6+H6+L6</f>
        <v>1240</v>
      </c>
      <c r="BA6" s="23">
        <f t="shared" si="1"/>
        <v>1369</v>
      </c>
      <c r="BB6" s="509">
        <f>+G6+K6+O6</f>
        <v>3.9968312192999997</v>
      </c>
      <c r="BC6" s="23">
        <f>+P6+T6+X6</f>
        <v>2320</v>
      </c>
      <c r="BD6" s="23">
        <f>+Q6+U6+Y6</f>
        <v>868</v>
      </c>
      <c r="BE6" s="257">
        <f>S6+W6+AA6</f>
        <v>4.1235713060000005</v>
      </c>
      <c r="BF6" s="23">
        <f>AB6+AF6+AJ6</f>
        <v>2720</v>
      </c>
      <c r="BG6" s="23">
        <f>AC6+AG6+AK6</f>
        <v>1523</v>
      </c>
      <c r="BH6" s="257">
        <f>AE6+AI6+AM6</f>
        <v>4.8109677570000002</v>
      </c>
      <c r="BI6" s="23">
        <f>+AN6+AR6+AV6</f>
        <v>2120</v>
      </c>
      <c r="BJ6" s="23">
        <f>+AO6+AS6+AW6</f>
        <v>827</v>
      </c>
      <c r="BK6" s="257">
        <f>AQ6+AU6+AY6</f>
        <v>0.89783881399999999</v>
      </c>
      <c r="BL6" s="23">
        <f>AZ6+BC6+BF6+BI6</f>
        <v>8400</v>
      </c>
      <c r="BM6" s="23">
        <f t="shared" ref="BM6:BN21" si="2">BA6+BD6+BG6+BJ6</f>
        <v>4587</v>
      </c>
      <c r="BN6" s="23">
        <f t="shared" si="2"/>
        <v>13.829209096300001</v>
      </c>
      <c r="BO6" s="466">
        <f>IFERROR(BM6/BL6,0)</f>
        <v>0.54607142857142854</v>
      </c>
      <c r="BP6" s="472"/>
      <c r="BQ6" s="23">
        <f t="shared" ref="BQ6:BQ23" si="3">D6+H6+L6+P6+T6+X6</f>
        <v>3560</v>
      </c>
      <c r="BR6" s="23">
        <f t="shared" ref="BR6:BR23" si="4">E6+I6+M6+Q6+U6+Y6</f>
        <v>2237</v>
      </c>
      <c r="BS6" s="466">
        <f t="shared" ref="BS6" si="5">IFERROR(BR6/BQ6,0)</f>
        <v>0.62837078651685396</v>
      </c>
      <c r="BT6" s="509">
        <f t="shared" ref="BT6:BT23" si="6">G6+K6+O6+S6+W6+AA6</f>
        <v>8.1204025253000012</v>
      </c>
      <c r="BU6" s="466">
        <f t="shared" ref="BU6:BU37" si="7">IFERROR(BR6/B6,0)</f>
        <v>0.26630952380952383</v>
      </c>
    </row>
    <row r="7" spans="1:73" ht="12.6" customHeight="1">
      <c r="A7" s="254" t="s">
        <v>129</v>
      </c>
      <c r="B7" s="129">
        <f t="shared" si="0"/>
        <v>0</v>
      </c>
      <c r="C7" s="257"/>
      <c r="D7" s="129"/>
      <c r="E7" s="129"/>
      <c r="F7" s="129"/>
      <c r="G7" s="509">
        <f t="shared" ref="G7:G23" si="8">E7*(F7-C7)*66.47/10^7</f>
        <v>0</v>
      </c>
      <c r="H7" s="129"/>
      <c r="I7" s="129"/>
      <c r="J7" s="129"/>
      <c r="K7" s="509">
        <f t="shared" ref="K7:K23" si="9">I7*(J7-C7)*66.91/10^7</f>
        <v>0</v>
      </c>
      <c r="L7" s="129"/>
      <c r="M7" s="129"/>
      <c r="N7" s="129"/>
      <c r="O7" s="509">
        <f t="shared" ref="O7:O23" si="10">M7*(N7-C7)*67.28/10^7</f>
        <v>0</v>
      </c>
      <c r="P7" s="129"/>
      <c r="Q7" s="129"/>
      <c r="R7" s="129"/>
      <c r="S7" s="509">
        <f>Q7*(R7-C7)*67.28/10^7</f>
        <v>0</v>
      </c>
      <c r="T7" s="129"/>
      <c r="U7" s="129"/>
      <c r="V7" s="129">
        <f t="shared" ref="V7:V21" si="11">(T7*U7)/10^6</f>
        <v>0</v>
      </c>
      <c r="W7" s="509">
        <f t="shared" ref="W7:W22" si="12">U7*(V7-C7)*66.93/10^7</f>
        <v>0</v>
      </c>
      <c r="X7" s="129"/>
      <c r="Y7" s="129"/>
      <c r="Z7" s="129"/>
      <c r="AA7" s="509">
        <f>Y7*(Z7-C7)*67.01/10^7</f>
        <v>0</v>
      </c>
      <c r="AB7" s="129"/>
      <c r="AC7" s="129"/>
      <c r="AD7" s="129"/>
      <c r="AE7" s="509">
        <f>AC7*(AD7-G7)*66.73/10^7</f>
        <v>0</v>
      </c>
      <c r="AF7" s="129"/>
      <c r="AG7" s="129"/>
      <c r="AH7" s="129"/>
      <c r="AI7" s="509">
        <f>AG7*(AH7-K7)*67.58/10^7</f>
        <v>0</v>
      </c>
      <c r="AJ7" s="129"/>
      <c r="AK7" s="129"/>
      <c r="AL7" s="129"/>
      <c r="AM7" s="509">
        <f>AK7*(AL7-O7)*67.01/10^7</f>
        <v>0</v>
      </c>
      <c r="AN7" s="129"/>
      <c r="AO7" s="129"/>
      <c r="AP7" s="129"/>
      <c r="AQ7" s="509">
        <f>AO7*(AP7-S7)*68.01/10^7</f>
        <v>0</v>
      </c>
      <c r="AR7" s="129"/>
      <c r="AS7" s="129"/>
      <c r="AT7" s="129"/>
      <c r="AU7" s="509">
        <f>AS7*(AT7-W7)*67.01/10^7</f>
        <v>0</v>
      </c>
      <c r="AV7" s="129"/>
      <c r="AW7" s="129"/>
      <c r="AX7" s="129"/>
      <c r="AY7" s="509">
        <f>AW7*(AX7-AA7)*67.01/10^7</f>
        <v>0</v>
      </c>
      <c r="AZ7" s="23">
        <f t="shared" si="1"/>
        <v>0</v>
      </c>
      <c r="BA7" s="23">
        <f t="shared" si="1"/>
        <v>0</v>
      </c>
      <c r="BB7" s="509">
        <f t="shared" ref="BB7:BB23" si="13">+G7+K7+O7</f>
        <v>0</v>
      </c>
      <c r="BC7" s="23">
        <f t="shared" ref="BC7:BD23" si="14">+P7+T7+X7</f>
        <v>0</v>
      </c>
      <c r="BD7" s="257">
        <f t="shared" si="14"/>
        <v>0</v>
      </c>
      <c r="BE7" s="257">
        <f t="shared" ref="BE7:BE23" si="15">S7+W7+AA7</f>
        <v>0</v>
      </c>
      <c r="BF7" s="257">
        <f t="shared" ref="BF7:BG23" si="16">AB7+AF7+AJ7</f>
        <v>0</v>
      </c>
      <c r="BG7" s="23">
        <f t="shared" si="16"/>
        <v>0</v>
      </c>
      <c r="BH7" s="257">
        <f t="shared" ref="BH7:BH23" si="17">AE7+AI7+AM7</f>
        <v>0</v>
      </c>
      <c r="BI7" s="23">
        <f t="shared" ref="BI7:BJ23" si="18">+AN7+AR7+AV7</f>
        <v>0</v>
      </c>
      <c r="BJ7" s="23">
        <f t="shared" si="18"/>
        <v>0</v>
      </c>
      <c r="BK7" s="257">
        <f t="shared" ref="BK7:BK23" si="19">AQ7+AU7+AY7</f>
        <v>0</v>
      </c>
      <c r="BL7" s="23">
        <f t="shared" ref="BL7:BN23" si="20">AZ7+BC7+BF7+BI7</f>
        <v>0</v>
      </c>
      <c r="BM7" s="23">
        <f t="shared" si="2"/>
        <v>0</v>
      </c>
      <c r="BN7" s="257">
        <f t="shared" si="2"/>
        <v>0</v>
      </c>
      <c r="BO7" s="466">
        <f t="shared" ref="BO7:BO23" si="21">IFERROR(BM7/BL7,0)</f>
        <v>0</v>
      </c>
      <c r="BP7" s="472"/>
      <c r="BQ7" s="23">
        <f t="shared" si="3"/>
        <v>0</v>
      </c>
      <c r="BR7" s="23">
        <f t="shared" si="4"/>
        <v>0</v>
      </c>
      <c r="BS7" s="466">
        <f t="shared" ref="BS7:BS23" si="22">IFERROR(BR7/BQ7,0)</f>
        <v>0</v>
      </c>
      <c r="BT7" s="509">
        <f t="shared" si="6"/>
        <v>0</v>
      </c>
      <c r="BU7" s="466">
        <f t="shared" si="7"/>
        <v>0</v>
      </c>
    </row>
    <row r="8" spans="1:73" ht="12.6" customHeight="1">
      <c r="A8" s="254" t="s">
        <v>44</v>
      </c>
      <c r="B8" s="129">
        <f t="shared" si="0"/>
        <v>0</v>
      </c>
      <c r="C8" s="257"/>
      <c r="D8" s="129">
        <v>0</v>
      </c>
      <c r="E8" s="129"/>
      <c r="F8" s="129"/>
      <c r="G8" s="509">
        <f t="shared" si="8"/>
        <v>0</v>
      </c>
      <c r="H8" s="129"/>
      <c r="I8" s="129"/>
      <c r="J8" s="129"/>
      <c r="K8" s="509">
        <f t="shared" si="9"/>
        <v>0</v>
      </c>
      <c r="L8" s="129"/>
      <c r="M8" s="129"/>
      <c r="N8" s="129"/>
      <c r="O8" s="509">
        <f t="shared" si="10"/>
        <v>0</v>
      </c>
      <c r="P8" s="129"/>
      <c r="Q8" s="129"/>
      <c r="R8" s="129"/>
      <c r="S8" s="509">
        <f t="shared" ref="S8:S9" si="23">Q8*(R8-C8)*67.28/10^7</f>
        <v>0</v>
      </c>
      <c r="T8" s="129"/>
      <c r="U8" s="129"/>
      <c r="V8" s="129">
        <f t="shared" si="11"/>
        <v>0</v>
      </c>
      <c r="W8" s="509">
        <f t="shared" si="12"/>
        <v>0</v>
      </c>
      <c r="X8" s="129"/>
      <c r="Y8" s="129">
        <v>19</v>
      </c>
      <c r="Z8" s="129">
        <v>1805</v>
      </c>
      <c r="AA8" s="509">
        <f>Y8*(Z8-1248)*67.01/10^7</f>
        <v>7.0916683000000008E-2</v>
      </c>
      <c r="AB8" s="129"/>
      <c r="AC8" s="129"/>
      <c r="AD8" s="129"/>
      <c r="AE8" s="509">
        <f>AC8*(AD8-1248)*66.73/10^7</f>
        <v>0</v>
      </c>
      <c r="AF8" s="129"/>
      <c r="AG8" s="129"/>
      <c r="AH8" s="129"/>
      <c r="AI8" s="509">
        <f>AG8*(AH8-1248)*67.58/10^7</f>
        <v>0</v>
      </c>
      <c r="AJ8" s="129"/>
      <c r="AK8" s="129"/>
      <c r="AL8" s="129"/>
      <c r="AM8" s="509">
        <f>AK8*(AL8-1248)*67.01/10^7</f>
        <v>0</v>
      </c>
      <c r="AN8" s="129"/>
      <c r="AO8" s="129">
        <v>19</v>
      </c>
      <c r="AP8" s="129">
        <v>2535</v>
      </c>
      <c r="AQ8" s="509">
        <f>AO8*(AP8-1782)*68.01/10^7</f>
        <v>9.7301907000000007E-2</v>
      </c>
      <c r="AR8" s="129"/>
      <c r="AS8" s="129"/>
      <c r="AT8" s="129"/>
      <c r="AU8" s="509">
        <f>AS8*(AT8-1248)*67.01/10^7</f>
        <v>0</v>
      </c>
      <c r="AV8" s="129"/>
      <c r="AW8" s="129"/>
      <c r="AX8" s="129"/>
      <c r="AY8" s="509">
        <f>AW8*(AX8-1248)*67.01/10^7</f>
        <v>0</v>
      </c>
      <c r="AZ8" s="23">
        <f t="shared" si="1"/>
        <v>0</v>
      </c>
      <c r="BA8" s="23">
        <f t="shared" si="1"/>
        <v>0</v>
      </c>
      <c r="BB8" s="509">
        <f t="shared" si="13"/>
        <v>0</v>
      </c>
      <c r="BC8" s="23">
        <f t="shared" si="14"/>
        <v>0</v>
      </c>
      <c r="BD8" s="257">
        <f t="shared" si="14"/>
        <v>19</v>
      </c>
      <c r="BE8" s="257">
        <f t="shared" si="15"/>
        <v>7.0916683000000008E-2</v>
      </c>
      <c r="BF8" s="257">
        <f t="shared" si="16"/>
        <v>0</v>
      </c>
      <c r="BG8" s="23">
        <f t="shared" si="16"/>
        <v>0</v>
      </c>
      <c r="BH8" s="257">
        <f t="shared" si="17"/>
        <v>0</v>
      </c>
      <c r="BI8" s="23">
        <f t="shared" si="18"/>
        <v>0</v>
      </c>
      <c r="BJ8" s="23">
        <f t="shared" si="18"/>
        <v>19</v>
      </c>
      <c r="BK8" s="257">
        <f t="shared" si="19"/>
        <v>9.7301907000000007E-2</v>
      </c>
      <c r="BL8" s="23">
        <f t="shared" si="20"/>
        <v>0</v>
      </c>
      <c r="BM8" s="23">
        <f t="shared" si="2"/>
        <v>38</v>
      </c>
      <c r="BN8" s="257">
        <f t="shared" si="2"/>
        <v>0.16821859</v>
      </c>
      <c r="BO8" s="466">
        <f t="shared" si="21"/>
        <v>0</v>
      </c>
      <c r="BP8" s="472"/>
      <c r="BQ8" s="23">
        <f t="shared" si="3"/>
        <v>0</v>
      </c>
      <c r="BR8" s="23">
        <f t="shared" si="4"/>
        <v>19</v>
      </c>
      <c r="BS8" s="466">
        <f t="shared" si="22"/>
        <v>0</v>
      </c>
      <c r="BT8" s="509">
        <f t="shared" si="6"/>
        <v>7.0916683000000008E-2</v>
      </c>
      <c r="BU8" s="466">
        <f t="shared" si="7"/>
        <v>0</v>
      </c>
    </row>
    <row r="9" spans="1:73" ht="12.6" customHeight="1">
      <c r="A9" s="254" t="s">
        <v>45</v>
      </c>
      <c r="B9" s="129">
        <f t="shared" si="0"/>
        <v>0</v>
      </c>
      <c r="C9" s="257"/>
      <c r="D9" s="129">
        <v>0</v>
      </c>
      <c r="E9" s="129"/>
      <c r="F9" s="129"/>
      <c r="G9" s="509">
        <f t="shared" si="8"/>
        <v>0</v>
      </c>
      <c r="H9" s="129"/>
      <c r="I9" s="129"/>
      <c r="J9" s="129"/>
      <c r="K9" s="509">
        <f t="shared" si="9"/>
        <v>0</v>
      </c>
      <c r="L9" s="129"/>
      <c r="M9" s="129"/>
      <c r="N9" s="129"/>
      <c r="O9" s="509">
        <f t="shared" si="10"/>
        <v>0</v>
      </c>
      <c r="P9" s="129"/>
      <c r="Q9" s="129"/>
      <c r="R9" s="129"/>
      <c r="S9" s="509">
        <f t="shared" si="23"/>
        <v>0</v>
      </c>
      <c r="T9" s="129"/>
      <c r="U9" s="129"/>
      <c r="V9" s="129">
        <f t="shared" si="11"/>
        <v>0</v>
      </c>
      <c r="W9" s="509">
        <f t="shared" si="12"/>
        <v>0</v>
      </c>
      <c r="X9" s="129"/>
      <c r="Y9" s="129"/>
      <c r="Z9" s="129"/>
      <c r="AA9" s="509">
        <f>Y9*(Z9-C9)*67.01/10^7</f>
        <v>0</v>
      </c>
      <c r="AB9" s="129"/>
      <c r="AC9" s="129"/>
      <c r="AD9" s="129"/>
      <c r="AE9" s="509">
        <f>AC9*(AD9-G9)*66.73/10^7</f>
        <v>0</v>
      </c>
      <c r="AF9" s="129"/>
      <c r="AG9" s="129"/>
      <c r="AH9" s="129"/>
      <c r="AI9" s="509">
        <f>AG9*(AH9-K9)*67.58/10^7</f>
        <v>0</v>
      </c>
      <c r="AJ9" s="129"/>
      <c r="AK9" s="129"/>
      <c r="AL9" s="129"/>
      <c r="AM9" s="509">
        <f>AK9*(AL9-O9)*67.01/10^7</f>
        <v>0</v>
      </c>
      <c r="AN9" s="129"/>
      <c r="AO9" s="129"/>
      <c r="AP9" s="129"/>
      <c r="AQ9" s="509">
        <f t="shared" ref="AQ9:AQ23" si="24">AO9*(AP9-S9)*68.01/10^7</f>
        <v>0</v>
      </c>
      <c r="AR9" s="129"/>
      <c r="AS9" s="129"/>
      <c r="AT9" s="129"/>
      <c r="AU9" s="509">
        <f>AS9*(AT9-W9)*67.01/10^7</f>
        <v>0</v>
      </c>
      <c r="AV9" s="129"/>
      <c r="AW9" s="129"/>
      <c r="AX9" s="129"/>
      <c r="AY9" s="509">
        <f>AW9*(AX9-AA9)*67.01/10^7</f>
        <v>0</v>
      </c>
      <c r="AZ9" s="23">
        <f t="shared" si="1"/>
        <v>0</v>
      </c>
      <c r="BA9" s="23">
        <f t="shared" si="1"/>
        <v>0</v>
      </c>
      <c r="BB9" s="509">
        <f t="shared" si="13"/>
        <v>0</v>
      </c>
      <c r="BC9" s="23">
        <f t="shared" si="14"/>
        <v>0</v>
      </c>
      <c r="BD9" s="257">
        <f t="shared" si="14"/>
        <v>0</v>
      </c>
      <c r="BE9" s="257">
        <f t="shared" si="15"/>
        <v>0</v>
      </c>
      <c r="BF9" s="257">
        <f t="shared" si="16"/>
        <v>0</v>
      </c>
      <c r="BG9" s="23">
        <f t="shared" si="16"/>
        <v>0</v>
      </c>
      <c r="BH9" s="257">
        <f t="shared" si="17"/>
        <v>0</v>
      </c>
      <c r="BI9" s="23">
        <f t="shared" si="18"/>
        <v>0</v>
      </c>
      <c r="BJ9" s="23">
        <f t="shared" si="18"/>
        <v>0</v>
      </c>
      <c r="BK9" s="257">
        <f t="shared" si="19"/>
        <v>0</v>
      </c>
      <c r="BL9" s="23">
        <f t="shared" si="20"/>
        <v>0</v>
      </c>
      <c r="BM9" s="23">
        <f t="shared" si="2"/>
        <v>0</v>
      </c>
      <c r="BN9" s="257">
        <f t="shared" si="2"/>
        <v>0</v>
      </c>
      <c r="BO9" s="466">
        <f t="shared" si="21"/>
        <v>0</v>
      </c>
      <c r="BP9" s="472"/>
      <c r="BQ9" s="23">
        <f t="shared" si="3"/>
        <v>0</v>
      </c>
      <c r="BR9" s="23">
        <f t="shared" si="4"/>
        <v>0</v>
      </c>
      <c r="BS9" s="466">
        <f t="shared" si="22"/>
        <v>0</v>
      </c>
      <c r="BT9" s="509">
        <f t="shared" si="6"/>
        <v>0</v>
      </c>
      <c r="BU9" s="466">
        <f t="shared" si="7"/>
        <v>0</v>
      </c>
    </row>
    <row r="10" spans="1:73" ht="12.6" customHeight="1">
      <c r="A10" s="254" t="s">
        <v>46</v>
      </c>
      <c r="B10" s="129">
        <f t="shared" si="0"/>
        <v>4800</v>
      </c>
      <c r="C10" s="257"/>
      <c r="D10" s="129">
        <v>32</v>
      </c>
      <c r="E10" s="129">
        <v>61</v>
      </c>
      <c r="F10" s="129">
        <v>1335</v>
      </c>
      <c r="G10" s="509">
        <f>E10*(F10-493)*66.47/10^7</f>
        <v>0.34140321400000001</v>
      </c>
      <c r="H10" s="129">
        <v>332</v>
      </c>
      <c r="I10" s="129">
        <v>50</v>
      </c>
      <c r="J10" s="129">
        <v>1327</v>
      </c>
      <c r="K10" s="509">
        <f>I10*(J10-898)*66.91/10^7</f>
        <v>0.14352195000000001</v>
      </c>
      <c r="L10" s="129">
        <v>388</v>
      </c>
      <c r="M10" s="129">
        <v>86</v>
      </c>
      <c r="N10" s="129">
        <v>1288.0999999999999</v>
      </c>
      <c r="O10" s="509">
        <f>86*(N10-876)*67.28/10^7</f>
        <v>0.23844435679999995</v>
      </c>
      <c r="P10" s="129">
        <v>508</v>
      </c>
      <c r="Q10" s="129">
        <v>247</v>
      </c>
      <c r="R10" s="129">
        <v>1299</v>
      </c>
      <c r="S10" s="509">
        <f>247*(R10-880)*67.28/10^7</f>
        <v>0.696300904</v>
      </c>
      <c r="T10" s="129">
        <v>484</v>
      </c>
      <c r="U10" s="129">
        <v>19</v>
      </c>
      <c r="V10" s="129">
        <v>1366</v>
      </c>
      <c r="W10" s="509">
        <f>U10*(V10-904)*66.93/10^7</f>
        <v>5.8751154000000007E-2</v>
      </c>
      <c r="X10" s="129">
        <v>560</v>
      </c>
      <c r="Y10" s="129">
        <f>207-Y23</f>
        <v>69</v>
      </c>
      <c r="Z10" s="129">
        <v>1322</v>
      </c>
      <c r="AA10" s="509">
        <f>Y10*(Z10-998)*67.01/10^7</f>
        <v>0.14980755600000001</v>
      </c>
      <c r="AB10" s="129">
        <v>460</v>
      </c>
      <c r="AC10" s="129">
        <v>456</v>
      </c>
      <c r="AD10" s="129">
        <v>1335</v>
      </c>
      <c r="AE10" s="509">
        <f>AC10*(AD10-765)*66.73/10^7</f>
        <v>1.7344461600000001</v>
      </c>
      <c r="AF10" s="129">
        <v>428</v>
      </c>
      <c r="AG10" s="129">
        <v>195</v>
      </c>
      <c r="AH10" s="129">
        <v>1327</v>
      </c>
      <c r="AI10" s="509">
        <f>AG10*(AH10-932)*67.58/10^7</f>
        <v>0.52053495000000005</v>
      </c>
      <c r="AJ10" s="129">
        <v>464</v>
      </c>
      <c r="AK10" s="129">
        <v>359</v>
      </c>
      <c r="AL10" s="129">
        <v>1366</v>
      </c>
      <c r="AM10" s="509">
        <f>AK10*(AL10-973)*67.01/10^7</f>
        <v>0.94542398700000008</v>
      </c>
      <c r="AN10" s="129">
        <v>380</v>
      </c>
      <c r="AO10" s="129">
        <v>282</v>
      </c>
      <c r="AP10" s="129">
        <v>1325</v>
      </c>
      <c r="AQ10" s="509">
        <f>AO10*(AP10-1021)*68.01/10^7</f>
        <v>0.58303612800000004</v>
      </c>
      <c r="AR10" s="129">
        <v>432</v>
      </c>
      <c r="AS10" s="129">
        <v>449</v>
      </c>
      <c r="AT10" s="129">
        <v>1326</v>
      </c>
      <c r="AU10" s="509">
        <f>AS10*(AT10-1106)*67.01/10^7</f>
        <v>0.6619247800000001</v>
      </c>
      <c r="AV10" s="129">
        <v>332</v>
      </c>
      <c r="AW10" s="129"/>
      <c r="AX10" s="129"/>
      <c r="AY10" s="509">
        <f>AW10*(AX10-998)*67.01/10^7</f>
        <v>0</v>
      </c>
      <c r="AZ10" s="23">
        <f t="shared" si="1"/>
        <v>752</v>
      </c>
      <c r="BA10" s="23">
        <f t="shared" si="1"/>
        <v>197</v>
      </c>
      <c r="BB10" s="509">
        <f t="shared" si="13"/>
        <v>0.72336952079999994</v>
      </c>
      <c r="BC10" s="23">
        <f t="shared" si="14"/>
        <v>1552</v>
      </c>
      <c r="BD10" s="257">
        <f t="shared" si="14"/>
        <v>335</v>
      </c>
      <c r="BE10" s="257">
        <f t="shared" si="15"/>
        <v>0.90485961400000003</v>
      </c>
      <c r="BF10" s="257">
        <f t="shared" si="16"/>
        <v>1352</v>
      </c>
      <c r="BG10" s="23">
        <f t="shared" si="16"/>
        <v>1010</v>
      </c>
      <c r="BH10" s="257">
        <f t="shared" si="17"/>
        <v>3.200405097</v>
      </c>
      <c r="BI10" s="23">
        <f t="shared" si="18"/>
        <v>1144</v>
      </c>
      <c r="BJ10" s="23">
        <f t="shared" si="18"/>
        <v>731</v>
      </c>
      <c r="BK10" s="257">
        <f t="shared" si="19"/>
        <v>1.2449609080000001</v>
      </c>
      <c r="BL10" s="23">
        <f t="shared" si="20"/>
        <v>4800</v>
      </c>
      <c r="BM10" s="23">
        <f t="shared" si="2"/>
        <v>2273</v>
      </c>
      <c r="BN10" s="257">
        <f t="shared" si="2"/>
        <v>6.0735951398000001</v>
      </c>
      <c r="BO10" s="466">
        <f t="shared" si="21"/>
        <v>0.47354166666666669</v>
      </c>
      <c r="BP10" s="472"/>
      <c r="BQ10" s="23">
        <f t="shared" si="3"/>
        <v>2304</v>
      </c>
      <c r="BR10" s="23">
        <f t="shared" si="4"/>
        <v>532</v>
      </c>
      <c r="BS10" s="466">
        <f t="shared" si="22"/>
        <v>0.23090277777777779</v>
      </c>
      <c r="BT10" s="509">
        <f t="shared" si="6"/>
        <v>1.6282291348000002</v>
      </c>
      <c r="BU10" s="466">
        <f t="shared" si="7"/>
        <v>0.11083333333333334</v>
      </c>
    </row>
    <row r="11" spans="1:73" ht="12.6" customHeight="1">
      <c r="A11" s="254" t="s">
        <v>130</v>
      </c>
      <c r="B11" s="129">
        <f t="shared" si="0"/>
        <v>0</v>
      </c>
      <c r="C11" s="257"/>
      <c r="D11" s="129"/>
      <c r="E11" s="129"/>
      <c r="F11" s="129"/>
      <c r="G11" s="509">
        <f t="shared" si="8"/>
        <v>0</v>
      </c>
      <c r="H11" s="129"/>
      <c r="I11" s="129"/>
      <c r="J11" s="129"/>
      <c r="K11" s="509">
        <f t="shared" si="9"/>
        <v>0</v>
      </c>
      <c r="L11" s="129"/>
      <c r="M11" s="129"/>
      <c r="N11" s="129"/>
      <c r="O11" s="509">
        <f t="shared" si="10"/>
        <v>0</v>
      </c>
      <c r="P11" s="129"/>
      <c r="Q11" s="129"/>
      <c r="R11" s="129"/>
      <c r="S11" s="509">
        <f t="shared" ref="S11:S12" si="25">Q11*(R11-C11)*67.28/10^7</f>
        <v>0</v>
      </c>
      <c r="T11" s="129"/>
      <c r="U11" s="129"/>
      <c r="V11" s="129">
        <f t="shared" si="11"/>
        <v>0</v>
      </c>
      <c r="W11" s="509">
        <f t="shared" si="12"/>
        <v>0</v>
      </c>
      <c r="X11" s="129"/>
      <c r="Y11" s="129"/>
      <c r="Z11" s="129"/>
      <c r="AA11" s="509">
        <f>Y11*(Z11-C11)*67.01/10^7</f>
        <v>0</v>
      </c>
      <c r="AB11" s="129"/>
      <c r="AC11" s="129"/>
      <c r="AD11" s="129"/>
      <c r="AE11" s="509">
        <f>AC11*(AD11-G11)*66.73/10^7</f>
        <v>0</v>
      </c>
      <c r="AF11" s="129"/>
      <c r="AG11" s="129"/>
      <c r="AH11" s="129"/>
      <c r="AI11" s="509">
        <f>AG11*(AH11-K11)*67.58/10^7</f>
        <v>0</v>
      </c>
      <c r="AJ11" s="129"/>
      <c r="AK11" s="129"/>
      <c r="AL11" s="129"/>
      <c r="AM11" s="509">
        <f>AK11*(AL11-O11)*67.01/10^7</f>
        <v>0</v>
      </c>
      <c r="AN11" s="129"/>
      <c r="AO11" s="129"/>
      <c r="AP11" s="129"/>
      <c r="AQ11" s="509">
        <f t="shared" si="24"/>
        <v>0</v>
      </c>
      <c r="AR11" s="129"/>
      <c r="AS11" s="129"/>
      <c r="AT11" s="129"/>
      <c r="AU11" s="509">
        <f>AS11*(AT11-W11)*67.01/10^7</f>
        <v>0</v>
      </c>
      <c r="AV11" s="129"/>
      <c r="AW11" s="129"/>
      <c r="AX11" s="129"/>
      <c r="AY11" s="509">
        <f>AW11*(AX11-AA11)*67.01/10^7</f>
        <v>0</v>
      </c>
      <c r="AZ11" s="23">
        <f t="shared" si="1"/>
        <v>0</v>
      </c>
      <c r="BA11" s="23">
        <f t="shared" si="1"/>
        <v>0</v>
      </c>
      <c r="BB11" s="509">
        <f t="shared" si="13"/>
        <v>0</v>
      </c>
      <c r="BC11" s="23">
        <f t="shared" si="14"/>
        <v>0</v>
      </c>
      <c r="BD11" s="257">
        <f t="shared" si="14"/>
        <v>0</v>
      </c>
      <c r="BE11" s="257">
        <f t="shared" si="15"/>
        <v>0</v>
      </c>
      <c r="BF11" s="257">
        <f t="shared" si="16"/>
        <v>0</v>
      </c>
      <c r="BG11" s="23">
        <f t="shared" si="16"/>
        <v>0</v>
      </c>
      <c r="BH11" s="257">
        <f t="shared" si="17"/>
        <v>0</v>
      </c>
      <c r="BI11" s="23">
        <f t="shared" si="18"/>
        <v>0</v>
      </c>
      <c r="BJ11" s="23">
        <f t="shared" si="18"/>
        <v>0</v>
      </c>
      <c r="BK11" s="257">
        <f t="shared" si="19"/>
        <v>0</v>
      </c>
      <c r="BL11" s="23">
        <f t="shared" si="20"/>
        <v>0</v>
      </c>
      <c r="BM11" s="23">
        <f t="shared" si="2"/>
        <v>0</v>
      </c>
      <c r="BN11" s="257">
        <f t="shared" si="2"/>
        <v>0</v>
      </c>
      <c r="BO11" s="466">
        <f t="shared" si="21"/>
        <v>0</v>
      </c>
      <c r="BP11" s="472"/>
      <c r="BQ11" s="23">
        <f t="shared" si="3"/>
        <v>0</v>
      </c>
      <c r="BR11" s="23">
        <f t="shared" si="4"/>
        <v>0</v>
      </c>
      <c r="BS11" s="466">
        <f t="shared" si="22"/>
        <v>0</v>
      </c>
      <c r="BT11" s="509">
        <f t="shared" si="6"/>
        <v>0</v>
      </c>
      <c r="BU11" s="466">
        <f t="shared" si="7"/>
        <v>0</v>
      </c>
    </row>
    <row r="12" spans="1:73" ht="12.6" customHeight="1">
      <c r="A12" s="254" t="s">
        <v>131</v>
      </c>
      <c r="B12" s="129">
        <f t="shared" si="0"/>
        <v>0</v>
      </c>
      <c r="C12" s="257">
        <v>143.1</v>
      </c>
      <c r="D12" s="129"/>
      <c r="E12" s="129"/>
      <c r="F12" s="129"/>
      <c r="G12" s="509">
        <f t="shared" si="8"/>
        <v>0</v>
      </c>
      <c r="H12" s="129"/>
      <c r="I12" s="129"/>
      <c r="J12" s="129"/>
      <c r="K12" s="509">
        <f t="shared" si="9"/>
        <v>0</v>
      </c>
      <c r="L12" s="129"/>
      <c r="M12" s="129"/>
      <c r="N12" s="129"/>
      <c r="O12" s="509">
        <f t="shared" si="10"/>
        <v>0</v>
      </c>
      <c r="P12" s="129"/>
      <c r="Q12" s="129"/>
      <c r="R12" s="129"/>
      <c r="S12" s="509">
        <f t="shared" si="25"/>
        <v>0</v>
      </c>
      <c r="T12" s="129"/>
      <c r="U12" s="129"/>
      <c r="V12" s="129">
        <f t="shared" si="11"/>
        <v>0</v>
      </c>
      <c r="W12" s="509">
        <f t="shared" si="12"/>
        <v>0</v>
      </c>
      <c r="X12" s="129"/>
      <c r="Y12" s="129"/>
      <c r="Z12" s="129"/>
      <c r="AA12" s="509">
        <f>Y12*(Z12-C12)*67.01/10^7</f>
        <v>0</v>
      </c>
      <c r="AB12" s="129"/>
      <c r="AC12" s="129"/>
      <c r="AD12" s="129"/>
      <c r="AE12" s="509">
        <f>AC12*(AD12-G12)*66.73/10^7</f>
        <v>0</v>
      </c>
      <c r="AF12" s="129"/>
      <c r="AG12" s="129"/>
      <c r="AH12" s="129"/>
      <c r="AI12" s="509">
        <f>AG12*(AH12-K12)*67.58/10^7</f>
        <v>0</v>
      </c>
      <c r="AJ12" s="129"/>
      <c r="AK12" s="129"/>
      <c r="AL12" s="129"/>
      <c r="AM12" s="509">
        <f>AK12*(AL12-O12)*67.01/10^7</f>
        <v>0</v>
      </c>
      <c r="AN12" s="129"/>
      <c r="AO12" s="129"/>
      <c r="AP12" s="129"/>
      <c r="AQ12" s="509">
        <f t="shared" si="24"/>
        <v>0</v>
      </c>
      <c r="AR12" s="129"/>
      <c r="AS12" s="129"/>
      <c r="AT12" s="129"/>
      <c r="AU12" s="509">
        <f>AS12*(AT12-W12)*67.01/10^7</f>
        <v>0</v>
      </c>
      <c r="AV12" s="129"/>
      <c r="AW12" s="129"/>
      <c r="AX12" s="129"/>
      <c r="AY12" s="509">
        <f>AW12*(AX12-AA12)*67.01/10^7</f>
        <v>0</v>
      </c>
      <c r="AZ12" s="23">
        <f t="shared" si="1"/>
        <v>0</v>
      </c>
      <c r="BA12" s="23">
        <f t="shared" si="1"/>
        <v>0</v>
      </c>
      <c r="BB12" s="509">
        <f t="shared" si="13"/>
        <v>0</v>
      </c>
      <c r="BC12" s="23">
        <f t="shared" si="14"/>
        <v>0</v>
      </c>
      <c r="BD12" s="257">
        <f t="shared" si="14"/>
        <v>0</v>
      </c>
      <c r="BE12" s="257">
        <f t="shared" si="15"/>
        <v>0</v>
      </c>
      <c r="BF12" s="257">
        <f t="shared" si="16"/>
        <v>0</v>
      </c>
      <c r="BG12" s="23">
        <f t="shared" si="16"/>
        <v>0</v>
      </c>
      <c r="BH12" s="257">
        <f t="shared" si="17"/>
        <v>0</v>
      </c>
      <c r="BI12" s="23">
        <f t="shared" si="18"/>
        <v>0</v>
      </c>
      <c r="BJ12" s="23">
        <f t="shared" si="18"/>
        <v>0</v>
      </c>
      <c r="BK12" s="257">
        <f t="shared" si="19"/>
        <v>0</v>
      </c>
      <c r="BL12" s="23">
        <f t="shared" si="20"/>
        <v>0</v>
      </c>
      <c r="BM12" s="23">
        <f t="shared" si="2"/>
        <v>0</v>
      </c>
      <c r="BN12" s="257">
        <f t="shared" si="2"/>
        <v>0</v>
      </c>
      <c r="BO12" s="466">
        <f t="shared" si="21"/>
        <v>0</v>
      </c>
      <c r="BP12" s="472"/>
      <c r="BQ12" s="23">
        <f t="shared" si="3"/>
        <v>0</v>
      </c>
      <c r="BR12" s="23">
        <f t="shared" si="4"/>
        <v>0</v>
      </c>
      <c r="BS12" s="466">
        <f t="shared" si="22"/>
        <v>0</v>
      </c>
      <c r="BT12" s="509">
        <f t="shared" si="6"/>
        <v>0</v>
      </c>
      <c r="BU12" s="466">
        <f t="shared" si="7"/>
        <v>0</v>
      </c>
    </row>
    <row r="13" spans="1:73" ht="12.6" customHeight="1">
      <c r="A13" s="254" t="s">
        <v>48</v>
      </c>
      <c r="B13" s="129">
        <f t="shared" si="0"/>
        <v>1170</v>
      </c>
      <c r="C13" s="257"/>
      <c r="D13" s="129">
        <v>48</v>
      </c>
      <c r="E13" s="129">
        <v>30</v>
      </c>
      <c r="F13" s="129">
        <v>1325.1</v>
      </c>
      <c r="G13" s="509">
        <f>E13*(F13-652)*66.47/10^7</f>
        <v>0.13422287099999997</v>
      </c>
      <c r="H13" s="129">
        <v>83</v>
      </c>
      <c r="I13" s="129">
        <v>129</v>
      </c>
      <c r="J13" s="129">
        <v>1303</v>
      </c>
      <c r="K13" s="509">
        <f>I13*(J13-943)*66.91/10^7</f>
        <v>0.31073003999999999</v>
      </c>
      <c r="L13" s="129">
        <v>25</v>
      </c>
      <c r="M13" s="129">
        <v>46</v>
      </c>
      <c r="N13" s="129">
        <v>1348.6</v>
      </c>
      <c r="O13" s="509">
        <f>M13*(N13-937)*67.28/10^7</f>
        <v>0.12738526079999998</v>
      </c>
      <c r="P13" s="129">
        <v>179</v>
      </c>
      <c r="Q13" s="129">
        <v>74</v>
      </c>
      <c r="R13" s="129">
        <v>1331</v>
      </c>
      <c r="S13" s="509">
        <f>Q13*(R13-996)*67.28/10^7</f>
        <v>0.16678711999999998</v>
      </c>
      <c r="T13" s="129">
        <v>73</v>
      </c>
      <c r="U13" s="129">
        <v>95</v>
      </c>
      <c r="V13" s="129">
        <v>1387</v>
      </c>
      <c r="W13" s="509">
        <f>U13*(V13-1046)*66.93/10^7</f>
        <v>0.21681973500000001</v>
      </c>
      <c r="X13" s="129">
        <v>107</v>
      </c>
      <c r="Y13" s="129">
        <v>101</v>
      </c>
      <c r="Z13" s="129">
        <v>1374</v>
      </c>
      <c r="AA13" s="509">
        <f>Y13*(Z13-1035)*67.01/10^7</f>
        <v>0.22943553900000002</v>
      </c>
      <c r="AB13" s="129">
        <v>145</v>
      </c>
      <c r="AC13" s="129">
        <v>200</v>
      </c>
      <c r="AD13" s="129">
        <v>1342</v>
      </c>
      <c r="AE13" s="509">
        <f>AC13*(AD13-1040)*66.73/10^7</f>
        <v>0.40304920000000005</v>
      </c>
      <c r="AF13" s="129">
        <v>107</v>
      </c>
      <c r="AG13" s="129">
        <v>79</v>
      </c>
      <c r="AH13" s="129">
        <v>1398</v>
      </c>
      <c r="AI13" s="509">
        <f>AG13*(AH13-1032)*67.58/10^7</f>
        <v>0.19540081199999998</v>
      </c>
      <c r="AJ13" s="129">
        <v>49</v>
      </c>
      <c r="AK13" s="129">
        <v>116</v>
      </c>
      <c r="AL13" s="129">
        <v>1345</v>
      </c>
      <c r="AM13" s="509">
        <f>AK13*(AL13-1041)*67.01/10^7</f>
        <v>0.23630406400000001</v>
      </c>
      <c r="AN13" s="129">
        <v>83</v>
      </c>
      <c r="AO13" s="129">
        <v>53</v>
      </c>
      <c r="AP13" s="129">
        <v>1399</v>
      </c>
      <c r="AQ13" s="509">
        <f>AO13*(AP13-1060)*68.01/10^7</f>
        <v>0.12219356700000002</v>
      </c>
      <c r="AR13" s="129">
        <v>179</v>
      </c>
      <c r="AS13" s="129">
        <v>65</v>
      </c>
      <c r="AT13" s="129">
        <v>1417</v>
      </c>
      <c r="AU13" s="509">
        <f>AS13*(AT13-1147)*67.01/10^7</f>
        <v>0.11760255</v>
      </c>
      <c r="AV13" s="129">
        <v>92</v>
      </c>
      <c r="AW13" s="129"/>
      <c r="AX13" s="129"/>
      <c r="AY13" s="509">
        <f>AW13*(AX13-1035)*67.01/10^7</f>
        <v>0</v>
      </c>
      <c r="AZ13" s="23">
        <f t="shared" si="1"/>
        <v>156</v>
      </c>
      <c r="BA13" s="23">
        <f t="shared" si="1"/>
        <v>205</v>
      </c>
      <c r="BB13" s="509">
        <f t="shared" si="13"/>
        <v>0.57233817179999991</v>
      </c>
      <c r="BC13" s="23">
        <f t="shared" si="14"/>
        <v>359</v>
      </c>
      <c r="BD13" s="257">
        <f t="shared" si="14"/>
        <v>270</v>
      </c>
      <c r="BE13" s="257">
        <f t="shared" si="15"/>
        <v>0.61304239400000005</v>
      </c>
      <c r="BF13" s="257">
        <f t="shared" si="16"/>
        <v>301</v>
      </c>
      <c r="BG13" s="23">
        <f t="shared" si="16"/>
        <v>395</v>
      </c>
      <c r="BH13" s="257">
        <f t="shared" si="17"/>
        <v>0.83475407600000007</v>
      </c>
      <c r="BI13" s="23">
        <f t="shared" si="18"/>
        <v>354</v>
      </c>
      <c r="BJ13" s="23">
        <f t="shared" si="18"/>
        <v>118</v>
      </c>
      <c r="BK13" s="257">
        <f t="shared" si="19"/>
        <v>0.23979611700000003</v>
      </c>
      <c r="BL13" s="23">
        <f t="shared" si="20"/>
        <v>1170</v>
      </c>
      <c r="BM13" s="23">
        <f t="shared" si="2"/>
        <v>988</v>
      </c>
      <c r="BN13" s="257">
        <f t="shared" si="2"/>
        <v>2.2599307588000004</v>
      </c>
      <c r="BO13" s="466">
        <f t="shared" si="21"/>
        <v>0.84444444444444444</v>
      </c>
      <c r="BP13" s="472"/>
      <c r="BQ13" s="23">
        <f t="shared" si="3"/>
        <v>515</v>
      </c>
      <c r="BR13" s="23">
        <f t="shared" si="4"/>
        <v>475</v>
      </c>
      <c r="BS13" s="466">
        <f t="shared" si="22"/>
        <v>0.92233009708737868</v>
      </c>
      <c r="BT13" s="509">
        <f t="shared" si="6"/>
        <v>1.1853805657999998</v>
      </c>
      <c r="BU13" s="466">
        <f t="shared" si="7"/>
        <v>0.40598290598290598</v>
      </c>
    </row>
    <row r="14" spans="1:73" ht="12.6" customHeight="1">
      <c r="A14" s="254" t="s">
        <v>49</v>
      </c>
      <c r="B14" s="129">
        <f t="shared" si="0"/>
        <v>0</v>
      </c>
      <c r="C14" s="257"/>
      <c r="D14" s="129"/>
      <c r="E14" s="129"/>
      <c r="F14" s="129"/>
      <c r="G14" s="509">
        <f t="shared" si="8"/>
        <v>0</v>
      </c>
      <c r="H14" s="129"/>
      <c r="I14" s="129"/>
      <c r="J14" s="129"/>
      <c r="K14" s="509">
        <f t="shared" si="9"/>
        <v>0</v>
      </c>
      <c r="L14" s="129"/>
      <c r="M14" s="129"/>
      <c r="N14" s="129"/>
      <c r="O14" s="509">
        <f t="shared" si="10"/>
        <v>0</v>
      </c>
      <c r="P14" s="129"/>
      <c r="Q14" s="129"/>
      <c r="R14" s="129"/>
      <c r="S14" s="509">
        <f>Q14*(R14-C14)*67.28/10^7</f>
        <v>0</v>
      </c>
      <c r="T14" s="129"/>
      <c r="U14" s="129"/>
      <c r="V14" s="129">
        <f t="shared" si="11"/>
        <v>0</v>
      </c>
      <c r="W14" s="509">
        <f t="shared" si="12"/>
        <v>0</v>
      </c>
      <c r="X14" s="129"/>
      <c r="Y14" s="129"/>
      <c r="Z14" s="129"/>
      <c r="AA14" s="509">
        <f t="shared" ref="AA14:AA23" si="26">Y14*(Z14-C14)*67.01/10^7</f>
        <v>0</v>
      </c>
      <c r="AB14" s="129"/>
      <c r="AC14" s="129"/>
      <c r="AD14" s="129"/>
      <c r="AE14" s="509">
        <f t="shared" ref="AE14:AE23" si="27">AC14*(AD14-G14)*66.73/10^7</f>
        <v>0</v>
      </c>
      <c r="AF14" s="129"/>
      <c r="AG14" s="129"/>
      <c r="AH14" s="129"/>
      <c r="AI14" s="509">
        <f t="shared" ref="AI14:AI23" si="28">AG14*(AH14-K14)*67.58/10^7</f>
        <v>0</v>
      </c>
      <c r="AJ14" s="129"/>
      <c r="AK14" s="129"/>
      <c r="AL14" s="129"/>
      <c r="AM14" s="509">
        <f t="shared" ref="AM14:AM23" si="29">AK14*(AL14-O14)*67.01/10^7</f>
        <v>0</v>
      </c>
      <c r="AN14" s="129"/>
      <c r="AO14" s="129"/>
      <c r="AP14" s="129"/>
      <c r="AQ14" s="509">
        <f t="shared" si="24"/>
        <v>0</v>
      </c>
      <c r="AR14" s="129"/>
      <c r="AS14" s="129"/>
      <c r="AT14" s="129"/>
      <c r="AU14" s="509">
        <f t="shared" ref="AU14:AU23" si="30">AS14*(AT14-W14)*67.01/10^7</f>
        <v>0</v>
      </c>
      <c r="AV14" s="129"/>
      <c r="AW14" s="129"/>
      <c r="AX14" s="129"/>
      <c r="AY14" s="509">
        <f t="shared" ref="AY14:AY23" si="31">AW14*(AX14-AA14)*67.01/10^7</f>
        <v>0</v>
      </c>
      <c r="AZ14" s="23">
        <f t="shared" si="1"/>
        <v>0</v>
      </c>
      <c r="BA14" s="23">
        <f t="shared" si="1"/>
        <v>0</v>
      </c>
      <c r="BB14" s="509">
        <f t="shared" si="13"/>
        <v>0</v>
      </c>
      <c r="BC14" s="23">
        <f t="shared" si="14"/>
        <v>0</v>
      </c>
      <c r="BD14" s="257">
        <f t="shared" si="14"/>
        <v>0</v>
      </c>
      <c r="BE14" s="257">
        <f t="shared" si="15"/>
        <v>0</v>
      </c>
      <c r="BF14" s="257">
        <f t="shared" si="16"/>
        <v>0</v>
      </c>
      <c r="BG14" s="23">
        <f t="shared" si="16"/>
        <v>0</v>
      </c>
      <c r="BH14" s="257">
        <f t="shared" si="17"/>
        <v>0</v>
      </c>
      <c r="BI14" s="23">
        <f t="shared" si="18"/>
        <v>0</v>
      </c>
      <c r="BJ14" s="23">
        <f t="shared" si="18"/>
        <v>0</v>
      </c>
      <c r="BK14" s="257">
        <f t="shared" si="19"/>
        <v>0</v>
      </c>
      <c r="BL14" s="23">
        <f t="shared" si="20"/>
        <v>0</v>
      </c>
      <c r="BM14" s="23">
        <f t="shared" si="2"/>
        <v>0</v>
      </c>
      <c r="BN14" s="257">
        <f t="shared" si="2"/>
        <v>0</v>
      </c>
      <c r="BO14" s="466">
        <f t="shared" si="21"/>
        <v>0</v>
      </c>
      <c r="BP14" s="472"/>
      <c r="BQ14" s="23">
        <f t="shared" si="3"/>
        <v>0</v>
      </c>
      <c r="BR14" s="23">
        <f t="shared" si="4"/>
        <v>0</v>
      </c>
      <c r="BS14" s="466">
        <f t="shared" si="22"/>
        <v>0</v>
      </c>
      <c r="BT14" s="509">
        <f t="shared" si="6"/>
        <v>0</v>
      </c>
      <c r="BU14" s="466">
        <f t="shared" si="7"/>
        <v>0</v>
      </c>
    </row>
    <row r="15" spans="1:73" ht="12.6" customHeight="1">
      <c r="A15" s="254" t="s">
        <v>47</v>
      </c>
      <c r="B15" s="129">
        <f t="shared" si="0"/>
        <v>890</v>
      </c>
      <c r="C15" s="257">
        <v>149.1</v>
      </c>
      <c r="D15" s="129">
        <v>64</v>
      </c>
      <c r="E15" s="129">
        <v>74</v>
      </c>
      <c r="F15" s="129">
        <v>1340.8</v>
      </c>
      <c r="G15" s="509">
        <f t="shared" si="8"/>
        <v>0.58617101260000004</v>
      </c>
      <c r="H15" s="129">
        <v>73</v>
      </c>
      <c r="I15" s="129">
        <v>17</v>
      </c>
      <c r="J15" s="129">
        <v>1381.6</v>
      </c>
      <c r="K15" s="509">
        <f t="shared" si="9"/>
        <v>0.14019317749999999</v>
      </c>
      <c r="L15" s="129">
        <v>90</v>
      </c>
      <c r="M15" s="129">
        <v>81</v>
      </c>
      <c r="N15" s="129">
        <v>1342.2</v>
      </c>
      <c r="O15" s="509">
        <f t="shared" si="10"/>
        <v>0.65020132080000004</v>
      </c>
      <c r="P15" s="129">
        <v>62</v>
      </c>
      <c r="Q15" s="129">
        <v>62</v>
      </c>
      <c r="R15" s="129">
        <v>1408</v>
      </c>
      <c r="S15" s="509">
        <f>Q15*(R15-C15)*67.28/10^7</f>
        <v>0.52513251039999997</v>
      </c>
      <c r="T15" s="129">
        <v>74</v>
      </c>
      <c r="U15" s="129">
        <v>27</v>
      </c>
      <c r="V15" s="129">
        <v>1423</v>
      </c>
      <c r="W15" s="509">
        <f t="shared" si="12"/>
        <v>0.23020774290000004</v>
      </c>
      <c r="X15" s="129">
        <v>62</v>
      </c>
      <c r="Y15" s="129">
        <v>82</v>
      </c>
      <c r="Z15" s="129">
        <v>1385</v>
      </c>
      <c r="AA15" s="509">
        <f t="shared" si="26"/>
        <v>0.67910480380000005</v>
      </c>
      <c r="AB15" s="129">
        <v>110</v>
      </c>
      <c r="AC15" s="129">
        <v>145</v>
      </c>
      <c r="AD15" s="129">
        <v>1449</v>
      </c>
      <c r="AE15" s="509">
        <f t="shared" si="27"/>
        <v>1.4014634947207736</v>
      </c>
      <c r="AF15" s="129">
        <v>46</v>
      </c>
      <c r="AG15" s="129">
        <v>51</v>
      </c>
      <c r="AH15" s="129">
        <v>1379</v>
      </c>
      <c r="AI15" s="509">
        <f t="shared" si="28"/>
        <v>0.47523506329982923</v>
      </c>
      <c r="AJ15" s="129">
        <v>100</v>
      </c>
      <c r="AK15" s="129">
        <v>130</v>
      </c>
      <c r="AL15" s="129">
        <v>1374</v>
      </c>
      <c r="AM15" s="509">
        <f t="shared" si="29"/>
        <v>1.1963662101234116</v>
      </c>
      <c r="AN15" s="129">
        <v>62</v>
      </c>
      <c r="AO15" s="129">
        <v>44</v>
      </c>
      <c r="AP15" s="129">
        <v>1455</v>
      </c>
      <c r="AQ15" s="509">
        <f t="shared" si="24"/>
        <v>0.43524287724705785</v>
      </c>
      <c r="AR15" s="129">
        <v>94</v>
      </c>
      <c r="AS15" s="129">
        <v>93</v>
      </c>
      <c r="AT15" s="129">
        <v>1403</v>
      </c>
      <c r="AU15" s="509">
        <f t="shared" si="30"/>
        <v>0.87419631514607909</v>
      </c>
      <c r="AV15" s="129">
        <v>53</v>
      </c>
      <c r="AW15" s="129"/>
      <c r="AX15" s="129"/>
      <c r="AY15" s="509">
        <f t="shared" si="31"/>
        <v>0</v>
      </c>
      <c r="AZ15" s="23">
        <f t="shared" si="1"/>
        <v>227</v>
      </c>
      <c r="BA15" s="23">
        <f t="shared" si="1"/>
        <v>172</v>
      </c>
      <c r="BB15" s="509">
        <f t="shared" si="13"/>
        <v>1.3765655108999999</v>
      </c>
      <c r="BC15" s="23">
        <f t="shared" si="14"/>
        <v>198</v>
      </c>
      <c r="BD15" s="257">
        <f t="shared" si="14"/>
        <v>171</v>
      </c>
      <c r="BE15" s="257">
        <f t="shared" si="15"/>
        <v>1.4344450571</v>
      </c>
      <c r="BF15" s="257">
        <f t="shared" si="16"/>
        <v>256</v>
      </c>
      <c r="BG15" s="23">
        <f t="shared" si="16"/>
        <v>326</v>
      </c>
      <c r="BH15" s="257">
        <f t="shared" si="17"/>
        <v>3.0730647681440146</v>
      </c>
      <c r="BI15" s="23">
        <f t="shared" si="18"/>
        <v>209</v>
      </c>
      <c r="BJ15" s="23">
        <f t="shared" si="18"/>
        <v>137</v>
      </c>
      <c r="BK15" s="257">
        <f t="shared" si="19"/>
        <v>1.309439192393137</v>
      </c>
      <c r="BL15" s="23">
        <f t="shared" si="20"/>
        <v>890</v>
      </c>
      <c r="BM15" s="23">
        <f t="shared" si="2"/>
        <v>806</v>
      </c>
      <c r="BN15" s="257">
        <f t="shared" si="2"/>
        <v>7.1935145285371522</v>
      </c>
      <c r="BO15" s="466">
        <f t="shared" si="21"/>
        <v>0.90561797752808992</v>
      </c>
      <c r="BP15" s="472"/>
      <c r="BQ15" s="23">
        <f t="shared" si="3"/>
        <v>425</v>
      </c>
      <c r="BR15" s="23">
        <f t="shared" si="4"/>
        <v>343</v>
      </c>
      <c r="BS15" s="466">
        <f t="shared" si="22"/>
        <v>0.80705882352941172</v>
      </c>
      <c r="BT15" s="509">
        <f t="shared" si="6"/>
        <v>2.8110105679999999</v>
      </c>
      <c r="BU15" s="466">
        <f t="shared" si="7"/>
        <v>0.38539325842696631</v>
      </c>
    </row>
    <row r="16" spans="1:73" ht="12.6" customHeight="1">
      <c r="A16" s="254" t="s">
        <v>51</v>
      </c>
      <c r="B16" s="129">
        <f t="shared" si="0"/>
        <v>180</v>
      </c>
      <c r="C16" s="257"/>
      <c r="D16" s="129"/>
      <c r="E16" s="129">
        <v>1</v>
      </c>
      <c r="F16" s="129">
        <v>1905</v>
      </c>
      <c r="G16" s="509">
        <f t="shared" si="8"/>
        <v>1.2662534999999999E-2</v>
      </c>
      <c r="H16" s="129">
        <v>10</v>
      </c>
      <c r="I16" s="129">
        <v>1</v>
      </c>
      <c r="J16" s="129">
        <v>1953</v>
      </c>
      <c r="K16" s="509">
        <f>I16*(J16-1436)*66.91/10^7</f>
        <v>3.4592469999999999E-3</v>
      </c>
      <c r="L16" s="129">
        <v>25</v>
      </c>
      <c r="M16" s="129">
        <v>1</v>
      </c>
      <c r="N16" s="129">
        <v>1627.7</v>
      </c>
      <c r="O16" s="509">
        <f>M16*(N16-1436)*67.28/10^7</f>
        <v>1.2897576000000003E-3</v>
      </c>
      <c r="P16" s="129">
        <v>20</v>
      </c>
      <c r="Q16" s="129">
        <v>16</v>
      </c>
      <c r="R16" s="129">
        <v>1552</v>
      </c>
      <c r="S16" s="509">
        <f>Q16*(R16-1436)*67.28/10^7</f>
        <v>1.2487168000000002E-2</v>
      </c>
      <c r="T16" s="129">
        <v>15</v>
      </c>
      <c r="U16" s="129">
        <v>1</v>
      </c>
      <c r="V16" s="129">
        <v>1808</v>
      </c>
      <c r="W16" s="509">
        <f t="shared" si="12"/>
        <v>1.2100944000000002E-2</v>
      </c>
      <c r="X16" s="129">
        <v>25</v>
      </c>
      <c r="Y16" s="129">
        <v>24</v>
      </c>
      <c r="Z16" s="129">
        <v>1461</v>
      </c>
      <c r="AA16" s="509">
        <f t="shared" si="26"/>
        <v>0.23496386400000002</v>
      </c>
      <c r="AB16" s="129">
        <v>20</v>
      </c>
      <c r="AC16" s="129">
        <v>2</v>
      </c>
      <c r="AD16" s="129">
        <v>1776</v>
      </c>
      <c r="AE16" s="509">
        <f t="shared" si="27"/>
        <v>2.3702327005807891E-2</v>
      </c>
      <c r="AF16" s="129">
        <v>10</v>
      </c>
      <c r="AG16" s="129"/>
      <c r="AH16" s="129"/>
      <c r="AI16" s="509">
        <f t="shared" si="28"/>
        <v>0</v>
      </c>
      <c r="AJ16" s="129">
        <v>15</v>
      </c>
      <c r="AK16" s="129"/>
      <c r="AL16" s="129"/>
      <c r="AM16" s="509">
        <f t="shared" si="29"/>
        <v>0</v>
      </c>
      <c r="AN16" s="129">
        <v>20</v>
      </c>
      <c r="AO16" s="129">
        <v>9</v>
      </c>
      <c r="AP16" s="129">
        <v>1497</v>
      </c>
      <c r="AQ16" s="509">
        <f t="shared" si="24"/>
        <v>9.1629108672933904E-2</v>
      </c>
      <c r="AR16" s="129">
        <v>20</v>
      </c>
      <c r="AS16" s="129">
        <v>1</v>
      </c>
      <c r="AT16" s="129">
        <v>1780</v>
      </c>
      <c r="AU16" s="509">
        <f t="shared" si="30"/>
        <v>1.1927698911574258E-2</v>
      </c>
      <c r="AV16" s="129"/>
      <c r="AW16" s="129"/>
      <c r="AX16" s="129"/>
      <c r="AY16" s="509">
        <f t="shared" si="31"/>
        <v>0</v>
      </c>
      <c r="AZ16" s="23">
        <f t="shared" si="1"/>
        <v>35</v>
      </c>
      <c r="BA16" s="23">
        <f t="shared" si="1"/>
        <v>3</v>
      </c>
      <c r="BB16" s="509">
        <f t="shared" si="13"/>
        <v>1.7411539599999998E-2</v>
      </c>
      <c r="BC16" s="23">
        <f t="shared" si="14"/>
        <v>60</v>
      </c>
      <c r="BD16" s="257">
        <f t="shared" si="14"/>
        <v>41</v>
      </c>
      <c r="BE16" s="257">
        <f t="shared" si="15"/>
        <v>0.25955197600000002</v>
      </c>
      <c r="BF16" s="257">
        <f t="shared" si="16"/>
        <v>45</v>
      </c>
      <c r="BG16" s="23">
        <f t="shared" si="16"/>
        <v>2</v>
      </c>
      <c r="BH16" s="257">
        <f t="shared" si="17"/>
        <v>2.3702327005807891E-2</v>
      </c>
      <c r="BI16" s="23">
        <f t="shared" si="18"/>
        <v>40</v>
      </c>
      <c r="BJ16" s="23">
        <f t="shared" si="18"/>
        <v>10</v>
      </c>
      <c r="BK16" s="257">
        <f t="shared" si="19"/>
        <v>0.10355680758450816</v>
      </c>
      <c r="BL16" s="23">
        <f t="shared" si="20"/>
        <v>180</v>
      </c>
      <c r="BM16" s="23">
        <f t="shared" si="2"/>
        <v>56</v>
      </c>
      <c r="BN16" s="257">
        <f t="shared" si="2"/>
        <v>0.404222650190316</v>
      </c>
      <c r="BO16" s="466">
        <f t="shared" si="21"/>
        <v>0.31111111111111112</v>
      </c>
      <c r="BP16" s="472"/>
      <c r="BQ16" s="23">
        <f t="shared" si="3"/>
        <v>95</v>
      </c>
      <c r="BR16" s="23">
        <f t="shared" si="4"/>
        <v>44</v>
      </c>
      <c r="BS16" s="466">
        <f t="shared" si="22"/>
        <v>0.4631578947368421</v>
      </c>
      <c r="BT16" s="509">
        <f t="shared" si="6"/>
        <v>0.27696351560000004</v>
      </c>
      <c r="BU16" s="466">
        <f t="shared" si="7"/>
        <v>0.24444444444444444</v>
      </c>
    </row>
    <row r="17" spans="1:73" ht="12.6" customHeight="1">
      <c r="A17" s="254" t="s">
        <v>54</v>
      </c>
      <c r="B17" s="129">
        <f t="shared" si="0"/>
        <v>60</v>
      </c>
      <c r="C17" s="257"/>
      <c r="D17" s="129"/>
      <c r="E17" s="129"/>
      <c r="F17" s="129"/>
      <c r="G17" s="509">
        <f t="shared" si="8"/>
        <v>0</v>
      </c>
      <c r="H17" s="129"/>
      <c r="I17" s="129"/>
      <c r="J17" s="129"/>
      <c r="K17" s="509">
        <f t="shared" si="9"/>
        <v>0</v>
      </c>
      <c r="L17" s="129">
        <v>12</v>
      </c>
      <c r="M17" s="129"/>
      <c r="N17" s="129"/>
      <c r="O17" s="509">
        <f t="shared" si="10"/>
        <v>0</v>
      </c>
      <c r="P17" s="129"/>
      <c r="Q17" s="129">
        <v>8</v>
      </c>
      <c r="R17" s="129">
        <v>3640</v>
      </c>
      <c r="S17" s="509">
        <f>Q17*(R17-2488)*67.28/10^7</f>
        <v>6.2005247999999999E-2</v>
      </c>
      <c r="T17" s="129">
        <v>12</v>
      </c>
      <c r="U17" s="129"/>
      <c r="V17" s="129">
        <f t="shared" ref="V17" si="32">(T17*U17)/10^6</f>
        <v>0</v>
      </c>
      <c r="W17" s="509">
        <f t="shared" si="12"/>
        <v>0</v>
      </c>
      <c r="X17" s="129"/>
      <c r="Y17" s="129"/>
      <c r="Z17" s="129"/>
      <c r="AA17" s="509">
        <f t="shared" si="26"/>
        <v>0</v>
      </c>
      <c r="AB17" s="129">
        <v>12</v>
      </c>
      <c r="AC17" s="129"/>
      <c r="AD17" s="129"/>
      <c r="AE17" s="509">
        <f t="shared" si="27"/>
        <v>0</v>
      </c>
      <c r="AF17" s="129"/>
      <c r="AG17" s="129">
        <v>17</v>
      </c>
      <c r="AH17" s="129">
        <v>3812</v>
      </c>
      <c r="AI17" s="509">
        <f>AG17*(AH17-2606)*67.58/10^7</f>
        <v>0.13855251599999999</v>
      </c>
      <c r="AJ17" s="129">
        <v>12</v>
      </c>
      <c r="AK17" s="129"/>
      <c r="AL17" s="129"/>
      <c r="AM17" s="509">
        <f t="shared" si="29"/>
        <v>0</v>
      </c>
      <c r="AN17" s="129"/>
      <c r="AO17" s="129"/>
      <c r="AP17" s="129"/>
      <c r="AQ17" s="509">
        <f t="shared" si="24"/>
        <v>0</v>
      </c>
      <c r="AR17" s="129">
        <v>12</v>
      </c>
      <c r="AS17" s="129"/>
      <c r="AT17" s="129"/>
      <c r="AU17" s="509">
        <f t="shared" si="30"/>
        <v>0</v>
      </c>
      <c r="AV17" s="129"/>
      <c r="AW17" s="129"/>
      <c r="AX17" s="129"/>
      <c r="AY17" s="509">
        <f t="shared" si="31"/>
        <v>0</v>
      </c>
      <c r="AZ17" s="23">
        <f t="shared" si="1"/>
        <v>12</v>
      </c>
      <c r="BA17" s="23">
        <f t="shared" si="1"/>
        <v>0</v>
      </c>
      <c r="BB17" s="509">
        <f t="shared" si="13"/>
        <v>0</v>
      </c>
      <c r="BC17" s="23">
        <f t="shared" si="14"/>
        <v>12</v>
      </c>
      <c r="BD17" s="257">
        <f t="shared" si="14"/>
        <v>8</v>
      </c>
      <c r="BE17" s="257">
        <f t="shared" si="15"/>
        <v>6.2005247999999999E-2</v>
      </c>
      <c r="BF17" s="257">
        <f t="shared" si="16"/>
        <v>24</v>
      </c>
      <c r="BG17" s="23">
        <f t="shared" si="16"/>
        <v>17</v>
      </c>
      <c r="BH17" s="257">
        <f t="shared" si="17"/>
        <v>0.13855251599999999</v>
      </c>
      <c r="BI17" s="23">
        <f t="shared" si="18"/>
        <v>12</v>
      </c>
      <c r="BJ17" s="23">
        <f t="shared" si="18"/>
        <v>0</v>
      </c>
      <c r="BK17" s="257">
        <f t="shared" si="19"/>
        <v>0</v>
      </c>
      <c r="BL17" s="23">
        <f t="shared" si="20"/>
        <v>60</v>
      </c>
      <c r="BM17" s="23">
        <f t="shared" si="2"/>
        <v>25</v>
      </c>
      <c r="BN17" s="257">
        <f t="shared" si="2"/>
        <v>0.20055776399999997</v>
      </c>
      <c r="BO17" s="466">
        <f t="shared" si="21"/>
        <v>0.41666666666666669</v>
      </c>
      <c r="BP17" s="472"/>
      <c r="BQ17" s="23">
        <f t="shared" si="3"/>
        <v>24</v>
      </c>
      <c r="BR17" s="23">
        <f t="shared" si="4"/>
        <v>8</v>
      </c>
      <c r="BS17" s="466">
        <f t="shared" si="22"/>
        <v>0.33333333333333331</v>
      </c>
      <c r="BT17" s="509">
        <f t="shared" si="6"/>
        <v>6.2005247999999999E-2</v>
      </c>
      <c r="BU17" s="466">
        <f t="shared" si="7"/>
        <v>0.13333333333333333</v>
      </c>
    </row>
    <row r="18" spans="1:73" ht="12.6" customHeight="1">
      <c r="A18" s="254" t="s">
        <v>55</v>
      </c>
      <c r="B18" s="129">
        <f t="shared" si="0"/>
        <v>0</v>
      </c>
      <c r="C18" s="257"/>
      <c r="D18" s="129">
        <v>0</v>
      </c>
      <c r="E18" s="129"/>
      <c r="F18" s="129"/>
      <c r="G18" s="509">
        <f t="shared" si="8"/>
        <v>0</v>
      </c>
      <c r="H18" s="129"/>
      <c r="I18" s="129"/>
      <c r="J18" s="129"/>
      <c r="K18" s="509">
        <f t="shared" si="9"/>
        <v>0</v>
      </c>
      <c r="L18" s="129"/>
      <c r="M18" s="129"/>
      <c r="N18" s="129"/>
      <c r="O18" s="509">
        <f t="shared" si="10"/>
        <v>0</v>
      </c>
      <c r="P18" s="129"/>
      <c r="Q18" s="129"/>
      <c r="R18" s="129"/>
      <c r="S18" s="509">
        <f t="shared" ref="S18:S22" si="33">Q18*(R18-C18)*67.28/10^7</f>
        <v>0</v>
      </c>
      <c r="T18" s="129"/>
      <c r="U18" s="129"/>
      <c r="V18" s="129">
        <f t="shared" si="11"/>
        <v>0</v>
      </c>
      <c r="W18" s="509">
        <f t="shared" si="12"/>
        <v>0</v>
      </c>
      <c r="X18" s="129"/>
      <c r="Y18" s="129"/>
      <c r="Z18" s="129"/>
      <c r="AA18" s="509">
        <f t="shared" si="26"/>
        <v>0</v>
      </c>
      <c r="AB18" s="129"/>
      <c r="AC18" s="129"/>
      <c r="AD18" s="129"/>
      <c r="AE18" s="509">
        <f t="shared" si="27"/>
        <v>0</v>
      </c>
      <c r="AF18" s="129"/>
      <c r="AG18" s="129"/>
      <c r="AH18" s="129"/>
      <c r="AI18" s="509">
        <f t="shared" si="28"/>
        <v>0</v>
      </c>
      <c r="AJ18" s="129"/>
      <c r="AK18" s="129"/>
      <c r="AL18" s="129"/>
      <c r="AM18" s="509">
        <f t="shared" si="29"/>
        <v>0</v>
      </c>
      <c r="AN18" s="129"/>
      <c r="AO18" s="129"/>
      <c r="AP18" s="129"/>
      <c r="AQ18" s="509">
        <f t="shared" si="24"/>
        <v>0</v>
      </c>
      <c r="AR18" s="129"/>
      <c r="AS18" s="129"/>
      <c r="AT18" s="129"/>
      <c r="AU18" s="509">
        <f t="shared" si="30"/>
        <v>0</v>
      </c>
      <c r="AV18" s="129"/>
      <c r="AW18" s="129"/>
      <c r="AX18" s="129"/>
      <c r="AY18" s="509">
        <f t="shared" si="31"/>
        <v>0</v>
      </c>
      <c r="AZ18" s="23">
        <f t="shared" si="1"/>
        <v>0</v>
      </c>
      <c r="BA18" s="23">
        <f t="shared" si="1"/>
        <v>0</v>
      </c>
      <c r="BB18" s="509">
        <f t="shared" si="13"/>
        <v>0</v>
      </c>
      <c r="BC18" s="23">
        <f t="shared" si="14"/>
        <v>0</v>
      </c>
      <c r="BD18" s="257">
        <f t="shared" si="14"/>
        <v>0</v>
      </c>
      <c r="BE18" s="257">
        <f t="shared" si="15"/>
        <v>0</v>
      </c>
      <c r="BF18" s="257">
        <f t="shared" si="16"/>
        <v>0</v>
      </c>
      <c r="BG18" s="23">
        <f t="shared" si="16"/>
        <v>0</v>
      </c>
      <c r="BH18" s="257">
        <f t="shared" si="17"/>
        <v>0</v>
      </c>
      <c r="BI18" s="23">
        <f t="shared" si="18"/>
        <v>0</v>
      </c>
      <c r="BJ18" s="23">
        <f t="shared" si="18"/>
        <v>0</v>
      </c>
      <c r="BK18" s="257">
        <f t="shared" si="19"/>
        <v>0</v>
      </c>
      <c r="BL18" s="23">
        <f t="shared" si="20"/>
        <v>0</v>
      </c>
      <c r="BM18" s="23">
        <f t="shared" si="2"/>
        <v>0</v>
      </c>
      <c r="BN18" s="257">
        <f t="shared" si="2"/>
        <v>0</v>
      </c>
      <c r="BO18" s="466">
        <f t="shared" si="21"/>
        <v>0</v>
      </c>
      <c r="BP18" s="472"/>
      <c r="BQ18" s="23">
        <f t="shared" si="3"/>
        <v>0</v>
      </c>
      <c r="BR18" s="23">
        <f t="shared" si="4"/>
        <v>0</v>
      </c>
      <c r="BS18" s="466">
        <f t="shared" si="22"/>
        <v>0</v>
      </c>
      <c r="BT18" s="509">
        <f t="shared" si="6"/>
        <v>0</v>
      </c>
      <c r="BU18" s="466">
        <f t="shared" si="7"/>
        <v>0</v>
      </c>
    </row>
    <row r="19" spans="1:73" ht="12.6" customHeight="1">
      <c r="A19" s="254" t="s">
        <v>50</v>
      </c>
      <c r="B19" s="129">
        <f t="shared" si="0"/>
        <v>0</v>
      </c>
      <c r="C19" s="257"/>
      <c r="D19" s="202">
        <v>0</v>
      </c>
      <c r="E19" s="202"/>
      <c r="F19" s="202"/>
      <c r="G19" s="509">
        <f t="shared" si="8"/>
        <v>0</v>
      </c>
      <c r="H19" s="202"/>
      <c r="I19" s="202"/>
      <c r="J19" s="202"/>
      <c r="K19" s="509">
        <f t="shared" si="9"/>
        <v>0</v>
      </c>
      <c r="L19" s="202"/>
      <c r="M19" s="202"/>
      <c r="N19" s="202"/>
      <c r="O19" s="509">
        <f t="shared" si="10"/>
        <v>0</v>
      </c>
      <c r="P19" s="202"/>
      <c r="Q19" s="202"/>
      <c r="R19" s="202"/>
      <c r="S19" s="509">
        <f t="shared" si="33"/>
        <v>0</v>
      </c>
      <c r="T19" s="202"/>
      <c r="U19" s="202"/>
      <c r="V19" s="202">
        <f t="shared" si="11"/>
        <v>0</v>
      </c>
      <c r="W19" s="509">
        <f t="shared" si="12"/>
        <v>0</v>
      </c>
      <c r="X19" s="202"/>
      <c r="Y19" s="202"/>
      <c r="Z19" s="202"/>
      <c r="AA19" s="509">
        <f t="shared" si="26"/>
        <v>0</v>
      </c>
      <c r="AB19" s="202"/>
      <c r="AC19" s="202"/>
      <c r="AD19" s="202"/>
      <c r="AE19" s="509">
        <f t="shared" si="27"/>
        <v>0</v>
      </c>
      <c r="AF19" s="202"/>
      <c r="AG19" s="202"/>
      <c r="AH19" s="202"/>
      <c r="AI19" s="509">
        <f t="shared" si="28"/>
        <v>0</v>
      </c>
      <c r="AJ19" s="202"/>
      <c r="AK19" s="202"/>
      <c r="AL19" s="202"/>
      <c r="AM19" s="509">
        <f t="shared" si="29"/>
        <v>0</v>
      </c>
      <c r="AN19" s="202"/>
      <c r="AO19" s="202"/>
      <c r="AP19" s="202"/>
      <c r="AQ19" s="509">
        <f t="shared" si="24"/>
        <v>0</v>
      </c>
      <c r="AR19" s="202"/>
      <c r="AS19" s="202"/>
      <c r="AT19" s="202"/>
      <c r="AU19" s="509">
        <f t="shared" si="30"/>
        <v>0</v>
      </c>
      <c r="AV19" s="202"/>
      <c r="AW19" s="202"/>
      <c r="AX19" s="202"/>
      <c r="AY19" s="509">
        <f t="shared" si="31"/>
        <v>0</v>
      </c>
      <c r="AZ19" s="23">
        <f t="shared" si="1"/>
        <v>0</v>
      </c>
      <c r="BA19" s="23">
        <f t="shared" si="1"/>
        <v>0</v>
      </c>
      <c r="BB19" s="509">
        <f t="shared" si="13"/>
        <v>0</v>
      </c>
      <c r="BC19" s="23">
        <f t="shared" si="14"/>
        <v>0</v>
      </c>
      <c r="BD19" s="257">
        <f t="shared" si="14"/>
        <v>0</v>
      </c>
      <c r="BE19" s="257">
        <f t="shared" si="15"/>
        <v>0</v>
      </c>
      <c r="BF19" s="257">
        <f t="shared" si="16"/>
        <v>0</v>
      </c>
      <c r="BG19" s="23">
        <f t="shared" si="16"/>
        <v>0</v>
      </c>
      <c r="BH19" s="257">
        <f t="shared" si="17"/>
        <v>0</v>
      </c>
      <c r="BI19" s="23">
        <f t="shared" si="18"/>
        <v>0</v>
      </c>
      <c r="BJ19" s="23">
        <f t="shared" si="18"/>
        <v>0</v>
      </c>
      <c r="BK19" s="257">
        <f t="shared" si="19"/>
        <v>0</v>
      </c>
      <c r="BL19" s="23">
        <f t="shared" si="20"/>
        <v>0</v>
      </c>
      <c r="BM19" s="23">
        <f t="shared" si="2"/>
        <v>0</v>
      </c>
      <c r="BN19" s="257">
        <f t="shared" si="2"/>
        <v>0</v>
      </c>
      <c r="BO19" s="466">
        <f t="shared" si="21"/>
        <v>0</v>
      </c>
      <c r="BP19" s="472"/>
      <c r="BQ19" s="23">
        <f t="shared" si="3"/>
        <v>0</v>
      </c>
      <c r="BR19" s="23">
        <f t="shared" si="4"/>
        <v>0</v>
      </c>
      <c r="BS19" s="466">
        <f t="shared" si="22"/>
        <v>0</v>
      </c>
      <c r="BT19" s="509">
        <f t="shared" si="6"/>
        <v>0</v>
      </c>
      <c r="BU19" s="466">
        <f t="shared" si="7"/>
        <v>0</v>
      </c>
    </row>
    <row r="20" spans="1:73" ht="12.6" customHeight="1">
      <c r="A20" s="503" t="s">
        <v>84</v>
      </c>
      <c r="B20" s="129">
        <f t="shared" si="0"/>
        <v>0</v>
      </c>
      <c r="C20" s="257"/>
      <c r="D20" s="129">
        <v>0</v>
      </c>
      <c r="E20" s="129"/>
      <c r="F20" s="129"/>
      <c r="G20" s="509">
        <f t="shared" si="8"/>
        <v>0</v>
      </c>
      <c r="H20" s="129"/>
      <c r="I20" s="129"/>
      <c r="J20" s="129"/>
      <c r="K20" s="509">
        <f t="shared" si="9"/>
        <v>0</v>
      </c>
      <c r="L20" s="129"/>
      <c r="M20" s="129"/>
      <c r="N20" s="129"/>
      <c r="O20" s="509">
        <f t="shared" si="10"/>
        <v>0</v>
      </c>
      <c r="P20" s="129"/>
      <c r="Q20" s="129"/>
      <c r="R20" s="129"/>
      <c r="S20" s="509">
        <f t="shared" si="33"/>
        <v>0</v>
      </c>
      <c r="T20" s="129"/>
      <c r="U20" s="129"/>
      <c r="V20" s="129">
        <f t="shared" si="11"/>
        <v>0</v>
      </c>
      <c r="W20" s="509">
        <f t="shared" si="12"/>
        <v>0</v>
      </c>
      <c r="X20" s="129"/>
      <c r="Y20" s="129"/>
      <c r="Z20" s="129"/>
      <c r="AA20" s="509">
        <f t="shared" si="26"/>
        <v>0</v>
      </c>
      <c r="AB20" s="129"/>
      <c r="AC20" s="129"/>
      <c r="AD20" s="129"/>
      <c r="AE20" s="509">
        <f t="shared" si="27"/>
        <v>0</v>
      </c>
      <c r="AF20" s="129"/>
      <c r="AG20" s="129"/>
      <c r="AH20" s="129"/>
      <c r="AI20" s="509">
        <f t="shared" si="28"/>
        <v>0</v>
      </c>
      <c r="AJ20" s="129"/>
      <c r="AK20" s="129"/>
      <c r="AL20" s="129"/>
      <c r="AM20" s="509">
        <f t="shared" si="29"/>
        <v>0</v>
      </c>
      <c r="AN20" s="129"/>
      <c r="AO20" s="129"/>
      <c r="AP20" s="129"/>
      <c r="AQ20" s="509">
        <f t="shared" si="24"/>
        <v>0</v>
      </c>
      <c r="AR20" s="129"/>
      <c r="AS20" s="129"/>
      <c r="AT20" s="129"/>
      <c r="AU20" s="509">
        <f t="shared" si="30"/>
        <v>0</v>
      </c>
      <c r="AV20" s="129"/>
      <c r="AW20" s="129"/>
      <c r="AX20" s="129"/>
      <c r="AY20" s="509">
        <f t="shared" si="31"/>
        <v>0</v>
      </c>
      <c r="AZ20" s="23">
        <f t="shared" si="1"/>
        <v>0</v>
      </c>
      <c r="BA20" s="23">
        <f t="shared" si="1"/>
        <v>0</v>
      </c>
      <c r="BB20" s="509">
        <f t="shared" si="13"/>
        <v>0</v>
      </c>
      <c r="BC20" s="23">
        <f t="shared" si="14"/>
        <v>0</v>
      </c>
      <c r="BD20" s="257">
        <f t="shared" si="14"/>
        <v>0</v>
      </c>
      <c r="BE20" s="257">
        <f t="shared" si="15"/>
        <v>0</v>
      </c>
      <c r="BF20" s="257">
        <f t="shared" si="16"/>
        <v>0</v>
      </c>
      <c r="BG20" s="23">
        <f t="shared" si="16"/>
        <v>0</v>
      </c>
      <c r="BH20" s="257">
        <f t="shared" si="17"/>
        <v>0</v>
      </c>
      <c r="BI20" s="23">
        <f t="shared" si="18"/>
        <v>0</v>
      </c>
      <c r="BJ20" s="23">
        <f t="shared" si="18"/>
        <v>0</v>
      </c>
      <c r="BK20" s="257">
        <f t="shared" si="19"/>
        <v>0</v>
      </c>
      <c r="BL20" s="23">
        <f t="shared" si="20"/>
        <v>0</v>
      </c>
      <c r="BM20" s="23">
        <f t="shared" si="2"/>
        <v>0</v>
      </c>
      <c r="BN20" s="257">
        <f t="shared" si="2"/>
        <v>0</v>
      </c>
      <c r="BO20" s="466">
        <f t="shared" si="21"/>
        <v>0</v>
      </c>
      <c r="BP20" s="472"/>
      <c r="BQ20" s="23">
        <f t="shared" si="3"/>
        <v>0</v>
      </c>
      <c r="BR20" s="23">
        <f t="shared" si="4"/>
        <v>0</v>
      </c>
      <c r="BS20" s="466">
        <f t="shared" si="22"/>
        <v>0</v>
      </c>
      <c r="BT20" s="509">
        <f t="shared" si="6"/>
        <v>0</v>
      </c>
      <c r="BU20" s="466">
        <f t="shared" si="7"/>
        <v>0</v>
      </c>
    </row>
    <row r="21" spans="1:73" ht="12.6" customHeight="1">
      <c r="A21" s="254" t="s">
        <v>111</v>
      </c>
      <c r="B21" s="129">
        <f t="shared" si="0"/>
        <v>0</v>
      </c>
      <c r="C21" s="257"/>
      <c r="D21" s="129">
        <v>0</v>
      </c>
      <c r="E21" s="129"/>
      <c r="F21" s="129"/>
      <c r="G21" s="509">
        <f t="shared" si="8"/>
        <v>0</v>
      </c>
      <c r="H21" s="129"/>
      <c r="I21" s="129"/>
      <c r="J21" s="129"/>
      <c r="K21" s="509">
        <f t="shared" si="9"/>
        <v>0</v>
      </c>
      <c r="L21" s="129"/>
      <c r="M21" s="129"/>
      <c r="N21" s="129"/>
      <c r="O21" s="509">
        <f t="shared" si="10"/>
        <v>0</v>
      </c>
      <c r="P21" s="129"/>
      <c r="Q21" s="129"/>
      <c r="R21" s="129"/>
      <c r="S21" s="509">
        <f t="shared" si="33"/>
        <v>0</v>
      </c>
      <c r="T21" s="129"/>
      <c r="U21" s="129"/>
      <c r="V21" s="129">
        <f t="shared" si="11"/>
        <v>0</v>
      </c>
      <c r="W21" s="509">
        <f t="shared" si="12"/>
        <v>0</v>
      </c>
      <c r="X21" s="129"/>
      <c r="Y21" s="129"/>
      <c r="Z21" s="129"/>
      <c r="AA21" s="509">
        <f t="shared" si="26"/>
        <v>0</v>
      </c>
      <c r="AB21" s="129"/>
      <c r="AC21" s="129"/>
      <c r="AD21" s="129"/>
      <c r="AE21" s="509">
        <f t="shared" si="27"/>
        <v>0</v>
      </c>
      <c r="AF21" s="129"/>
      <c r="AG21" s="129"/>
      <c r="AH21" s="129"/>
      <c r="AI21" s="509">
        <f t="shared" si="28"/>
        <v>0</v>
      </c>
      <c r="AJ21" s="129"/>
      <c r="AK21" s="129"/>
      <c r="AL21" s="129"/>
      <c r="AM21" s="509">
        <f t="shared" si="29"/>
        <v>0</v>
      </c>
      <c r="AN21" s="129"/>
      <c r="AO21" s="129"/>
      <c r="AP21" s="129"/>
      <c r="AQ21" s="509">
        <f t="shared" si="24"/>
        <v>0</v>
      </c>
      <c r="AR21" s="129"/>
      <c r="AS21" s="129"/>
      <c r="AT21" s="129"/>
      <c r="AU21" s="509">
        <f t="shared" si="30"/>
        <v>0</v>
      </c>
      <c r="AV21" s="129"/>
      <c r="AW21" s="129"/>
      <c r="AX21" s="129"/>
      <c r="AY21" s="509">
        <f t="shared" si="31"/>
        <v>0</v>
      </c>
      <c r="AZ21" s="23">
        <f t="shared" si="1"/>
        <v>0</v>
      </c>
      <c r="BA21" s="23">
        <f t="shared" si="1"/>
        <v>0</v>
      </c>
      <c r="BB21" s="509">
        <f t="shared" si="13"/>
        <v>0</v>
      </c>
      <c r="BC21" s="23">
        <f t="shared" si="14"/>
        <v>0</v>
      </c>
      <c r="BD21" s="257">
        <f t="shared" si="14"/>
        <v>0</v>
      </c>
      <c r="BE21" s="257">
        <f t="shared" si="15"/>
        <v>0</v>
      </c>
      <c r="BF21" s="257">
        <f t="shared" si="16"/>
        <v>0</v>
      </c>
      <c r="BG21" s="23">
        <f t="shared" si="16"/>
        <v>0</v>
      </c>
      <c r="BH21" s="257">
        <f t="shared" si="17"/>
        <v>0</v>
      </c>
      <c r="BI21" s="23">
        <f t="shared" si="18"/>
        <v>0</v>
      </c>
      <c r="BJ21" s="23">
        <f t="shared" si="18"/>
        <v>0</v>
      </c>
      <c r="BK21" s="257">
        <f t="shared" si="19"/>
        <v>0</v>
      </c>
      <c r="BL21" s="23">
        <f t="shared" si="20"/>
        <v>0</v>
      </c>
      <c r="BM21" s="23">
        <f t="shared" si="2"/>
        <v>0</v>
      </c>
      <c r="BN21" s="257">
        <f t="shared" si="2"/>
        <v>0</v>
      </c>
      <c r="BO21" s="466">
        <f t="shared" si="21"/>
        <v>0</v>
      </c>
      <c r="BP21" s="472"/>
      <c r="BQ21" s="23">
        <f t="shared" si="3"/>
        <v>0</v>
      </c>
      <c r="BR21" s="23">
        <f t="shared" si="4"/>
        <v>0</v>
      </c>
      <c r="BS21" s="466">
        <f t="shared" si="22"/>
        <v>0</v>
      </c>
      <c r="BT21" s="509">
        <f t="shared" si="6"/>
        <v>0</v>
      </c>
      <c r="BU21" s="466">
        <f t="shared" si="7"/>
        <v>0</v>
      </c>
    </row>
    <row r="22" spans="1:73" ht="12.6" customHeight="1">
      <c r="A22" s="254" t="s">
        <v>106</v>
      </c>
      <c r="B22" s="129">
        <f t="shared" si="0"/>
        <v>0</v>
      </c>
      <c r="C22" s="257"/>
      <c r="D22" s="129"/>
      <c r="E22" s="129"/>
      <c r="F22" s="129"/>
      <c r="G22" s="509">
        <f t="shared" si="8"/>
        <v>0</v>
      </c>
      <c r="H22" s="129"/>
      <c r="I22" s="129"/>
      <c r="J22" s="129"/>
      <c r="K22" s="509">
        <f t="shared" si="9"/>
        <v>0</v>
      </c>
      <c r="L22" s="129"/>
      <c r="M22" s="129"/>
      <c r="N22" s="129"/>
      <c r="O22" s="509">
        <f t="shared" si="10"/>
        <v>0</v>
      </c>
      <c r="P22" s="129"/>
      <c r="Q22" s="129"/>
      <c r="R22" s="129"/>
      <c r="S22" s="509">
        <f t="shared" si="33"/>
        <v>0</v>
      </c>
      <c r="T22" s="129"/>
      <c r="U22" s="129"/>
      <c r="V22" s="129">
        <f>(T22*U22)/10^6</f>
        <v>0</v>
      </c>
      <c r="W22" s="509">
        <f t="shared" si="12"/>
        <v>0</v>
      </c>
      <c r="X22" s="129"/>
      <c r="Y22" s="129"/>
      <c r="Z22" s="129"/>
      <c r="AA22" s="509">
        <f t="shared" si="26"/>
        <v>0</v>
      </c>
      <c r="AB22" s="129"/>
      <c r="AC22" s="129"/>
      <c r="AD22" s="129"/>
      <c r="AE22" s="509">
        <f t="shared" si="27"/>
        <v>0</v>
      </c>
      <c r="AF22" s="129"/>
      <c r="AG22" s="129"/>
      <c r="AH22" s="129"/>
      <c r="AI22" s="509">
        <f t="shared" si="28"/>
        <v>0</v>
      </c>
      <c r="AJ22" s="129"/>
      <c r="AK22" s="129"/>
      <c r="AL22" s="129"/>
      <c r="AM22" s="509">
        <f t="shared" si="29"/>
        <v>0</v>
      </c>
      <c r="AN22" s="129"/>
      <c r="AO22" s="129"/>
      <c r="AP22" s="129"/>
      <c r="AQ22" s="509">
        <f t="shared" si="24"/>
        <v>0</v>
      </c>
      <c r="AR22" s="129"/>
      <c r="AS22" s="129"/>
      <c r="AT22" s="129"/>
      <c r="AU22" s="509">
        <f t="shared" si="30"/>
        <v>0</v>
      </c>
      <c r="AV22" s="129"/>
      <c r="AW22" s="129"/>
      <c r="AX22" s="129"/>
      <c r="AY22" s="509">
        <f t="shared" si="31"/>
        <v>0</v>
      </c>
      <c r="AZ22" s="23">
        <f t="shared" si="1"/>
        <v>0</v>
      </c>
      <c r="BA22" s="23">
        <f t="shared" si="1"/>
        <v>0</v>
      </c>
      <c r="BB22" s="509">
        <f t="shared" si="13"/>
        <v>0</v>
      </c>
      <c r="BC22" s="23">
        <f t="shared" si="14"/>
        <v>0</v>
      </c>
      <c r="BD22" s="257">
        <f t="shared" si="14"/>
        <v>0</v>
      </c>
      <c r="BE22" s="257">
        <f t="shared" si="15"/>
        <v>0</v>
      </c>
      <c r="BF22" s="257">
        <f t="shared" si="16"/>
        <v>0</v>
      </c>
      <c r="BG22" s="23">
        <f t="shared" si="16"/>
        <v>0</v>
      </c>
      <c r="BH22" s="257">
        <f t="shared" si="17"/>
        <v>0</v>
      </c>
      <c r="BI22" s="23">
        <f t="shared" si="18"/>
        <v>0</v>
      </c>
      <c r="BJ22" s="23">
        <f t="shared" si="18"/>
        <v>0</v>
      </c>
      <c r="BK22" s="257">
        <f t="shared" si="19"/>
        <v>0</v>
      </c>
      <c r="BL22" s="23">
        <f t="shared" si="20"/>
        <v>0</v>
      </c>
      <c r="BM22" s="23">
        <f t="shared" si="20"/>
        <v>0</v>
      </c>
      <c r="BN22" s="257">
        <f t="shared" si="20"/>
        <v>0</v>
      </c>
      <c r="BO22" s="466">
        <f t="shared" si="21"/>
        <v>0</v>
      </c>
      <c r="BP22" s="472"/>
      <c r="BQ22" s="23">
        <f t="shared" si="3"/>
        <v>0</v>
      </c>
      <c r="BR22" s="23">
        <f t="shared" si="4"/>
        <v>0</v>
      </c>
      <c r="BS22" s="466">
        <f t="shared" si="22"/>
        <v>0</v>
      </c>
      <c r="BT22" s="509">
        <f t="shared" si="6"/>
        <v>0</v>
      </c>
      <c r="BU22" s="466">
        <f t="shared" si="7"/>
        <v>0</v>
      </c>
    </row>
    <row r="23" spans="1:73" ht="12.6" customHeight="1">
      <c r="A23" s="503" t="s">
        <v>243</v>
      </c>
      <c r="B23" s="129">
        <f t="shared" si="0"/>
        <v>0</v>
      </c>
      <c r="C23" s="257">
        <v>143.1</v>
      </c>
      <c r="D23" s="129"/>
      <c r="E23" s="129"/>
      <c r="F23" s="129"/>
      <c r="G23" s="509">
        <f t="shared" si="8"/>
        <v>0</v>
      </c>
      <c r="H23" s="129"/>
      <c r="I23" s="129"/>
      <c r="J23" s="129"/>
      <c r="K23" s="509">
        <f t="shared" si="9"/>
        <v>0</v>
      </c>
      <c r="L23" s="129"/>
      <c r="M23" s="129">
        <f>256-86</f>
        <v>170</v>
      </c>
      <c r="N23" s="129">
        <v>1288</v>
      </c>
      <c r="O23" s="509">
        <f t="shared" si="10"/>
        <v>1.3094908240000003</v>
      </c>
      <c r="P23" s="129"/>
      <c r="Q23" s="129">
        <v>107</v>
      </c>
      <c r="R23" s="129">
        <v>1299</v>
      </c>
      <c r="S23" s="509">
        <f>Q23*(R23-C23)*67.28/10^7</f>
        <v>0.83212778639999996</v>
      </c>
      <c r="T23" s="129"/>
      <c r="U23" s="129">
        <v>10</v>
      </c>
      <c r="V23" s="129">
        <v>1366</v>
      </c>
      <c r="W23" s="509">
        <f>U23*(V23-904)*66.93/10^7</f>
        <v>3.0921660000000004E-2</v>
      </c>
      <c r="X23" s="129"/>
      <c r="Y23" s="129">
        <f>207-69</f>
        <v>138</v>
      </c>
      <c r="Z23" s="129">
        <v>1322</v>
      </c>
      <c r="AA23" s="509">
        <f t="shared" si="26"/>
        <v>1.0901736282000001</v>
      </c>
      <c r="AB23" s="129"/>
      <c r="AC23" s="129"/>
      <c r="AD23" s="129"/>
      <c r="AE23" s="509">
        <f t="shared" si="27"/>
        <v>0</v>
      </c>
      <c r="AF23" s="129"/>
      <c r="AG23" s="129"/>
      <c r="AH23" s="129"/>
      <c r="AI23" s="509">
        <f t="shared" si="28"/>
        <v>0</v>
      </c>
      <c r="AJ23" s="129"/>
      <c r="AK23" s="129"/>
      <c r="AL23" s="129"/>
      <c r="AM23" s="509">
        <f t="shared" si="29"/>
        <v>0</v>
      </c>
      <c r="AN23" s="129"/>
      <c r="AO23" s="129"/>
      <c r="AP23" s="129"/>
      <c r="AQ23" s="509">
        <f t="shared" si="24"/>
        <v>0</v>
      </c>
      <c r="AR23" s="129"/>
      <c r="AS23" s="129"/>
      <c r="AT23" s="129"/>
      <c r="AU23" s="509">
        <f t="shared" si="30"/>
        <v>0</v>
      </c>
      <c r="AV23" s="129"/>
      <c r="AW23" s="129"/>
      <c r="AX23" s="129"/>
      <c r="AY23" s="509">
        <f t="shared" si="31"/>
        <v>0</v>
      </c>
      <c r="AZ23" s="23">
        <f t="shared" si="1"/>
        <v>0</v>
      </c>
      <c r="BA23" s="23">
        <f t="shared" si="1"/>
        <v>170</v>
      </c>
      <c r="BB23" s="509">
        <f t="shared" si="13"/>
        <v>1.3094908240000003</v>
      </c>
      <c r="BC23" s="23">
        <f t="shared" si="14"/>
        <v>0</v>
      </c>
      <c r="BD23" s="257">
        <f t="shared" si="14"/>
        <v>255</v>
      </c>
      <c r="BE23" s="257">
        <f t="shared" si="15"/>
        <v>1.9532230745999999</v>
      </c>
      <c r="BF23" s="257">
        <f t="shared" si="16"/>
        <v>0</v>
      </c>
      <c r="BG23" s="23">
        <f t="shared" si="16"/>
        <v>0</v>
      </c>
      <c r="BH23" s="257">
        <f t="shared" si="17"/>
        <v>0</v>
      </c>
      <c r="BI23" s="23">
        <f t="shared" si="18"/>
        <v>0</v>
      </c>
      <c r="BJ23" s="23">
        <f t="shared" si="18"/>
        <v>0</v>
      </c>
      <c r="BK23" s="257">
        <f t="shared" si="19"/>
        <v>0</v>
      </c>
      <c r="BL23" s="23">
        <f t="shared" si="20"/>
        <v>0</v>
      </c>
      <c r="BM23" s="23">
        <f t="shared" si="20"/>
        <v>425</v>
      </c>
      <c r="BN23" s="257">
        <f t="shared" si="20"/>
        <v>3.2627138986000004</v>
      </c>
      <c r="BO23" s="466">
        <f t="shared" si="21"/>
        <v>0</v>
      </c>
      <c r="BP23" s="472"/>
      <c r="BQ23" s="23">
        <f t="shared" si="3"/>
        <v>0</v>
      </c>
      <c r="BR23" s="23">
        <f t="shared" si="4"/>
        <v>425</v>
      </c>
      <c r="BS23" s="466">
        <f t="shared" si="22"/>
        <v>0</v>
      </c>
      <c r="BT23" s="509">
        <f t="shared" si="6"/>
        <v>3.2627138986000004</v>
      </c>
      <c r="BU23" s="466">
        <f t="shared" si="7"/>
        <v>0</v>
      </c>
    </row>
    <row r="24" spans="1:73" ht="12.6" customHeight="1">
      <c r="A24" s="482" t="s">
        <v>73</v>
      </c>
      <c r="B24" s="457">
        <f>SUM(B6:B23)</f>
        <v>15500</v>
      </c>
      <c r="C24" s="458"/>
      <c r="D24" s="457">
        <f>SUM(D6:D23)</f>
        <v>544</v>
      </c>
      <c r="E24" s="457">
        <f>SUM(E6:E23)</f>
        <v>577</v>
      </c>
      <c r="F24" s="457"/>
      <c r="G24" s="511">
        <f>SUM(G6:G23)</f>
        <v>1.4296088426</v>
      </c>
      <c r="H24" s="457">
        <f>SUM(H6:H23)</f>
        <v>898</v>
      </c>
      <c r="I24" s="457">
        <f>SUM(I6:I23)</f>
        <v>948</v>
      </c>
      <c r="J24" s="457"/>
      <c r="K24" s="511">
        <f>SUM(K6:K23)</f>
        <v>3.5891126189999998</v>
      </c>
      <c r="L24" s="457">
        <f>SUM(L6:L23)</f>
        <v>980</v>
      </c>
      <c r="M24" s="457">
        <f>SUM(M6:M23)</f>
        <v>591</v>
      </c>
      <c r="N24" s="457"/>
      <c r="O24" s="511">
        <f>SUM(O6:O23)</f>
        <v>2.9772853248000004</v>
      </c>
      <c r="P24" s="457">
        <f>SUM(P6:P23)</f>
        <v>1409</v>
      </c>
      <c r="Q24" s="457">
        <f>SUM(Q6:Q23)</f>
        <v>533</v>
      </c>
      <c r="R24" s="457"/>
      <c r="S24" s="511">
        <f>SUM(S6:S23)</f>
        <v>2.4100173687999997</v>
      </c>
      <c r="T24" s="457">
        <f>SUM(T6:T23)</f>
        <v>1498</v>
      </c>
      <c r="U24" s="457">
        <f>SUM(U6:U23)</f>
        <v>487</v>
      </c>
      <c r="V24" s="457"/>
      <c r="W24" s="511">
        <f>SUM(W6:W23)</f>
        <v>2.4740828439000007</v>
      </c>
      <c r="X24" s="457">
        <f>SUM(X6:X23)</f>
        <v>1594</v>
      </c>
      <c r="Y24" s="457">
        <f>SUM(Y6:Y23)</f>
        <v>947</v>
      </c>
      <c r="Z24" s="457">
        <f>IF(ISERROR(#REF!/X24*1000000),0,(#REF!/X24*1000000))</f>
        <v>0</v>
      </c>
      <c r="AA24" s="511">
        <f>SUM(AA6:AA23)</f>
        <v>4.53751514</v>
      </c>
      <c r="AB24" s="457">
        <f>SUM(AB6:AB23)</f>
        <v>1587</v>
      </c>
      <c r="AC24" s="457">
        <f>SUM(AC6:AC23)</f>
        <v>1330</v>
      </c>
      <c r="AD24" s="457">
        <f>IF(ISERROR(#REF!/AB24*1000000),0,(#REF!/AB24*1000000))</f>
        <v>0</v>
      </c>
      <c r="AE24" s="511">
        <f>SUM(AE6:AE23)</f>
        <v>5.1948102517265822</v>
      </c>
      <c r="AF24" s="457">
        <f>SUM(AF6:AF23)</f>
        <v>1531</v>
      </c>
      <c r="AG24" s="457">
        <f>SUM(AG6:AG23)</f>
        <v>568</v>
      </c>
      <c r="AH24" s="457">
        <f>IF(ISERROR(#REF!/AF24*1000000),0,(#REF!/AF24*1000000))</f>
        <v>0</v>
      </c>
      <c r="AI24" s="511">
        <f>SUM(AI6:AI23)</f>
        <v>2.2249015372998286</v>
      </c>
      <c r="AJ24" s="457">
        <f>SUM(AJ6:AJ23)</f>
        <v>1580</v>
      </c>
      <c r="AK24" s="457">
        <f>SUM(AK6:AK23)</f>
        <v>1375</v>
      </c>
      <c r="AL24" s="457">
        <f>IF(ISERROR(#REF!/AJ24*1000000),0,(#REF!/AJ24*1000000))</f>
        <v>0</v>
      </c>
      <c r="AM24" s="511">
        <f>SUM(AM6:AM23)</f>
        <v>4.6617347521234116</v>
      </c>
      <c r="AN24" s="457">
        <f>SUM(AN6:AN23)</f>
        <v>1385</v>
      </c>
      <c r="AO24" s="457">
        <f>SUM(AO6:AO23)</f>
        <v>820</v>
      </c>
      <c r="AP24" s="457">
        <f>IF(ISERROR(#REF!/AN24*1000000),0,(#REF!/AN24*1000000))</f>
        <v>0</v>
      </c>
      <c r="AQ24" s="511">
        <f>SUM(AQ6:AQ23)</f>
        <v>1.7722847079199919</v>
      </c>
      <c r="AR24" s="457">
        <f>SUM(AR6:AR23)</f>
        <v>1577</v>
      </c>
      <c r="AS24" s="457">
        <f>SUM(AS6:AS23)</f>
        <v>1022</v>
      </c>
      <c r="AT24" s="457">
        <f>IF(ISERROR(#REF!/AR24*1000000),0,(#REF!/AR24*1000000))</f>
        <v>0</v>
      </c>
      <c r="AU24" s="511">
        <f>SUM(AU6:AU23)</f>
        <v>2.1206090380576534</v>
      </c>
      <c r="AV24" s="457">
        <f>SUM(AV6:AV23)</f>
        <v>917</v>
      </c>
      <c r="AW24" s="457">
        <f>SUM(AW6:AW23)</f>
        <v>0</v>
      </c>
      <c r="AX24" s="457">
        <f>IF(ISERROR(#REF!/AV24*1000000),0,(#REF!/AV24*1000000))</f>
        <v>0</v>
      </c>
      <c r="AY24" s="511">
        <f>SUM(AY6:AY23)</f>
        <v>0</v>
      </c>
      <c r="AZ24" s="457">
        <f t="shared" ref="AZ24:BN24" si="34">SUM(AZ6:AZ23)</f>
        <v>2422</v>
      </c>
      <c r="BA24" s="458">
        <f t="shared" si="34"/>
        <v>2116</v>
      </c>
      <c r="BB24" s="511">
        <f t="shared" si="34"/>
        <v>7.9960067863999997</v>
      </c>
      <c r="BC24" s="457">
        <f t="shared" si="34"/>
        <v>4501</v>
      </c>
      <c r="BD24" s="458">
        <f t="shared" si="34"/>
        <v>1967</v>
      </c>
      <c r="BE24" s="458">
        <f t="shared" si="34"/>
        <v>9.4216153526999999</v>
      </c>
      <c r="BF24" s="458">
        <f t="shared" si="34"/>
        <v>4698</v>
      </c>
      <c r="BG24" s="457">
        <f t="shared" si="34"/>
        <v>3273</v>
      </c>
      <c r="BH24" s="458">
        <f t="shared" si="34"/>
        <v>12.081446541149823</v>
      </c>
      <c r="BI24" s="457">
        <f t="shared" si="34"/>
        <v>3879</v>
      </c>
      <c r="BJ24" s="458">
        <f t="shared" si="34"/>
        <v>1842</v>
      </c>
      <c r="BK24" s="458">
        <f t="shared" si="34"/>
        <v>3.8928937459776454</v>
      </c>
      <c r="BL24" s="458">
        <f t="shared" si="34"/>
        <v>15500</v>
      </c>
      <c r="BM24" s="458">
        <f t="shared" si="34"/>
        <v>9198</v>
      </c>
      <c r="BN24" s="458">
        <f t="shared" si="34"/>
        <v>33.391962426227465</v>
      </c>
      <c r="BO24" s="525">
        <f>IFERROR(BM24/BL24,0)</f>
        <v>0.59341935483870967</v>
      </c>
      <c r="BP24" s="472"/>
      <c r="BQ24" s="457">
        <f t="shared" ref="BQ24:BR24" si="35">SUM(BQ6:BQ23)</f>
        <v>6923</v>
      </c>
      <c r="BR24" s="457">
        <f t="shared" si="35"/>
        <v>4083</v>
      </c>
      <c r="BS24" s="467">
        <f t="shared" ref="BS24:BS70" si="36">IFERROR(BR24/BQ24,0)</f>
        <v>0.58977321970244112</v>
      </c>
      <c r="BT24" s="511">
        <f t="shared" ref="BT24" si="37">SUM(BT6:BT23)</f>
        <v>17.417622139100001</v>
      </c>
      <c r="BU24" s="525">
        <f t="shared" si="7"/>
        <v>0.26341935483870965</v>
      </c>
    </row>
    <row r="25" spans="1:73" s="31" customFormat="1" ht="12.6" customHeight="1">
      <c r="A25" s="504"/>
      <c r="B25" s="459"/>
      <c r="C25" s="460"/>
      <c r="D25" s="459"/>
      <c r="E25" s="459"/>
      <c r="F25" s="459"/>
      <c r="G25" s="512"/>
      <c r="H25" s="459"/>
      <c r="I25" s="459"/>
      <c r="J25" s="459"/>
      <c r="K25" s="512"/>
      <c r="L25" s="459"/>
      <c r="M25" s="459"/>
      <c r="N25" s="459"/>
      <c r="O25" s="512"/>
      <c r="P25" s="459"/>
      <c r="Q25" s="459"/>
      <c r="R25" s="459"/>
      <c r="S25" s="512"/>
      <c r="T25" s="459"/>
      <c r="U25" s="459"/>
      <c r="V25" s="459"/>
      <c r="W25" s="512"/>
      <c r="X25" s="459"/>
      <c r="Y25" s="459"/>
      <c r="Z25" s="459"/>
      <c r="AA25" s="512"/>
      <c r="AB25" s="459"/>
      <c r="AC25" s="459"/>
      <c r="AD25" s="459"/>
      <c r="AE25" s="512"/>
      <c r="AF25" s="459"/>
      <c r="AG25" s="459"/>
      <c r="AH25" s="459"/>
      <c r="AI25" s="512"/>
      <c r="AJ25" s="459"/>
      <c r="AK25" s="459"/>
      <c r="AL25" s="459"/>
      <c r="AM25" s="512"/>
      <c r="AN25" s="459"/>
      <c r="AO25" s="459"/>
      <c r="AP25" s="459"/>
      <c r="AQ25" s="512"/>
      <c r="AR25" s="459"/>
      <c r="AS25" s="459"/>
      <c r="AT25" s="459"/>
      <c r="AU25" s="512"/>
      <c r="AV25" s="459"/>
      <c r="AW25" s="459"/>
      <c r="AX25" s="459"/>
      <c r="AY25" s="512"/>
      <c r="AZ25" s="459"/>
      <c r="BA25" s="460"/>
      <c r="BB25" s="512"/>
      <c r="BC25" s="459"/>
      <c r="BD25" s="460"/>
      <c r="BE25" s="460"/>
      <c r="BF25" s="460"/>
      <c r="BG25" s="459"/>
      <c r="BH25" s="460"/>
      <c r="BI25" s="459"/>
      <c r="BJ25" s="459"/>
      <c r="BK25" s="460"/>
      <c r="BL25" s="459"/>
      <c r="BM25" s="459"/>
      <c r="BN25" s="460"/>
      <c r="BO25" s="526">
        <f t="shared" ref="BO25:BO80" si="38">IFERROR(BL25/BK25,0)</f>
        <v>0</v>
      </c>
      <c r="BP25" s="473"/>
      <c r="BQ25" s="459"/>
      <c r="BR25" s="492"/>
      <c r="BS25" s="468">
        <f t="shared" si="36"/>
        <v>0</v>
      </c>
      <c r="BT25" s="528"/>
      <c r="BU25" s="526">
        <f t="shared" si="7"/>
        <v>0</v>
      </c>
    </row>
    <row r="26" spans="1:73" ht="12.6" customHeight="1">
      <c r="A26" s="254" t="s">
        <v>33</v>
      </c>
      <c r="B26" s="129">
        <f t="shared" ref="B26:B53" si="39">D26+H26+L26+P26+T26+X26+AB26+AF26+AJ26+AN26+AR26+AV26</f>
        <v>0</v>
      </c>
      <c r="C26" s="257">
        <v>48.428571428571431</v>
      </c>
      <c r="D26" s="129">
        <v>0</v>
      </c>
      <c r="E26" s="129"/>
      <c r="F26" s="129"/>
      <c r="G26" s="509">
        <f t="shared" ref="G26:G53" si="40">E26*(F26-C26)*66.47/10^7</f>
        <v>0</v>
      </c>
      <c r="H26" s="129"/>
      <c r="I26" s="129"/>
      <c r="J26" s="129"/>
      <c r="K26" s="509">
        <f t="shared" ref="K26:K53" si="41">I26*(J26-C26)*66.91/10^7</f>
        <v>0</v>
      </c>
      <c r="L26" s="129"/>
      <c r="M26" s="129"/>
      <c r="N26" s="129"/>
      <c r="O26" s="509">
        <f t="shared" ref="O26:O53" si="42">M26*(N26-C26)*67.28/10^7</f>
        <v>0</v>
      </c>
      <c r="P26" s="129"/>
      <c r="Q26" s="129"/>
      <c r="R26" s="129"/>
      <c r="S26" s="509">
        <f t="shared" ref="S26:S53" si="43">Q26*(R26-C26)*67.28/10^7</f>
        <v>0</v>
      </c>
      <c r="T26" s="129"/>
      <c r="U26" s="129"/>
      <c r="V26" s="129">
        <f t="shared" ref="V26:V37" si="44">(T26*U26)/10^6</f>
        <v>0</v>
      </c>
      <c r="W26" s="509">
        <f t="shared" ref="W26:W53" si="45">U26*(V26-C26)*66.93/10^7</f>
        <v>0</v>
      </c>
      <c r="X26" s="129"/>
      <c r="Y26" s="129"/>
      <c r="Z26" s="129"/>
      <c r="AA26" s="509">
        <f t="shared" ref="AA26:AA53" si="46">Y26*(Z26-C26)*67.01/10^7</f>
        <v>0</v>
      </c>
      <c r="AB26" s="129"/>
      <c r="AC26" s="129"/>
      <c r="AD26" s="129"/>
      <c r="AE26" s="509">
        <f t="shared" ref="AE26:AE53" si="47">AC26*(AD26-G26)*66.73/10^7</f>
        <v>0</v>
      </c>
      <c r="AF26" s="129"/>
      <c r="AG26" s="129"/>
      <c r="AH26" s="129"/>
      <c r="AI26" s="509">
        <f t="shared" ref="AI26:AI53" si="48">AG26*(AH26-K26)*67.58/10^7</f>
        <v>0</v>
      </c>
      <c r="AJ26" s="129"/>
      <c r="AK26" s="129"/>
      <c r="AL26" s="129"/>
      <c r="AM26" s="509">
        <f t="shared" ref="AM26:AM53" si="49">AK26*(AL26-O26)*67.01/10^7</f>
        <v>0</v>
      </c>
      <c r="AN26" s="129"/>
      <c r="AO26" s="129"/>
      <c r="AP26" s="129"/>
      <c r="AQ26" s="509">
        <f t="shared" ref="AQ26:AQ53" si="50">AO26*(AP26-S26)*68.01/10^7</f>
        <v>0</v>
      </c>
      <c r="AR26" s="129"/>
      <c r="AS26" s="129"/>
      <c r="AT26" s="129"/>
      <c r="AU26" s="509">
        <f t="shared" ref="AU26:AU53" si="51">AS26*(AT26-W26)*67.01/10^7</f>
        <v>0</v>
      </c>
      <c r="AV26" s="129"/>
      <c r="AW26" s="129"/>
      <c r="AX26" s="129"/>
      <c r="AY26" s="509">
        <f t="shared" ref="AY26:AY53" si="52">AW26*(AX26-AA26)*67.01/10^7</f>
        <v>0</v>
      </c>
      <c r="AZ26" s="23">
        <f t="shared" ref="AZ26:BA53" si="53">+D26+H26+L26</f>
        <v>0</v>
      </c>
      <c r="BA26" s="23">
        <f t="shared" si="53"/>
        <v>0</v>
      </c>
      <c r="BB26" s="509">
        <f t="shared" ref="BB26:BB53" si="54">+G26+K26+O26</f>
        <v>0</v>
      </c>
      <c r="BC26" s="23">
        <f t="shared" ref="BC26:BD53" si="55">+P26+T26+X26</f>
        <v>0</v>
      </c>
      <c r="BD26" s="257">
        <f t="shared" si="55"/>
        <v>0</v>
      </c>
      <c r="BE26" s="257">
        <f t="shared" ref="BE26:BE53" si="56">S26+W26+AA26</f>
        <v>0</v>
      </c>
      <c r="BF26" s="257">
        <f t="shared" ref="BF26:BG53" si="57">AB26+AF26+AJ26</f>
        <v>0</v>
      </c>
      <c r="BG26" s="23">
        <f t="shared" si="57"/>
        <v>0</v>
      </c>
      <c r="BH26" s="257">
        <f t="shared" ref="BH26:BH53" si="58">AE26+AI26+AM26</f>
        <v>0</v>
      </c>
      <c r="BI26" s="23">
        <f t="shared" ref="BI26:BJ53" si="59">+AN26+AR26+AV26</f>
        <v>0</v>
      </c>
      <c r="BJ26" s="23">
        <f t="shared" si="59"/>
        <v>0</v>
      </c>
      <c r="BK26" s="257">
        <f t="shared" ref="BK26:BK53" si="60">AQ26+AU26+AY26</f>
        <v>0</v>
      </c>
      <c r="BL26" s="23">
        <f t="shared" ref="BL26:BN53" si="61">AZ26+BC26+BF26+BI26</f>
        <v>0</v>
      </c>
      <c r="BM26" s="23">
        <f t="shared" si="61"/>
        <v>0</v>
      </c>
      <c r="BN26" s="257">
        <f t="shared" si="61"/>
        <v>0</v>
      </c>
      <c r="BO26" s="466">
        <f t="shared" ref="BO26:BO53" si="62">IFERROR(BM26/BL26,0)</f>
        <v>0</v>
      </c>
      <c r="BP26" s="472"/>
      <c r="BQ26" s="23">
        <f t="shared" ref="BQ26:BQ53" si="63">D26+H26+L26+P26+T26+X26</f>
        <v>0</v>
      </c>
      <c r="BR26" s="23">
        <f t="shared" ref="BR26:BR53" si="64">E26+I26+M26+Q26+U26+Y26</f>
        <v>0</v>
      </c>
      <c r="BS26" s="466">
        <f t="shared" si="36"/>
        <v>0</v>
      </c>
      <c r="BT26" s="509">
        <f t="shared" ref="BT26:BT53" si="65">G26+K26+O26+S26+W26+AA26</f>
        <v>0</v>
      </c>
      <c r="BU26" s="466">
        <f t="shared" si="7"/>
        <v>0</v>
      </c>
    </row>
    <row r="27" spans="1:73" ht="12.6" customHeight="1">
      <c r="A27" s="254" t="s">
        <v>34</v>
      </c>
      <c r="B27" s="129">
        <f t="shared" si="39"/>
        <v>0</v>
      </c>
      <c r="C27" s="257">
        <v>66.828571428571422</v>
      </c>
      <c r="D27" s="129">
        <v>0</v>
      </c>
      <c r="E27" s="129"/>
      <c r="F27" s="129"/>
      <c r="G27" s="509">
        <f t="shared" si="40"/>
        <v>0</v>
      </c>
      <c r="H27" s="129"/>
      <c r="I27" s="129"/>
      <c r="J27" s="129"/>
      <c r="K27" s="509">
        <f t="shared" si="41"/>
        <v>0</v>
      </c>
      <c r="L27" s="129"/>
      <c r="M27" s="129"/>
      <c r="N27" s="129"/>
      <c r="O27" s="509">
        <f t="shared" si="42"/>
        <v>0</v>
      </c>
      <c r="P27" s="129"/>
      <c r="Q27" s="129"/>
      <c r="R27" s="129"/>
      <c r="S27" s="509">
        <f t="shared" si="43"/>
        <v>0</v>
      </c>
      <c r="T27" s="129"/>
      <c r="U27" s="129"/>
      <c r="V27" s="129">
        <f t="shared" si="44"/>
        <v>0</v>
      </c>
      <c r="W27" s="509">
        <f t="shared" si="45"/>
        <v>0</v>
      </c>
      <c r="X27" s="129"/>
      <c r="Y27" s="129"/>
      <c r="Z27" s="129"/>
      <c r="AA27" s="509">
        <f t="shared" si="46"/>
        <v>0</v>
      </c>
      <c r="AB27" s="129"/>
      <c r="AC27" s="129"/>
      <c r="AD27" s="129"/>
      <c r="AE27" s="509">
        <f t="shared" si="47"/>
        <v>0</v>
      </c>
      <c r="AF27" s="129"/>
      <c r="AG27" s="129"/>
      <c r="AH27" s="129"/>
      <c r="AI27" s="509">
        <f t="shared" si="48"/>
        <v>0</v>
      </c>
      <c r="AJ27" s="129"/>
      <c r="AK27" s="129"/>
      <c r="AL27" s="129"/>
      <c r="AM27" s="509">
        <f t="shared" si="49"/>
        <v>0</v>
      </c>
      <c r="AN27" s="129"/>
      <c r="AO27" s="129"/>
      <c r="AP27" s="129"/>
      <c r="AQ27" s="509">
        <f t="shared" si="50"/>
        <v>0</v>
      </c>
      <c r="AR27" s="129"/>
      <c r="AS27" s="129"/>
      <c r="AT27" s="129"/>
      <c r="AU27" s="509">
        <f t="shared" si="51"/>
        <v>0</v>
      </c>
      <c r="AV27" s="129"/>
      <c r="AW27" s="129"/>
      <c r="AX27" s="129"/>
      <c r="AY27" s="509">
        <f t="shared" si="52"/>
        <v>0</v>
      </c>
      <c r="AZ27" s="23">
        <f t="shared" si="53"/>
        <v>0</v>
      </c>
      <c r="BA27" s="23">
        <f t="shared" si="53"/>
        <v>0</v>
      </c>
      <c r="BB27" s="509">
        <f t="shared" si="54"/>
        <v>0</v>
      </c>
      <c r="BC27" s="23">
        <f t="shared" si="55"/>
        <v>0</v>
      </c>
      <c r="BD27" s="257">
        <f t="shared" si="55"/>
        <v>0</v>
      </c>
      <c r="BE27" s="257">
        <f t="shared" si="56"/>
        <v>0</v>
      </c>
      <c r="BF27" s="257">
        <f t="shared" si="57"/>
        <v>0</v>
      </c>
      <c r="BG27" s="23">
        <f t="shared" si="57"/>
        <v>0</v>
      </c>
      <c r="BH27" s="257">
        <f t="shared" si="58"/>
        <v>0</v>
      </c>
      <c r="BI27" s="23">
        <f t="shared" si="59"/>
        <v>0</v>
      </c>
      <c r="BJ27" s="23">
        <f t="shared" si="59"/>
        <v>0</v>
      </c>
      <c r="BK27" s="257">
        <f t="shared" si="60"/>
        <v>0</v>
      </c>
      <c r="BL27" s="23">
        <f t="shared" si="61"/>
        <v>0</v>
      </c>
      <c r="BM27" s="23">
        <f t="shared" si="61"/>
        <v>0</v>
      </c>
      <c r="BN27" s="257">
        <f t="shared" si="61"/>
        <v>0</v>
      </c>
      <c r="BO27" s="466">
        <f t="shared" si="62"/>
        <v>0</v>
      </c>
      <c r="BP27" s="472"/>
      <c r="BQ27" s="23">
        <f t="shared" si="63"/>
        <v>0</v>
      </c>
      <c r="BR27" s="23">
        <f t="shared" si="64"/>
        <v>0</v>
      </c>
      <c r="BS27" s="466">
        <f t="shared" si="36"/>
        <v>0</v>
      </c>
      <c r="BT27" s="509">
        <f t="shared" si="65"/>
        <v>0</v>
      </c>
      <c r="BU27" s="466">
        <f t="shared" si="7"/>
        <v>0</v>
      </c>
    </row>
    <row r="28" spans="1:73" ht="12.6" customHeight="1">
      <c r="A28" s="254" t="s">
        <v>62</v>
      </c>
      <c r="B28" s="129">
        <f t="shared" si="39"/>
        <v>0</v>
      </c>
      <c r="C28" s="257">
        <v>0</v>
      </c>
      <c r="D28" s="129"/>
      <c r="E28" s="129"/>
      <c r="F28" s="129"/>
      <c r="G28" s="509">
        <f t="shared" si="40"/>
        <v>0</v>
      </c>
      <c r="H28" s="129"/>
      <c r="I28" s="129"/>
      <c r="J28" s="129"/>
      <c r="K28" s="509">
        <f t="shared" si="41"/>
        <v>0</v>
      </c>
      <c r="L28" s="129"/>
      <c r="M28" s="129"/>
      <c r="N28" s="129"/>
      <c r="O28" s="509">
        <f t="shared" si="42"/>
        <v>0</v>
      </c>
      <c r="P28" s="129"/>
      <c r="Q28" s="129"/>
      <c r="R28" s="129"/>
      <c r="S28" s="509">
        <f t="shared" si="43"/>
        <v>0</v>
      </c>
      <c r="T28" s="129"/>
      <c r="U28" s="129"/>
      <c r="V28" s="129">
        <f t="shared" si="44"/>
        <v>0</v>
      </c>
      <c r="W28" s="509">
        <f t="shared" si="45"/>
        <v>0</v>
      </c>
      <c r="X28" s="129"/>
      <c r="Y28" s="129"/>
      <c r="Z28" s="129"/>
      <c r="AA28" s="509">
        <f t="shared" si="46"/>
        <v>0</v>
      </c>
      <c r="AB28" s="129"/>
      <c r="AC28" s="129"/>
      <c r="AD28" s="129"/>
      <c r="AE28" s="509">
        <f t="shared" si="47"/>
        <v>0</v>
      </c>
      <c r="AF28" s="129"/>
      <c r="AG28" s="129"/>
      <c r="AH28" s="129"/>
      <c r="AI28" s="509">
        <f t="shared" si="48"/>
        <v>0</v>
      </c>
      <c r="AJ28" s="129"/>
      <c r="AK28" s="129"/>
      <c r="AL28" s="129"/>
      <c r="AM28" s="509">
        <f t="shared" si="49"/>
        <v>0</v>
      </c>
      <c r="AN28" s="129"/>
      <c r="AO28" s="129"/>
      <c r="AP28" s="129"/>
      <c r="AQ28" s="509">
        <f t="shared" si="50"/>
        <v>0</v>
      </c>
      <c r="AR28" s="129"/>
      <c r="AS28" s="129"/>
      <c r="AT28" s="129"/>
      <c r="AU28" s="509">
        <f t="shared" si="51"/>
        <v>0</v>
      </c>
      <c r="AV28" s="129"/>
      <c r="AW28" s="129"/>
      <c r="AX28" s="129"/>
      <c r="AY28" s="509">
        <f t="shared" si="52"/>
        <v>0</v>
      </c>
      <c r="AZ28" s="23">
        <f t="shared" si="53"/>
        <v>0</v>
      </c>
      <c r="BA28" s="23">
        <f t="shared" si="53"/>
        <v>0</v>
      </c>
      <c r="BB28" s="509">
        <f t="shared" si="54"/>
        <v>0</v>
      </c>
      <c r="BC28" s="23">
        <f t="shared" si="55"/>
        <v>0</v>
      </c>
      <c r="BD28" s="257">
        <f t="shared" si="55"/>
        <v>0</v>
      </c>
      <c r="BE28" s="257">
        <f t="shared" si="56"/>
        <v>0</v>
      </c>
      <c r="BF28" s="257">
        <f t="shared" si="57"/>
        <v>0</v>
      </c>
      <c r="BG28" s="23">
        <f t="shared" si="57"/>
        <v>0</v>
      </c>
      <c r="BH28" s="257">
        <f t="shared" si="58"/>
        <v>0</v>
      </c>
      <c r="BI28" s="23">
        <f t="shared" si="59"/>
        <v>0</v>
      </c>
      <c r="BJ28" s="23">
        <f t="shared" si="59"/>
        <v>0</v>
      </c>
      <c r="BK28" s="257">
        <f t="shared" si="60"/>
        <v>0</v>
      </c>
      <c r="BL28" s="23">
        <f t="shared" si="61"/>
        <v>0</v>
      </c>
      <c r="BM28" s="23">
        <f t="shared" si="61"/>
        <v>0</v>
      </c>
      <c r="BN28" s="257">
        <f t="shared" si="61"/>
        <v>0</v>
      </c>
      <c r="BO28" s="466">
        <f t="shared" si="62"/>
        <v>0</v>
      </c>
      <c r="BP28" s="472"/>
      <c r="BQ28" s="23">
        <f t="shared" si="63"/>
        <v>0</v>
      </c>
      <c r="BR28" s="23">
        <f t="shared" si="64"/>
        <v>0</v>
      </c>
      <c r="BS28" s="466">
        <f t="shared" si="36"/>
        <v>0</v>
      </c>
      <c r="BT28" s="509">
        <f t="shared" si="65"/>
        <v>0</v>
      </c>
      <c r="BU28" s="466">
        <f t="shared" si="7"/>
        <v>0</v>
      </c>
    </row>
    <row r="29" spans="1:73" ht="12.6" customHeight="1">
      <c r="A29" s="254" t="s">
        <v>32</v>
      </c>
      <c r="B29" s="129">
        <f t="shared" si="39"/>
        <v>0</v>
      </c>
      <c r="C29" s="257">
        <v>48.428571428571431</v>
      </c>
      <c r="D29" s="129"/>
      <c r="E29" s="129"/>
      <c r="F29" s="129"/>
      <c r="G29" s="509">
        <f t="shared" si="40"/>
        <v>0</v>
      </c>
      <c r="H29" s="129"/>
      <c r="I29" s="129"/>
      <c r="J29" s="129"/>
      <c r="K29" s="509">
        <f t="shared" si="41"/>
        <v>0</v>
      </c>
      <c r="L29" s="129"/>
      <c r="M29" s="129"/>
      <c r="N29" s="129"/>
      <c r="O29" s="509">
        <f t="shared" si="42"/>
        <v>0</v>
      </c>
      <c r="P29" s="129"/>
      <c r="Q29" s="129"/>
      <c r="R29" s="129"/>
      <c r="S29" s="509">
        <f t="shared" si="43"/>
        <v>0</v>
      </c>
      <c r="T29" s="129"/>
      <c r="U29" s="129"/>
      <c r="V29" s="129">
        <f t="shared" si="44"/>
        <v>0</v>
      </c>
      <c r="W29" s="509">
        <f t="shared" si="45"/>
        <v>0</v>
      </c>
      <c r="X29" s="129"/>
      <c r="Y29" s="129"/>
      <c r="Z29" s="129"/>
      <c r="AA29" s="509">
        <f t="shared" si="46"/>
        <v>0</v>
      </c>
      <c r="AB29" s="129"/>
      <c r="AC29" s="129"/>
      <c r="AD29" s="129"/>
      <c r="AE29" s="509">
        <f t="shared" si="47"/>
        <v>0</v>
      </c>
      <c r="AF29" s="129"/>
      <c r="AG29" s="129"/>
      <c r="AH29" s="129"/>
      <c r="AI29" s="509">
        <f t="shared" si="48"/>
        <v>0</v>
      </c>
      <c r="AJ29" s="129"/>
      <c r="AK29" s="129"/>
      <c r="AL29" s="129"/>
      <c r="AM29" s="509">
        <f t="shared" si="49"/>
        <v>0</v>
      </c>
      <c r="AN29" s="129"/>
      <c r="AO29" s="129"/>
      <c r="AP29" s="129"/>
      <c r="AQ29" s="509">
        <f t="shared" si="50"/>
        <v>0</v>
      </c>
      <c r="AR29" s="129"/>
      <c r="AS29" s="129"/>
      <c r="AT29" s="129"/>
      <c r="AU29" s="509">
        <f t="shared" si="51"/>
        <v>0</v>
      </c>
      <c r="AV29" s="129"/>
      <c r="AW29" s="129"/>
      <c r="AX29" s="129"/>
      <c r="AY29" s="509">
        <f t="shared" si="52"/>
        <v>0</v>
      </c>
      <c r="AZ29" s="23">
        <f t="shared" si="53"/>
        <v>0</v>
      </c>
      <c r="BA29" s="23">
        <f t="shared" si="53"/>
        <v>0</v>
      </c>
      <c r="BB29" s="509">
        <f t="shared" si="54"/>
        <v>0</v>
      </c>
      <c r="BC29" s="23">
        <f t="shared" si="55"/>
        <v>0</v>
      </c>
      <c r="BD29" s="257">
        <f t="shared" si="55"/>
        <v>0</v>
      </c>
      <c r="BE29" s="257">
        <f t="shared" si="56"/>
        <v>0</v>
      </c>
      <c r="BF29" s="257">
        <f t="shared" si="57"/>
        <v>0</v>
      </c>
      <c r="BG29" s="23">
        <f t="shared" si="57"/>
        <v>0</v>
      </c>
      <c r="BH29" s="257">
        <f t="shared" si="58"/>
        <v>0</v>
      </c>
      <c r="BI29" s="23">
        <f t="shared" si="59"/>
        <v>0</v>
      </c>
      <c r="BJ29" s="23">
        <f t="shared" si="59"/>
        <v>0</v>
      </c>
      <c r="BK29" s="257">
        <f t="shared" si="60"/>
        <v>0</v>
      </c>
      <c r="BL29" s="23">
        <f t="shared" si="61"/>
        <v>0</v>
      </c>
      <c r="BM29" s="23">
        <f t="shared" si="61"/>
        <v>0</v>
      </c>
      <c r="BN29" s="257">
        <f t="shared" si="61"/>
        <v>0</v>
      </c>
      <c r="BO29" s="466">
        <f t="shared" si="62"/>
        <v>0</v>
      </c>
      <c r="BP29" s="472"/>
      <c r="BQ29" s="23">
        <f t="shared" si="63"/>
        <v>0</v>
      </c>
      <c r="BR29" s="23">
        <f t="shared" si="64"/>
        <v>0</v>
      </c>
      <c r="BS29" s="466">
        <f t="shared" si="36"/>
        <v>0</v>
      </c>
      <c r="BT29" s="509">
        <f t="shared" si="65"/>
        <v>0</v>
      </c>
      <c r="BU29" s="466">
        <f t="shared" si="7"/>
        <v>0</v>
      </c>
    </row>
    <row r="30" spans="1:73" ht="12.6" customHeight="1">
      <c r="A30" s="254" t="s">
        <v>31</v>
      </c>
      <c r="B30" s="129">
        <f t="shared" si="39"/>
        <v>0</v>
      </c>
      <c r="C30" s="257">
        <v>66.828571428571422</v>
      </c>
      <c r="D30" s="129">
        <v>0</v>
      </c>
      <c r="E30" s="129"/>
      <c r="F30" s="129"/>
      <c r="G30" s="509">
        <f t="shared" si="40"/>
        <v>0</v>
      </c>
      <c r="H30" s="129"/>
      <c r="I30" s="129"/>
      <c r="J30" s="129"/>
      <c r="K30" s="509">
        <f t="shared" si="41"/>
        <v>0</v>
      </c>
      <c r="L30" s="129"/>
      <c r="M30" s="129"/>
      <c r="N30" s="129"/>
      <c r="O30" s="509">
        <f t="shared" si="42"/>
        <v>0</v>
      </c>
      <c r="P30" s="129"/>
      <c r="Q30" s="129"/>
      <c r="R30" s="129"/>
      <c r="S30" s="509">
        <f t="shared" si="43"/>
        <v>0</v>
      </c>
      <c r="T30" s="129"/>
      <c r="U30" s="129"/>
      <c r="V30" s="129">
        <f t="shared" si="44"/>
        <v>0</v>
      </c>
      <c r="W30" s="509">
        <f t="shared" si="45"/>
        <v>0</v>
      </c>
      <c r="X30" s="129"/>
      <c r="Y30" s="129"/>
      <c r="Z30" s="129"/>
      <c r="AA30" s="509">
        <f t="shared" si="46"/>
        <v>0</v>
      </c>
      <c r="AB30" s="129"/>
      <c r="AC30" s="129"/>
      <c r="AD30" s="129"/>
      <c r="AE30" s="509">
        <f t="shared" si="47"/>
        <v>0</v>
      </c>
      <c r="AF30" s="129"/>
      <c r="AG30" s="129"/>
      <c r="AH30" s="129"/>
      <c r="AI30" s="509">
        <f t="shared" si="48"/>
        <v>0</v>
      </c>
      <c r="AJ30" s="129"/>
      <c r="AK30" s="129"/>
      <c r="AL30" s="129"/>
      <c r="AM30" s="509">
        <f t="shared" si="49"/>
        <v>0</v>
      </c>
      <c r="AN30" s="129"/>
      <c r="AO30" s="129"/>
      <c r="AP30" s="129"/>
      <c r="AQ30" s="509">
        <f t="shared" si="50"/>
        <v>0</v>
      </c>
      <c r="AR30" s="129"/>
      <c r="AS30" s="129"/>
      <c r="AT30" s="129"/>
      <c r="AU30" s="509">
        <f t="shared" si="51"/>
        <v>0</v>
      </c>
      <c r="AV30" s="129"/>
      <c r="AW30" s="129"/>
      <c r="AX30" s="129"/>
      <c r="AY30" s="509">
        <f t="shared" si="52"/>
        <v>0</v>
      </c>
      <c r="AZ30" s="23">
        <f t="shared" si="53"/>
        <v>0</v>
      </c>
      <c r="BA30" s="23">
        <f t="shared" si="53"/>
        <v>0</v>
      </c>
      <c r="BB30" s="509">
        <f t="shared" si="54"/>
        <v>0</v>
      </c>
      <c r="BC30" s="23">
        <f t="shared" si="55"/>
        <v>0</v>
      </c>
      <c r="BD30" s="257">
        <f t="shared" si="55"/>
        <v>0</v>
      </c>
      <c r="BE30" s="257">
        <f t="shared" si="56"/>
        <v>0</v>
      </c>
      <c r="BF30" s="257">
        <f t="shared" si="57"/>
        <v>0</v>
      </c>
      <c r="BG30" s="23">
        <f t="shared" si="57"/>
        <v>0</v>
      </c>
      <c r="BH30" s="257">
        <f t="shared" si="58"/>
        <v>0</v>
      </c>
      <c r="BI30" s="23">
        <f t="shared" si="59"/>
        <v>0</v>
      </c>
      <c r="BJ30" s="23">
        <f t="shared" si="59"/>
        <v>0</v>
      </c>
      <c r="BK30" s="257">
        <f t="shared" si="60"/>
        <v>0</v>
      </c>
      <c r="BL30" s="23">
        <f t="shared" si="61"/>
        <v>0</v>
      </c>
      <c r="BM30" s="23">
        <f t="shared" si="61"/>
        <v>0</v>
      </c>
      <c r="BN30" s="257">
        <f t="shared" si="61"/>
        <v>0</v>
      </c>
      <c r="BO30" s="466">
        <f t="shared" si="62"/>
        <v>0</v>
      </c>
      <c r="BP30" s="472"/>
      <c r="BQ30" s="23">
        <f t="shared" si="63"/>
        <v>0</v>
      </c>
      <c r="BR30" s="23">
        <f t="shared" si="64"/>
        <v>0</v>
      </c>
      <c r="BS30" s="466">
        <f t="shared" si="36"/>
        <v>0</v>
      </c>
      <c r="BT30" s="509">
        <f t="shared" si="65"/>
        <v>0</v>
      </c>
      <c r="BU30" s="466">
        <f t="shared" si="7"/>
        <v>0</v>
      </c>
    </row>
    <row r="31" spans="1:73" ht="12.6" customHeight="1">
      <c r="A31" s="254" t="s">
        <v>35</v>
      </c>
      <c r="B31" s="129">
        <f t="shared" si="39"/>
        <v>0</v>
      </c>
      <c r="C31" s="257"/>
      <c r="D31" s="129"/>
      <c r="E31" s="129"/>
      <c r="F31" s="129"/>
      <c r="G31" s="509">
        <f t="shared" si="40"/>
        <v>0</v>
      </c>
      <c r="H31" s="129"/>
      <c r="I31" s="129"/>
      <c r="J31" s="129"/>
      <c r="K31" s="509">
        <f t="shared" si="41"/>
        <v>0</v>
      </c>
      <c r="L31" s="129"/>
      <c r="M31" s="129"/>
      <c r="N31" s="129"/>
      <c r="O31" s="509">
        <f t="shared" si="42"/>
        <v>0</v>
      </c>
      <c r="P31" s="129"/>
      <c r="Q31" s="129"/>
      <c r="R31" s="129"/>
      <c r="S31" s="509">
        <f t="shared" si="43"/>
        <v>0</v>
      </c>
      <c r="T31" s="129"/>
      <c r="U31" s="129"/>
      <c r="V31" s="129">
        <f t="shared" si="44"/>
        <v>0</v>
      </c>
      <c r="W31" s="509">
        <f t="shared" si="45"/>
        <v>0</v>
      </c>
      <c r="X31" s="129"/>
      <c r="Y31" s="129"/>
      <c r="Z31" s="129"/>
      <c r="AA31" s="509">
        <f t="shared" si="46"/>
        <v>0</v>
      </c>
      <c r="AB31" s="129"/>
      <c r="AC31" s="129"/>
      <c r="AD31" s="129"/>
      <c r="AE31" s="509">
        <f t="shared" si="47"/>
        <v>0</v>
      </c>
      <c r="AF31" s="129"/>
      <c r="AG31" s="129"/>
      <c r="AH31" s="129"/>
      <c r="AI31" s="509">
        <f t="shared" si="48"/>
        <v>0</v>
      </c>
      <c r="AJ31" s="129"/>
      <c r="AK31" s="129"/>
      <c r="AL31" s="129"/>
      <c r="AM31" s="509">
        <f t="shared" si="49"/>
        <v>0</v>
      </c>
      <c r="AN31" s="129"/>
      <c r="AO31" s="129"/>
      <c r="AP31" s="129"/>
      <c r="AQ31" s="509">
        <f t="shared" si="50"/>
        <v>0</v>
      </c>
      <c r="AR31" s="129"/>
      <c r="AS31" s="129"/>
      <c r="AT31" s="129"/>
      <c r="AU31" s="509">
        <f t="shared" si="51"/>
        <v>0</v>
      </c>
      <c r="AV31" s="129"/>
      <c r="AW31" s="129"/>
      <c r="AX31" s="129"/>
      <c r="AY31" s="509">
        <f t="shared" si="52"/>
        <v>0</v>
      </c>
      <c r="AZ31" s="23">
        <f t="shared" si="53"/>
        <v>0</v>
      </c>
      <c r="BA31" s="23">
        <f t="shared" si="53"/>
        <v>0</v>
      </c>
      <c r="BB31" s="509">
        <f t="shared" si="54"/>
        <v>0</v>
      </c>
      <c r="BC31" s="23">
        <f t="shared" si="55"/>
        <v>0</v>
      </c>
      <c r="BD31" s="257">
        <f t="shared" si="55"/>
        <v>0</v>
      </c>
      <c r="BE31" s="257">
        <f t="shared" si="56"/>
        <v>0</v>
      </c>
      <c r="BF31" s="257">
        <f t="shared" si="57"/>
        <v>0</v>
      </c>
      <c r="BG31" s="23">
        <f t="shared" si="57"/>
        <v>0</v>
      </c>
      <c r="BH31" s="257">
        <f t="shared" si="58"/>
        <v>0</v>
      </c>
      <c r="BI31" s="23">
        <f t="shared" si="59"/>
        <v>0</v>
      </c>
      <c r="BJ31" s="23">
        <f t="shared" si="59"/>
        <v>0</v>
      </c>
      <c r="BK31" s="257">
        <f t="shared" si="60"/>
        <v>0</v>
      </c>
      <c r="BL31" s="23">
        <f t="shared" si="61"/>
        <v>0</v>
      </c>
      <c r="BM31" s="23">
        <f t="shared" si="61"/>
        <v>0</v>
      </c>
      <c r="BN31" s="257">
        <f t="shared" si="61"/>
        <v>0</v>
      </c>
      <c r="BO31" s="466">
        <f t="shared" si="62"/>
        <v>0</v>
      </c>
      <c r="BP31" s="472"/>
      <c r="BQ31" s="23">
        <f t="shared" si="63"/>
        <v>0</v>
      </c>
      <c r="BR31" s="23">
        <f t="shared" si="64"/>
        <v>0</v>
      </c>
      <c r="BS31" s="466">
        <f t="shared" si="36"/>
        <v>0</v>
      </c>
      <c r="BT31" s="509">
        <f t="shared" si="65"/>
        <v>0</v>
      </c>
      <c r="BU31" s="466">
        <f t="shared" si="7"/>
        <v>0</v>
      </c>
    </row>
    <row r="32" spans="1:73" ht="12.6" customHeight="1">
      <c r="A32" s="254" t="s">
        <v>83</v>
      </c>
      <c r="B32" s="129">
        <f t="shared" si="39"/>
        <v>780</v>
      </c>
      <c r="C32" s="257">
        <v>57.985714285714288</v>
      </c>
      <c r="D32" s="129"/>
      <c r="E32" s="129"/>
      <c r="F32" s="129"/>
      <c r="G32" s="509">
        <f t="shared" si="40"/>
        <v>0</v>
      </c>
      <c r="H32" s="129">
        <v>28</v>
      </c>
      <c r="I32" s="129">
        <v>24</v>
      </c>
      <c r="J32" s="129">
        <v>798.1</v>
      </c>
      <c r="K32" s="509">
        <f t="shared" si="41"/>
        <v>0.11885051245714286</v>
      </c>
      <c r="L32" s="129">
        <v>52</v>
      </c>
      <c r="M32" s="129"/>
      <c r="N32" s="129"/>
      <c r="O32" s="509">
        <f t="shared" si="42"/>
        <v>0</v>
      </c>
      <c r="P32" s="129">
        <v>128</v>
      </c>
      <c r="Q32" s="129">
        <v>24</v>
      </c>
      <c r="R32" s="129">
        <v>701</v>
      </c>
      <c r="S32" s="509">
        <f t="shared" si="43"/>
        <v>0.10382880274285715</v>
      </c>
      <c r="T32" s="129">
        <v>52</v>
      </c>
      <c r="U32" s="129">
        <v>13</v>
      </c>
      <c r="V32" s="129">
        <v>798</v>
      </c>
      <c r="W32" s="509">
        <f t="shared" si="45"/>
        <v>6.4387902985714299E-2</v>
      </c>
      <c r="X32" s="129">
        <v>128</v>
      </c>
      <c r="Y32" s="129"/>
      <c r="Z32" s="129"/>
      <c r="AA32" s="509">
        <f t="shared" si="46"/>
        <v>0</v>
      </c>
      <c r="AB32" s="129">
        <v>52</v>
      </c>
      <c r="AC32" s="129">
        <v>24</v>
      </c>
      <c r="AD32" s="129">
        <v>851</v>
      </c>
      <c r="AE32" s="509">
        <f t="shared" si="47"/>
        <v>0.136289352</v>
      </c>
      <c r="AF32" s="129">
        <v>28</v>
      </c>
      <c r="AG32" s="129"/>
      <c r="AH32" s="129"/>
      <c r="AI32" s="509">
        <f t="shared" si="48"/>
        <v>0</v>
      </c>
      <c r="AJ32" s="129">
        <v>80</v>
      </c>
      <c r="AK32" s="129"/>
      <c r="AL32" s="129"/>
      <c r="AM32" s="509">
        <f t="shared" si="49"/>
        <v>0</v>
      </c>
      <c r="AN32" s="129">
        <v>52</v>
      </c>
      <c r="AO32" s="129"/>
      <c r="AP32" s="129"/>
      <c r="AQ32" s="509">
        <f t="shared" si="50"/>
        <v>0</v>
      </c>
      <c r="AR32" s="129">
        <v>128</v>
      </c>
      <c r="AS32" s="129"/>
      <c r="AT32" s="129"/>
      <c r="AU32" s="509">
        <f t="shared" si="51"/>
        <v>0</v>
      </c>
      <c r="AV32" s="129">
        <v>52</v>
      </c>
      <c r="AW32" s="129"/>
      <c r="AX32" s="129"/>
      <c r="AY32" s="509">
        <f t="shared" si="52"/>
        <v>0</v>
      </c>
      <c r="AZ32" s="23">
        <f t="shared" si="53"/>
        <v>80</v>
      </c>
      <c r="BA32" s="23">
        <f t="shared" si="53"/>
        <v>24</v>
      </c>
      <c r="BB32" s="509">
        <f t="shared" si="54"/>
        <v>0.11885051245714286</v>
      </c>
      <c r="BC32" s="23">
        <f t="shared" si="55"/>
        <v>308</v>
      </c>
      <c r="BD32" s="257">
        <f t="shared" si="55"/>
        <v>37</v>
      </c>
      <c r="BE32" s="257">
        <f t="shared" si="56"/>
        <v>0.16821670572857145</v>
      </c>
      <c r="BF32" s="257">
        <f t="shared" si="57"/>
        <v>160</v>
      </c>
      <c r="BG32" s="23">
        <f t="shared" si="57"/>
        <v>24</v>
      </c>
      <c r="BH32" s="257">
        <f t="shared" si="58"/>
        <v>0.136289352</v>
      </c>
      <c r="BI32" s="23">
        <f t="shared" si="59"/>
        <v>232</v>
      </c>
      <c r="BJ32" s="23">
        <f t="shared" si="59"/>
        <v>0</v>
      </c>
      <c r="BK32" s="257">
        <f t="shared" si="60"/>
        <v>0</v>
      </c>
      <c r="BL32" s="23">
        <f t="shared" si="61"/>
        <v>780</v>
      </c>
      <c r="BM32" s="23">
        <f t="shared" si="61"/>
        <v>85</v>
      </c>
      <c r="BN32" s="257">
        <f t="shared" si="61"/>
        <v>0.42335657018571426</v>
      </c>
      <c r="BO32" s="466">
        <f t="shared" si="62"/>
        <v>0.10897435897435898</v>
      </c>
      <c r="BP32" s="472"/>
      <c r="BQ32" s="23">
        <f t="shared" si="63"/>
        <v>388</v>
      </c>
      <c r="BR32" s="23">
        <f t="shared" si="64"/>
        <v>61</v>
      </c>
      <c r="BS32" s="466">
        <f t="shared" si="36"/>
        <v>0.15721649484536082</v>
      </c>
      <c r="BT32" s="509">
        <f t="shared" si="65"/>
        <v>0.28706721818571429</v>
      </c>
      <c r="BU32" s="466">
        <f t="shared" si="7"/>
        <v>7.8205128205128205E-2</v>
      </c>
    </row>
    <row r="33" spans="1:73" ht="12.6" customHeight="1">
      <c r="A33" s="254" t="s">
        <v>37</v>
      </c>
      <c r="B33" s="129">
        <f t="shared" si="39"/>
        <v>120</v>
      </c>
      <c r="C33" s="257"/>
      <c r="D33" s="129"/>
      <c r="E33" s="129"/>
      <c r="F33" s="129"/>
      <c r="G33" s="509">
        <f t="shared" si="40"/>
        <v>0</v>
      </c>
      <c r="H33" s="129">
        <v>14</v>
      </c>
      <c r="I33" s="129"/>
      <c r="J33" s="129"/>
      <c r="K33" s="509">
        <f t="shared" si="41"/>
        <v>0</v>
      </c>
      <c r="L33" s="129">
        <v>14</v>
      </c>
      <c r="M33" s="129"/>
      <c r="N33" s="129"/>
      <c r="O33" s="509">
        <f t="shared" si="42"/>
        <v>0</v>
      </c>
      <c r="P33" s="129"/>
      <c r="Q33" s="129"/>
      <c r="R33" s="129"/>
      <c r="S33" s="509">
        <f t="shared" si="43"/>
        <v>0</v>
      </c>
      <c r="T33" s="129">
        <v>14</v>
      </c>
      <c r="U33" s="129"/>
      <c r="V33" s="129">
        <f t="shared" si="44"/>
        <v>0</v>
      </c>
      <c r="W33" s="509">
        <f t="shared" si="45"/>
        <v>0</v>
      </c>
      <c r="X33" s="129">
        <v>14</v>
      </c>
      <c r="Y33" s="129"/>
      <c r="Z33" s="129"/>
      <c r="AA33" s="509">
        <f t="shared" si="46"/>
        <v>0</v>
      </c>
      <c r="AB33" s="129">
        <v>14</v>
      </c>
      <c r="AC33" s="129"/>
      <c r="AD33" s="129"/>
      <c r="AE33" s="509">
        <f t="shared" si="47"/>
        <v>0</v>
      </c>
      <c r="AF33" s="129">
        <v>14</v>
      </c>
      <c r="AG33" s="129"/>
      <c r="AH33" s="129"/>
      <c r="AI33" s="509">
        <f t="shared" si="48"/>
        <v>0</v>
      </c>
      <c r="AJ33" s="129">
        <v>14</v>
      </c>
      <c r="AK33" s="129"/>
      <c r="AL33" s="129"/>
      <c r="AM33" s="509">
        <f t="shared" si="49"/>
        <v>0</v>
      </c>
      <c r="AN33" s="129">
        <v>14</v>
      </c>
      <c r="AO33" s="129"/>
      <c r="AP33" s="129"/>
      <c r="AQ33" s="509">
        <f t="shared" si="50"/>
        <v>0</v>
      </c>
      <c r="AR33" s="129">
        <v>8</v>
      </c>
      <c r="AS33" s="129"/>
      <c r="AT33" s="129"/>
      <c r="AU33" s="509">
        <f t="shared" si="51"/>
        <v>0</v>
      </c>
      <c r="AV33" s="129"/>
      <c r="AW33" s="129"/>
      <c r="AX33" s="129"/>
      <c r="AY33" s="509">
        <f t="shared" si="52"/>
        <v>0</v>
      </c>
      <c r="AZ33" s="23">
        <f t="shared" si="53"/>
        <v>28</v>
      </c>
      <c r="BA33" s="23">
        <f t="shared" si="53"/>
        <v>0</v>
      </c>
      <c r="BB33" s="509">
        <f t="shared" si="54"/>
        <v>0</v>
      </c>
      <c r="BC33" s="23">
        <f t="shared" si="55"/>
        <v>28</v>
      </c>
      <c r="BD33" s="257">
        <f t="shared" si="55"/>
        <v>0</v>
      </c>
      <c r="BE33" s="257">
        <f t="shared" si="56"/>
        <v>0</v>
      </c>
      <c r="BF33" s="257">
        <f t="shared" si="57"/>
        <v>42</v>
      </c>
      <c r="BG33" s="23">
        <f t="shared" si="57"/>
        <v>0</v>
      </c>
      <c r="BH33" s="257">
        <f t="shared" si="58"/>
        <v>0</v>
      </c>
      <c r="BI33" s="23">
        <f t="shared" si="59"/>
        <v>22</v>
      </c>
      <c r="BJ33" s="23">
        <f t="shared" si="59"/>
        <v>0</v>
      </c>
      <c r="BK33" s="257">
        <f t="shared" si="60"/>
        <v>0</v>
      </c>
      <c r="BL33" s="23">
        <f t="shared" si="61"/>
        <v>120</v>
      </c>
      <c r="BM33" s="23">
        <f t="shared" si="61"/>
        <v>0</v>
      </c>
      <c r="BN33" s="257">
        <f t="shared" si="61"/>
        <v>0</v>
      </c>
      <c r="BO33" s="466">
        <f t="shared" si="62"/>
        <v>0</v>
      </c>
      <c r="BP33" s="472"/>
      <c r="BQ33" s="23">
        <f t="shared" si="63"/>
        <v>56</v>
      </c>
      <c r="BR33" s="23">
        <f t="shared" si="64"/>
        <v>0</v>
      </c>
      <c r="BS33" s="466">
        <f t="shared" si="36"/>
        <v>0</v>
      </c>
      <c r="BT33" s="509">
        <f t="shared" si="65"/>
        <v>0</v>
      </c>
      <c r="BU33" s="466">
        <f t="shared" si="7"/>
        <v>0</v>
      </c>
    </row>
    <row r="34" spans="1:73" ht="12.6" customHeight="1">
      <c r="A34" s="254" t="s">
        <v>38</v>
      </c>
      <c r="B34" s="129">
        <f t="shared" si="39"/>
        <v>0</v>
      </c>
      <c r="C34" s="257"/>
      <c r="D34" s="129"/>
      <c r="E34" s="129"/>
      <c r="F34" s="129"/>
      <c r="G34" s="509">
        <f t="shared" si="40"/>
        <v>0</v>
      </c>
      <c r="H34" s="129"/>
      <c r="I34" s="129"/>
      <c r="J34" s="129"/>
      <c r="K34" s="509">
        <f t="shared" si="41"/>
        <v>0</v>
      </c>
      <c r="L34" s="129"/>
      <c r="M34" s="129"/>
      <c r="N34" s="129"/>
      <c r="O34" s="509">
        <f t="shared" si="42"/>
        <v>0</v>
      </c>
      <c r="P34" s="129"/>
      <c r="Q34" s="129"/>
      <c r="R34" s="129"/>
      <c r="S34" s="509">
        <f t="shared" si="43"/>
        <v>0</v>
      </c>
      <c r="T34" s="129"/>
      <c r="U34" s="129"/>
      <c r="V34" s="129">
        <f t="shared" si="44"/>
        <v>0</v>
      </c>
      <c r="W34" s="509">
        <f t="shared" si="45"/>
        <v>0</v>
      </c>
      <c r="X34" s="129"/>
      <c r="Y34" s="129"/>
      <c r="Z34" s="129"/>
      <c r="AA34" s="509">
        <f t="shared" si="46"/>
        <v>0</v>
      </c>
      <c r="AB34" s="129"/>
      <c r="AC34" s="129"/>
      <c r="AD34" s="129"/>
      <c r="AE34" s="509">
        <f t="shared" si="47"/>
        <v>0</v>
      </c>
      <c r="AF34" s="129"/>
      <c r="AG34" s="129"/>
      <c r="AH34" s="129"/>
      <c r="AI34" s="509">
        <f t="shared" si="48"/>
        <v>0</v>
      </c>
      <c r="AJ34" s="129"/>
      <c r="AK34" s="129"/>
      <c r="AL34" s="129"/>
      <c r="AM34" s="509">
        <f t="shared" si="49"/>
        <v>0</v>
      </c>
      <c r="AN34" s="129"/>
      <c r="AO34" s="129"/>
      <c r="AP34" s="129"/>
      <c r="AQ34" s="509">
        <f t="shared" si="50"/>
        <v>0</v>
      </c>
      <c r="AR34" s="129"/>
      <c r="AS34" s="129"/>
      <c r="AT34" s="129"/>
      <c r="AU34" s="509">
        <f t="shared" si="51"/>
        <v>0</v>
      </c>
      <c r="AV34" s="129"/>
      <c r="AW34" s="129"/>
      <c r="AX34" s="129"/>
      <c r="AY34" s="509">
        <f t="shared" si="52"/>
        <v>0</v>
      </c>
      <c r="AZ34" s="23">
        <f t="shared" si="53"/>
        <v>0</v>
      </c>
      <c r="BA34" s="23">
        <f t="shared" si="53"/>
        <v>0</v>
      </c>
      <c r="BB34" s="509">
        <f t="shared" si="54"/>
        <v>0</v>
      </c>
      <c r="BC34" s="23">
        <f t="shared" si="55"/>
        <v>0</v>
      </c>
      <c r="BD34" s="257">
        <f t="shared" si="55"/>
        <v>0</v>
      </c>
      <c r="BE34" s="257">
        <f t="shared" si="56"/>
        <v>0</v>
      </c>
      <c r="BF34" s="257">
        <f t="shared" si="57"/>
        <v>0</v>
      </c>
      <c r="BG34" s="23">
        <f t="shared" si="57"/>
        <v>0</v>
      </c>
      <c r="BH34" s="257">
        <f t="shared" si="58"/>
        <v>0</v>
      </c>
      <c r="BI34" s="23">
        <f t="shared" si="59"/>
        <v>0</v>
      </c>
      <c r="BJ34" s="23">
        <f t="shared" si="59"/>
        <v>0</v>
      </c>
      <c r="BK34" s="257">
        <f t="shared" si="60"/>
        <v>0</v>
      </c>
      <c r="BL34" s="23">
        <f t="shared" si="61"/>
        <v>0</v>
      </c>
      <c r="BM34" s="23">
        <f t="shared" si="61"/>
        <v>0</v>
      </c>
      <c r="BN34" s="257">
        <f t="shared" si="61"/>
        <v>0</v>
      </c>
      <c r="BO34" s="466">
        <f t="shared" si="62"/>
        <v>0</v>
      </c>
      <c r="BP34" s="472"/>
      <c r="BQ34" s="23">
        <f t="shared" si="63"/>
        <v>0</v>
      </c>
      <c r="BR34" s="23">
        <f t="shared" si="64"/>
        <v>0</v>
      </c>
      <c r="BS34" s="466">
        <f t="shared" si="36"/>
        <v>0</v>
      </c>
      <c r="BT34" s="509">
        <f t="shared" si="65"/>
        <v>0</v>
      </c>
      <c r="BU34" s="466">
        <f t="shared" si="7"/>
        <v>0</v>
      </c>
    </row>
    <row r="35" spans="1:73" ht="12.6" customHeight="1">
      <c r="A35" s="254" t="s">
        <v>39</v>
      </c>
      <c r="B35" s="129">
        <f t="shared" si="39"/>
        <v>380</v>
      </c>
      <c r="C35" s="257"/>
      <c r="D35" s="129"/>
      <c r="E35" s="129"/>
      <c r="F35" s="129"/>
      <c r="G35" s="509">
        <f t="shared" si="40"/>
        <v>0</v>
      </c>
      <c r="H35" s="129">
        <v>98</v>
      </c>
      <c r="I35" s="129">
        <v>98</v>
      </c>
      <c r="J35" s="129">
        <v>812</v>
      </c>
      <c r="K35" s="509">
        <f t="shared" si="41"/>
        <v>0.53244301599999999</v>
      </c>
      <c r="L35" s="129">
        <v>98</v>
      </c>
      <c r="M35" s="129"/>
      <c r="N35" s="129"/>
      <c r="O35" s="509">
        <f t="shared" si="42"/>
        <v>0</v>
      </c>
      <c r="P35" s="129">
        <v>24</v>
      </c>
      <c r="Q35" s="129">
        <v>98</v>
      </c>
      <c r="R35" s="129">
        <v>809</v>
      </c>
      <c r="S35" s="509">
        <f t="shared" si="43"/>
        <v>0.53340929599999998</v>
      </c>
      <c r="T35" s="129">
        <v>24</v>
      </c>
      <c r="U35" s="129"/>
      <c r="V35" s="129">
        <f t="shared" si="44"/>
        <v>0</v>
      </c>
      <c r="W35" s="509">
        <f t="shared" si="45"/>
        <v>0</v>
      </c>
      <c r="X35" s="129"/>
      <c r="Y35" s="129"/>
      <c r="Z35" s="129"/>
      <c r="AA35" s="509">
        <f t="shared" si="46"/>
        <v>0</v>
      </c>
      <c r="AB35" s="129">
        <v>24</v>
      </c>
      <c r="AC35" s="129"/>
      <c r="AD35" s="129"/>
      <c r="AE35" s="509">
        <f t="shared" si="47"/>
        <v>0</v>
      </c>
      <c r="AF35" s="129">
        <v>24</v>
      </c>
      <c r="AG35" s="129">
        <v>5</v>
      </c>
      <c r="AH35" s="129">
        <v>1004</v>
      </c>
      <c r="AI35" s="509">
        <f t="shared" si="48"/>
        <v>3.390716875048936E-2</v>
      </c>
      <c r="AJ35" s="129">
        <v>24</v>
      </c>
      <c r="AK35" s="129"/>
      <c r="AL35" s="129"/>
      <c r="AM35" s="509">
        <f t="shared" si="49"/>
        <v>0</v>
      </c>
      <c r="AN35" s="129">
        <v>24</v>
      </c>
      <c r="AO35" s="129"/>
      <c r="AP35" s="129"/>
      <c r="AQ35" s="509">
        <f t="shared" si="50"/>
        <v>0</v>
      </c>
      <c r="AR35" s="129">
        <v>24</v>
      </c>
      <c r="AS35" s="129"/>
      <c r="AT35" s="129"/>
      <c r="AU35" s="509">
        <f t="shared" si="51"/>
        <v>0</v>
      </c>
      <c r="AV35" s="129">
        <v>16</v>
      </c>
      <c r="AW35" s="129"/>
      <c r="AX35" s="129"/>
      <c r="AY35" s="509">
        <f t="shared" si="52"/>
        <v>0</v>
      </c>
      <c r="AZ35" s="23">
        <f t="shared" si="53"/>
        <v>196</v>
      </c>
      <c r="BA35" s="23">
        <f t="shared" si="53"/>
        <v>98</v>
      </c>
      <c r="BB35" s="509">
        <f t="shared" si="54"/>
        <v>0.53244301599999999</v>
      </c>
      <c r="BC35" s="23">
        <f t="shared" si="55"/>
        <v>48</v>
      </c>
      <c r="BD35" s="257">
        <f t="shared" si="55"/>
        <v>98</v>
      </c>
      <c r="BE35" s="257">
        <f t="shared" si="56"/>
        <v>0.53340929599999998</v>
      </c>
      <c r="BF35" s="257">
        <f t="shared" si="57"/>
        <v>72</v>
      </c>
      <c r="BG35" s="23">
        <f t="shared" si="57"/>
        <v>5</v>
      </c>
      <c r="BH35" s="257">
        <f t="shared" si="58"/>
        <v>3.390716875048936E-2</v>
      </c>
      <c r="BI35" s="23">
        <f t="shared" si="59"/>
        <v>64</v>
      </c>
      <c r="BJ35" s="23">
        <f t="shared" si="59"/>
        <v>0</v>
      </c>
      <c r="BK35" s="257">
        <f t="shared" si="60"/>
        <v>0</v>
      </c>
      <c r="BL35" s="23">
        <f t="shared" si="61"/>
        <v>380</v>
      </c>
      <c r="BM35" s="23">
        <f t="shared" si="61"/>
        <v>201</v>
      </c>
      <c r="BN35" s="257">
        <f t="shared" si="61"/>
        <v>1.0997594807504893</v>
      </c>
      <c r="BO35" s="466">
        <f t="shared" si="62"/>
        <v>0.52894736842105261</v>
      </c>
      <c r="BP35" s="472"/>
      <c r="BQ35" s="23">
        <f t="shared" si="63"/>
        <v>244</v>
      </c>
      <c r="BR35" s="23">
        <f t="shared" si="64"/>
        <v>196</v>
      </c>
      <c r="BS35" s="466">
        <f t="shared" si="36"/>
        <v>0.80327868852459017</v>
      </c>
      <c r="BT35" s="509">
        <f t="shared" si="65"/>
        <v>1.0658523120000001</v>
      </c>
      <c r="BU35" s="466">
        <f t="shared" si="7"/>
        <v>0.51578947368421058</v>
      </c>
    </row>
    <row r="36" spans="1:73" ht="12.6" customHeight="1">
      <c r="A36" s="254" t="s">
        <v>11</v>
      </c>
      <c r="B36" s="129">
        <f t="shared" si="39"/>
        <v>0</v>
      </c>
      <c r="C36" s="257">
        <v>18.399999999999999</v>
      </c>
      <c r="D36" s="129"/>
      <c r="E36" s="129"/>
      <c r="F36" s="129"/>
      <c r="G36" s="509">
        <f t="shared" si="40"/>
        <v>0</v>
      </c>
      <c r="H36" s="129"/>
      <c r="I36" s="129">
        <v>29</v>
      </c>
      <c r="J36" s="129">
        <v>1152.4000000000001</v>
      </c>
      <c r="K36" s="509">
        <f t="shared" si="41"/>
        <v>0.22004022599999998</v>
      </c>
      <c r="L36" s="129"/>
      <c r="M36" s="129"/>
      <c r="N36" s="129"/>
      <c r="O36" s="509">
        <f t="shared" si="42"/>
        <v>0</v>
      </c>
      <c r="P36" s="129"/>
      <c r="Q36" s="129"/>
      <c r="R36" s="129"/>
      <c r="S36" s="509">
        <f t="shared" si="43"/>
        <v>0</v>
      </c>
      <c r="T36" s="129"/>
      <c r="U36" s="129"/>
      <c r="V36" s="129">
        <f t="shared" si="44"/>
        <v>0</v>
      </c>
      <c r="W36" s="509">
        <f t="shared" si="45"/>
        <v>0</v>
      </c>
      <c r="X36" s="129"/>
      <c r="Y36" s="129"/>
      <c r="Z36" s="129"/>
      <c r="AA36" s="509">
        <f t="shared" si="46"/>
        <v>0</v>
      </c>
      <c r="AB36" s="129"/>
      <c r="AC36" s="129"/>
      <c r="AD36" s="129"/>
      <c r="AE36" s="509">
        <f t="shared" si="47"/>
        <v>0</v>
      </c>
      <c r="AF36" s="129"/>
      <c r="AG36" s="129"/>
      <c r="AH36" s="129"/>
      <c r="AI36" s="509">
        <f t="shared" si="48"/>
        <v>0</v>
      </c>
      <c r="AJ36" s="129"/>
      <c r="AK36" s="129"/>
      <c r="AL36" s="129"/>
      <c r="AM36" s="509">
        <f t="shared" si="49"/>
        <v>0</v>
      </c>
      <c r="AN36" s="129"/>
      <c r="AO36" s="129"/>
      <c r="AP36" s="129"/>
      <c r="AQ36" s="509">
        <f t="shared" si="50"/>
        <v>0</v>
      </c>
      <c r="AR36" s="129"/>
      <c r="AS36" s="129"/>
      <c r="AT36" s="129"/>
      <c r="AU36" s="509">
        <f t="shared" si="51"/>
        <v>0</v>
      </c>
      <c r="AV36" s="129"/>
      <c r="AW36" s="129"/>
      <c r="AX36" s="129"/>
      <c r="AY36" s="509">
        <f t="shared" si="52"/>
        <v>0</v>
      </c>
      <c r="AZ36" s="23">
        <f t="shared" si="53"/>
        <v>0</v>
      </c>
      <c r="BA36" s="23">
        <f t="shared" si="53"/>
        <v>29</v>
      </c>
      <c r="BB36" s="509">
        <f t="shared" si="54"/>
        <v>0.22004022599999998</v>
      </c>
      <c r="BC36" s="23">
        <f t="shared" si="55"/>
        <v>0</v>
      </c>
      <c r="BD36" s="257">
        <f t="shared" si="55"/>
        <v>0</v>
      </c>
      <c r="BE36" s="257">
        <f t="shared" si="56"/>
        <v>0</v>
      </c>
      <c r="BF36" s="257">
        <f t="shared" si="57"/>
        <v>0</v>
      </c>
      <c r="BG36" s="23">
        <f t="shared" si="57"/>
        <v>0</v>
      </c>
      <c r="BH36" s="257">
        <f t="shared" si="58"/>
        <v>0</v>
      </c>
      <c r="BI36" s="23">
        <f t="shared" si="59"/>
        <v>0</v>
      </c>
      <c r="BJ36" s="23">
        <f t="shared" si="59"/>
        <v>0</v>
      </c>
      <c r="BK36" s="257">
        <f t="shared" si="60"/>
        <v>0</v>
      </c>
      <c r="BL36" s="23">
        <f t="shared" si="61"/>
        <v>0</v>
      </c>
      <c r="BM36" s="23">
        <f t="shared" si="61"/>
        <v>29</v>
      </c>
      <c r="BN36" s="257">
        <f t="shared" si="61"/>
        <v>0.22004022599999998</v>
      </c>
      <c r="BO36" s="466">
        <f t="shared" si="62"/>
        <v>0</v>
      </c>
      <c r="BP36" s="472"/>
      <c r="BQ36" s="23">
        <f t="shared" si="63"/>
        <v>0</v>
      </c>
      <c r="BR36" s="23">
        <f t="shared" si="64"/>
        <v>29</v>
      </c>
      <c r="BS36" s="466">
        <f t="shared" si="36"/>
        <v>0</v>
      </c>
      <c r="BT36" s="509">
        <f t="shared" si="65"/>
        <v>0.22004022599999998</v>
      </c>
      <c r="BU36" s="466">
        <f t="shared" si="7"/>
        <v>0</v>
      </c>
    </row>
    <row r="37" spans="1:73" ht="12.6" customHeight="1">
      <c r="A37" s="254" t="s">
        <v>87</v>
      </c>
      <c r="B37" s="129">
        <f t="shared" si="39"/>
        <v>0</v>
      </c>
      <c r="C37" s="257"/>
      <c r="D37" s="129"/>
      <c r="E37" s="129"/>
      <c r="F37" s="129"/>
      <c r="G37" s="509">
        <f t="shared" si="40"/>
        <v>0</v>
      </c>
      <c r="H37" s="129"/>
      <c r="I37" s="129"/>
      <c r="J37" s="129"/>
      <c r="K37" s="509">
        <f t="shared" si="41"/>
        <v>0</v>
      </c>
      <c r="L37" s="129"/>
      <c r="M37" s="129"/>
      <c r="N37" s="129"/>
      <c r="O37" s="509">
        <f t="shared" si="42"/>
        <v>0</v>
      </c>
      <c r="P37" s="129"/>
      <c r="Q37" s="129"/>
      <c r="R37" s="129"/>
      <c r="S37" s="509">
        <f t="shared" si="43"/>
        <v>0</v>
      </c>
      <c r="T37" s="129"/>
      <c r="U37" s="129"/>
      <c r="V37" s="129">
        <f t="shared" si="44"/>
        <v>0</v>
      </c>
      <c r="W37" s="509">
        <f t="shared" si="45"/>
        <v>0</v>
      </c>
      <c r="X37" s="129"/>
      <c r="Y37" s="129"/>
      <c r="Z37" s="129"/>
      <c r="AA37" s="509">
        <f t="shared" si="46"/>
        <v>0</v>
      </c>
      <c r="AB37" s="129"/>
      <c r="AC37" s="129"/>
      <c r="AD37" s="129"/>
      <c r="AE37" s="509">
        <f t="shared" si="47"/>
        <v>0</v>
      </c>
      <c r="AF37" s="129"/>
      <c r="AG37" s="129"/>
      <c r="AH37" s="129"/>
      <c r="AI37" s="509">
        <f t="shared" si="48"/>
        <v>0</v>
      </c>
      <c r="AJ37" s="129"/>
      <c r="AK37" s="129"/>
      <c r="AL37" s="129"/>
      <c r="AM37" s="509">
        <f t="shared" si="49"/>
        <v>0</v>
      </c>
      <c r="AN37" s="129"/>
      <c r="AO37" s="129"/>
      <c r="AP37" s="129"/>
      <c r="AQ37" s="509">
        <f t="shared" si="50"/>
        <v>0</v>
      </c>
      <c r="AR37" s="129"/>
      <c r="AS37" s="129"/>
      <c r="AT37" s="129"/>
      <c r="AU37" s="509">
        <f t="shared" si="51"/>
        <v>0</v>
      </c>
      <c r="AV37" s="129"/>
      <c r="AW37" s="129"/>
      <c r="AX37" s="129"/>
      <c r="AY37" s="509">
        <f t="shared" si="52"/>
        <v>0</v>
      </c>
      <c r="AZ37" s="23">
        <f t="shared" si="53"/>
        <v>0</v>
      </c>
      <c r="BA37" s="23">
        <f t="shared" si="53"/>
        <v>0</v>
      </c>
      <c r="BB37" s="509">
        <f t="shared" si="54"/>
        <v>0</v>
      </c>
      <c r="BC37" s="23">
        <f t="shared" si="55"/>
        <v>0</v>
      </c>
      <c r="BD37" s="257">
        <f t="shared" si="55"/>
        <v>0</v>
      </c>
      <c r="BE37" s="257">
        <f t="shared" si="56"/>
        <v>0</v>
      </c>
      <c r="BF37" s="257">
        <f t="shared" si="57"/>
        <v>0</v>
      </c>
      <c r="BG37" s="23">
        <f t="shared" si="57"/>
        <v>0</v>
      </c>
      <c r="BH37" s="257">
        <f t="shared" si="58"/>
        <v>0</v>
      </c>
      <c r="BI37" s="23">
        <f t="shared" si="59"/>
        <v>0</v>
      </c>
      <c r="BJ37" s="23">
        <f t="shared" si="59"/>
        <v>0</v>
      </c>
      <c r="BK37" s="257">
        <f t="shared" si="60"/>
        <v>0</v>
      </c>
      <c r="BL37" s="23">
        <f t="shared" si="61"/>
        <v>0</v>
      </c>
      <c r="BM37" s="23">
        <f t="shared" si="61"/>
        <v>0</v>
      </c>
      <c r="BN37" s="257">
        <f t="shared" si="61"/>
        <v>0</v>
      </c>
      <c r="BO37" s="466">
        <f t="shared" si="62"/>
        <v>0</v>
      </c>
      <c r="BP37" s="472"/>
      <c r="BQ37" s="23">
        <f t="shared" si="63"/>
        <v>0</v>
      </c>
      <c r="BR37" s="23">
        <f t="shared" si="64"/>
        <v>0</v>
      </c>
      <c r="BS37" s="466">
        <f t="shared" si="36"/>
        <v>0</v>
      </c>
      <c r="BT37" s="509">
        <f t="shared" si="65"/>
        <v>0</v>
      </c>
      <c r="BU37" s="466">
        <f t="shared" si="7"/>
        <v>0</v>
      </c>
    </row>
    <row r="38" spans="1:73" ht="12.6" customHeight="1">
      <c r="A38" s="254" t="s">
        <v>86</v>
      </c>
      <c r="B38" s="129">
        <f t="shared" si="39"/>
        <v>720</v>
      </c>
      <c r="C38" s="257"/>
      <c r="D38" s="129"/>
      <c r="E38" s="129"/>
      <c r="F38" s="129"/>
      <c r="G38" s="509">
        <f t="shared" si="40"/>
        <v>0</v>
      </c>
      <c r="H38" s="129">
        <v>40</v>
      </c>
      <c r="I38" s="129">
        <v>20</v>
      </c>
      <c r="J38" s="129">
        <v>1270</v>
      </c>
      <c r="K38" s="509">
        <f t="shared" si="41"/>
        <v>0.1699514</v>
      </c>
      <c r="L38" s="129">
        <v>80</v>
      </c>
      <c r="M38" s="129"/>
      <c r="N38" s="129"/>
      <c r="O38" s="509">
        <f t="shared" si="42"/>
        <v>0</v>
      </c>
      <c r="P38" s="129">
        <v>60</v>
      </c>
      <c r="Q38" s="129"/>
      <c r="R38" s="129"/>
      <c r="S38" s="509">
        <f t="shared" si="43"/>
        <v>0</v>
      </c>
      <c r="T38" s="129">
        <v>80</v>
      </c>
      <c r="U38" s="129"/>
      <c r="V38" s="129">
        <f>(T38*U38)/10^6</f>
        <v>0</v>
      </c>
      <c r="W38" s="509">
        <f t="shared" si="45"/>
        <v>0</v>
      </c>
      <c r="X38" s="129">
        <v>60</v>
      </c>
      <c r="Y38" s="129">
        <v>11</v>
      </c>
      <c r="Z38" s="129">
        <v>1170</v>
      </c>
      <c r="AA38" s="509">
        <f t="shared" si="46"/>
        <v>8.6241870000000012E-2</v>
      </c>
      <c r="AB38" s="129">
        <v>80</v>
      </c>
      <c r="AC38" s="129"/>
      <c r="AD38" s="129"/>
      <c r="AE38" s="509">
        <f t="shared" si="47"/>
        <v>0</v>
      </c>
      <c r="AF38" s="129">
        <v>60</v>
      </c>
      <c r="AG38" s="129"/>
      <c r="AH38" s="129"/>
      <c r="AI38" s="509">
        <f t="shared" si="48"/>
        <v>0</v>
      </c>
      <c r="AJ38" s="129">
        <v>80</v>
      </c>
      <c r="AK38" s="129"/>
      <c r="AL38" s="129"/>
      <c r="AM38" s="509">
        <f t="shared" si="49"/>
        <v>0</v>
      </c>
      <c r="AN38" s="129">
        <v>60</v>
      </c>
      <c r="AO38" s="129"/>
      <c r="AP38" s="129"/>
      <c r="AQ38" s="509">
        <f t="shared" si="50"/>
        <v>0</v>
      </c>
      <c r="AR38" s="129">
        <v>80</v>
      </c>
      <c r="AS38" s="129"/>
      <c r="AT38" s="129"/>
      <c r="AU38" s="509">
        <f t="shared" si="51"/>
        <v>0</v>
      </c>
      <c r="AV38" s="129">
        <v>40</v>
      </c>
      <c r="AW38" s="129"/>
      <c r="AX38" s="129"/>
      <c r="AY38" s="509">
        <f t="shared" si="52"/>
        <v>0</v>
      </c>
      <c r="AZ38" s="23">
        <f t="shared" si="53"/>
        <v>120</v>
      </c>
      <c r="BA38" s="23">
        <f t="shared" si="53"/>
        <v>20</v>
      </c>
      <c r="BB38" s="509">
        <f t="shared" si="54"/>
        <v>0.1699514</v>
      </c>
      <c r="BC38" s="23">
        <f t="shared" si="55"/>
        <v>200</v>
      </c>
      <c r="BD38" s="257">
        <f t="shared" si="55"/>
        <v>11</v>
      </c>
      <c r="BE38" s="257">
        <f t="shared" si="56"/>
        <v>8.6241870000000012E-2</v>
      </c>
      <c r="BF38" s="257">
        <f t="shared" si="57"/>
        <v>220</v>
      </c>
      <c r="BG38" s="23">
        <f t="shared" si="57"/>
        <v>0</v>
      </c>
      <c r="BH38" s="257">
        <f t="shared" si="58"/>
        <v>0</v>
      </c>
      <c r="BI38" s="23">
        <f t="shared" si="59"/>
        <v>180</v>
      </c>
      <c r="BJ38" s="23">
        <f t="shared" si="59"/>
        <v>0</v>
      </c>
      <c r="BK38" s="257">
        <f t="shared" si="60"/>
        <v>0</v>
      </c>
      <c r="BL38" s="23">
        <f t="shared" si="61"/>
        <v>720</v>
      </c>
      <c r="BM38" s="23">
        <f t="shared" si="61"/>
        <v>31</v>
      </c>
      <c r="BN38" s="257">
        <f t="shared" si="61"/>
        <v>0.25619327000000003</v>
      </c>
      <c r="BO38" s="466">
        <f t="shared" si="62"/>
        <v>4.3055555555555555E-2</v>
      </c>
      <c r="BP38" s="472"/>
      <c r="BQ38" s="23">
        <f t="shared" si="63"/>
        <v>320</v>
      </c>
      <c r="BR38" s="23">
        <f t="shared" si="64"/>
        <v>31</v>
      </c>
      <c r="BS38" s="466">
        <f t="shared" si="36"/>
        <v>9.6875000000000003E-2</v>
      </c>
      <c r="BT38" s="509">
        <f t="shared" si="65"/>
        <v>0.25619327000000003</v>
      </c>
      <c r="BU38" s="466">
        <f t="shared" ref="BU38:BU69" si="66">IFERROR(BR38/B38,0)</f>
        <v>4.3055555555555555E-2</v>
      </c>
    </row>
    <row r="39" spans="1:73" ht="12.6" customHeight="1">
      <c r="A39" s="254" t="s">
        <v>107</v>
      </c>
      <c r="B39" s="129">
        <f t="shared" si="39"/>
        <v>0</v>
      </c>
      <c r="C39" s="257"/>
      <c r="D39" s="129"/>
      <c r="E39" s="129"/>
      <c r="F39" s="129"/>
      <c r="G39" s="509">
        <f t="shared" si="40"/>
        <v>0</v>
      </c>
      <c r="H39" s="129"/>
      <c r="I39" s="129"/>
      <c r="J39" s="129"/>
      <c r="K39" s="509">
        <f t="shared" si="41"/>
        <v>0</v>
      </c>
      <c r="L39" s="129"/>
      <c r="M39" s="129"/>
      <c r="N39" s="129"/>
      <c r="O39" s="509">
        <f t="shared" si="42"/>
        <v>0</v>
      </c>
      <c r="P39" s="129"/>
      <c r="Q39" s="129"/>
      <c r="R39" s="129"/>
      <c r="S39" s="509">
        <f t="shared" si="43"/>
        <v>0</v>
      </c>
      <c r="T39" s="129"/>
      <c r="U39" s="129"/>
      <c r="V39" s="129">
        <f>(T39*U39)/10^6</f>
        <v>0</v>
      </c>
      <c r="W39" s="509">
        <f t="shared" si="45"/>
        <v>0</v>
      </c>
      <c r="X39" s="129"/>
      <c r="Y39" s="129"/>
      <c r="Z39" s="129"/>
      <c r="AA39" s="509">
        <f t="shared" si="46"/>
        <v>0</v>
      </c>
      <c r="AB39" s="129"/>
      <c r="AC39" s="129"/>
      <c r="AD39" s="129"/>
      <c r="AE39" s="509">
        <f t="shared" si="47"/>
        <v>0</v>
      </c>
      <c r="AF39" s="129"/>
      <c r="AG39" s="129"/>
      <c r="AH39" s="129"/>
      <c r="AI39" s="509">
        <f t="shared" si="48"/>
        <v>0</v>
      </c>
      <c r="AJ39" s="129"/>
      <c r="AK39" s="129"/>
      <c r="AL39" s="129"/>
      <c r="AM39" s="509">
        <f t="shared" si="49"/>
        <v>0</v>
      </c>
      <c r="AN39" s="129"/>
      <c r="AO39" s="129"/>
      <c r="AP39" s="129"/>
      <c r="AQ39" s="509">
        <f t="shared" si="50"/>
        <v>0</v>
      </c>
      <c r="AR39" s="129"/>
      <c r="AS39" s="129"/>
      <c r="AT39" s="129"/>
      <c r="AU39" s="509">
        <f t="shared" si="51"/>
        <v>0</v>
      </c>
      <c r="AV39" s="129"/>
      <c r="AW39" s="129"/>
      <c r="AX39" s="129"/>
      <c r="AY39" s="509">
        <f t="shared" si="52"/>
        <v>0</v>
      </c>
      <c r="AZ39" s="23">
        <f t="shared" si="53"/>
        <v>0</v>
      </c>
      <c r="BA39" s="23">
        <f t="shared" si="53"/>
        <v>0</v>
      </c>
      <c r="BB39" s="509">
        <f t="shared" si="54"/>
        <v>0</v>
      </c>
      <c r="BC39" s="23">
        <f t="shared" si="55"/>
        <v>0</v>
      </c>
      <c r="BD39" s="257">
        <f t="shared" si="55"/>
        <v>0</v>
      </c>
      <c r="BE39" s="257">
        <f t="shared" si="56"/>
        <v>0</v>
      </c>
      <c r="BF39" s="257">
        <f t="shared" si="57"/>
        <v>0</v>
      </c>
      <c r="BG39" s="23">
        <f t="shared" si="57"/>
        <v>0</v>
      </c>
      <c r="BH39" s="257">
        <f t="shared" si="58"/>
        <v>0</v>
      </c>
      <c r="BI39" s="23">
        <f t="shared" si="59"/>
        <v>0</v>
      </c>
      <c r="BJ39" s="23">
        <f t="shared" si="59"/>
        <v>0</v>
      </c>
      <c r="BK39" s="257">
        <f t="shared" si="60"/>
        <v>0</v>
      </c>
      <c r="BL39" s="23">
        <f t="shared" si="61"/>
        <v>0</v>
      </c>
      <c r="BM39" s="23">
        <f t="shared" si="61"/>
        <v>0</v>
      </c>
      <c r="BN39" s="257">
        <f t="shared" si="61"/>
        <v>0</v>
      </c>
      <c r="BO39" s="466">
        <f t="shared" si="62"/>
        <v>0</v>
      </c>
      <c r="BP39" s="472"/>
      <c r="BQ39" s="23">
        <f t="shared" si="63"/>
        <v>0</v>
      </c>
      <c r="BR39" s="23">
        <f t="shared" si="64"/>
        <v>0</v>
      </c>
      <c r="BS39" s="466">
        <f t="shared" si="36"/>
        <v>0</v>
      </c>
      <c r="BT39" s="509">
        <f t="shared" si="65"/>
        <v>0</v>
      </c>
      <c r="BU39" s="466">
        <f t="shared" si="66"/>
        <v>0</v>
      </c>
    </row>
    <row r="40" spans="1:73" ht="12.6" customHeight="1">
      <c r="A40" s="254" t="s">
        <v>40</v>
      </c>
      <c r="B40" s="129">
        <f t="shared" si="39"/>
        <v>0</v>
      </c>
      <c r="C40" s="257"/>
      <c r="D40" s="129"/>
      <c r="E40" s="129"/>
      <c r="F40" s="129"/>
      <c r="G40" s="509">
        <f t="shared" si="40"/>
        <v>0</v>
      </c>
      <c r="H40" s="129"/>
      <c r="I40" s="129"/>
      <c r="J40" s="129"/>
      <c r="K40" s="509">
        <f t="shared" si="41"/>
        <v>0</v>
      </c>
      <c r="L40" s="129"/>
      <c r="M40" s="129"/>
      <c r="N40" s="129"/>
      <c r="O40" s="509">
        <f t="shared" si="42"/>
        <v>0</v>
      </c>
      <c r="P40" s="129"/>
      <c r="Q40" s="129"/>
      <c r="R40" s="129"/>
      <c r="S40" s="509">
        <f t="shared" si="43"/>
        <v>0</v>
      </c>
      <c r="T40" s="129"/>
      <c r="U40" s="129"/>
      <c r="V40" s="129">
        <f t="shared" ref="V40:V49" si="67">(T40*U40)/10^6</f>
        <v>0</v>
      </c>
      <c r="W40" s="509">
        <f t="shared" si="45"/>
        <v>0</v>
      </c>
      <c r="X40" s="129"/>
      <c r="Y40" s="129"/>
      <c r="Z40" s="129"/>
      <c r="AA40" s="509">
        <f t="shared" si="46"/>
        <v>0</v>
      </c>
      <c r="AB40" s="129"/>
      <c r="AC40" s="129"/>
      <c r="AD40" s="129"/>
      <c r="AE40" s="509">
        <f t="shared" si="47"/>
        <v>0</v>
      </c>
      <c r="AF40" s="129"/>
      <c r="AG40" s="129"/>
      <c r="AH40" s="129"/>
      <c r="AI40" s="509">
        <f t="shared" si="48"/>
        <v>0</v>
      </c>
      <c r="AJ40" s="129"/>
      <c r="AK40" s="129"/>
      <c r="AL40" s="129"/>
      <c r="AM40" s="509">
        <f t="shared" si="49"/>
        <v>0</v>
      </c>
      <c r="AN40" s="129"/>
      <c r="AO40" s="129"/>
      <c r="AP40" s="129"/>
      <c r="AQ40" s="509">
        <f t="shared" si="50"/>
        <v>0</v>
      </c>
      <c r="AR40" s="129"/>
      <c r="AS40" s="129"/>
      <c r="AT40" s="129"/>
      <c r="AU40" s="509">
        <f t="shared" si="51"/>
        <v>0</v>
      </c>
      <c r="AV40" s="129"/>
      <c r="AW40" s="129"/>
      <c r="AX40" s="129"/>
      <c r="AY40" s="509">
        <f t="shared" si="52"/>
        <v>0</v>
      </c>
      <c r="AZ40" s="23">
        <f t="shared" si="53"/>
        <v>0</v>
      </c>
      <c r="BA40" s="23">
        <f t="shared" si="53"/>
        <v>0</v>
      </c>
      <c r="BB40" s="509">
        <f t="shared" si="54"/>
        <v>0</v>
      </c>
      <c r="BC40" s="23">
        <f t="shared" si="55"/>
        <v>0</v>
      </c>
      <c r="BD40" s="257">
        <f t="shared" si="55"/>
        <v>0</v>
      </c>
      <c r="BE40" s="257">
        <f t="shared" si="56"/>
        <v>0</v>
      </c>
      <c r="BF40" s="257">
        <f t="shared" si="57"/>
        <v>0</v>
      </c>
      <c r="BG40" s="23">
        <f t="shared" si="57"/>
        <v>0</v>
      </c>
      <c r="BH40" s="257">
        <f t="shared" si="58"/>
        <v>0</v>
      </c>
      <c r="BI40" s="23">
        <f t="shared" si="59"/>
        <v>0</v>
      </c>
      <c r="BJ40" s="23">
        <f t="shared" si="59"/>
        <v>0</v>
      </c>
      <c r="BK40" s="257">
        <f t="shared" si="60"/>
        <v>0</v>
      </c>
      <c r="BL40" s="23">
        <f t="shared" si="61"/>
        <v>0</v>
      </c>
      <c r="BM40" s="23">
        <f t="shared" si="61"/>
        <v>0</v>
      </c>
      <c r="BN40" s="257">
        <f t="shared" si="61"/>
        <v>0</v>
      </c>
      <c r="BO40" s="466">
        <f t="shared" si="62"/>
        <v>0</v>
      </c>
      <c r="BP40" s="472"/>
      <c r="BQ40" s="23">
        <f t="shared" si="63"/>
        <v>0</v>
      </c>
      <c r="BR40" s="23">
        <f t="shared" si="64"/>
        <v>0</v>
      </c>
      <c r="BS40" s="466">
        <f t="shared" si="36"/>
        <v>0</v>
      </c>
      <c r="BT40" s="509">
        <f t="shared" si="65"/>
        <v>0</v>
      </c>
      <c r="BU40" s="466">
        <f t="shared" si="66"/>
        <v>0</v>
      </c>
    </row>
    <row r="41" spans="1:73" ht="12.6" customHeight="1">
      <c r="A41" s="254" t="s">
        <v>30</v>
      </c>
      <c r="B41" s="129">
        <f t="shared" si="39"/>
        <v>0</v>
      </c>
      <c r="C41" s="257"/>
      <c r="D41" s="129"/>
      <c r="E41" s="129"/>
      <c r="F41" s="129"/>
      <c r="G41" s="509">
        <f t="shared" si="40"/>
        <v>0</v>
      </c>
      <c r="H41" s="129"/>
      <c r="I41" s="129"/>
      <c r="J41" s="129"/>
      <c r="K41" s="509">
        <f t="shared" si="41"/>
        <v>0</v>
      </c>
      <c r="L41" s="129"/>
      <c r="M41" s="129"/>
      <c r="N41" s="129"/>
      <c r="O41" s="509">
        <f t="shared" si="42"/>
        <v>0</v>
      </c>
      <c r="P41" s="129"/>
      <c r="Q41" s="129"/>
      <c r="R41" s="129"/>
      <c r="S41" s="509">
        <f t="shared" si="43"/>
        <v>0</v>
      </c>
      <c r="T41" s="129"/>
      <c r="U41" s="129"/>
      <c r="V41" s="129">
        <f t="shared" si="67"/>
        <v>0</v>
      </c>
      <c r="W41" s="509">
        <f t="shared" si="45"/>
        <v>0</v>
      </c>
      <c r="X41" s="129"/>
      <c r="Y41" s="129"/>
      <c r="Z41" s="129"/>
      <c r="AA41" s="509">
        <f t="shared" si="46"/>
        <v>0</v>
      </c>
      <c r="AB41" s="129"/>
      <c r="AC41" s="129"/>
      <c r="AD41" s="129"/>
      <c r="AE41" s="509">
        <f t="shared" si="47"/>
        <v>0</v>
      </c>
      <c r="AF41" s="129"/>
      <c r="AG41" s="129"/>
      <c r="AH41" s="129"/>
      <c r="AI41" s="509">
        <f t="shared" si="48"/>
        <v>0</v>
      </c>
      <c r="AJ41" s="129"/>
      <c r="AK41" s="129"/>
      <c r="AL41" s="129"/>
      <c r="AM41" s="509">
        <f t="shared" si="49"/>
        <v>0</v>
      </c>
      <c r="AN41" s="129"/>
      <c r="AO41" s="129"/>
      <c r="AP41" s="129"/>
      <c r="AQ41" s="509">
        <f t="shared" si="50"/>
        <v>0</v>
      </c>
      <c r="AR41" s="129"/>
      <c r="AS41" s="129"/>
      <c r="AT41" s="129"/>
      <c r="AU41" s="509">
        <f t="shared" si="51"/>
        <v>0</v>
      </c>
      <c r="AV41" s="129"/>
      <c r="AW41" s="129"/>
      <c r="AX41" s="129"/>
      <c r="AY41" s="509">
        <f t="shared" si="52"/>
        <v>0</v>
      </c>
      <c r="AZ41" s="23">
        <f t="shared" si="53"/>
        <v>0</v>
      </c>
      <c r="BA41" s="23">
        <f t="shared" si="53"/>
        <v>0</v>
      </c>
      <c r="BB41" s="509">
        <f t="shared" si="54"/>
        <v>0</v>
      </c>
      <c r="BC41" s="23">
        <f t="shared" si="55"/>
        <v>0</v>
      </c>
      <c r="BD41" s="257">
        <f t="shared" si="55"/>
        <v>0</v>
      </c>
      <c r="BE41" s="257">
        <f t="shared" si="56"/>
        <v>0</v>
      </c>
      <c r="BF41" s="257">
        <f t="shared" si="57"/>
        <v>0</v>
      </c>
      <c r="BG41" s="23">
        <f t="shared" si="57"/>
        <v>0</v>
      </c>
      <c r="BH41" s="257">
        <f t="shared" si="58"/>
        <v>0</v>
      </c>
      <c r="BI41" s="23">
        <f t="shared" si="59"/>
        <v>0</v>
      </c>
      <c r="BJ41" s="23">
        <f t="shared" si="59"/>
        <v>0</v>
      </c>
      <c r="BK41" s="257">
        <f t="shared" si="60"/>
        <v>0</v>
      </c>
      <c r="BL41" s="23">
        <f t="shared" si="61"/>
        <v>0</v>
      </c>
      <c r="BM41" s="23">
        <f t="shared" si="61"/>
        <v>0</v>
      </c>
      <c r="BN41" s="257">
        <f t="shared" si="61"/>
        <v>0</v>
      </c>
      <c r="BO41" s="466">
        <f t="shared" si="62"/>
        <v>0</v>
      </c>
      <c r="BP41" s="472"/>
      <c r="BQ41" s="23">
        <f t="shared" si="63"/>
        <v>0</v>
      </c>
      <c r="BR41" s="23">
        <f t="shared" si="64"/>
        <v>0</v>
      </c>
      <c r="BS41" s="466">
        <f t="shared" si="36"/>
        <v>0</v>
      </c>
      <c r="BT41" s="509">
        <f t="shared" si="65"/>
        <v>0</v>
      </c>
      <c r="BU41" s="466">
        <f t="shared" si="66"/>
        <v>0</v>
      </c>
    </row>
    <row r="42" spans="1:73" ht="12.6" customHeight="1">
      <c r="A42" s="254" t="s">
        <v>120</v>
      </c>
      <c r="B42" s="129">
        <f t="shared" si="39"/>
        <v>0</v>
      </c>
      <c r="C42" s="257"/>
      <c r="D42" s="129"/>
      <c r="E42" s="129"/>
      <c r="F42" s="129"/>
      <c r="G42" s="509">
        <f t="shared" si="40"/>
        <v>0</v>
      </c>
      <c r="H42" s="129"/>
      <c r="I42" s="129"/>
      <c r="J42" s="129"/>
      <c r="K42" s="509">
        <f t="shared" si="41"/>
        <v>0</v>
      </c>
      <c r="L42" s="129"/>
      <c r="M42" s="129"/>
      <c r="N42" s="129"/>
      <c r="O42" s="509">
        <f t="shared" si="42"/>
        <v>0</v>
      </c>
      <c r="P42" s="129"/>
      <c r="Q42" s="129"/>
      <c r="R42" s="129"/>
      <c r="S42" s="509">
        <f t="shared" si="43"/>
        <v>0</v>
      </c>
      <c r="T42" s="129"/>
      <c r="U42" s="129"/>
      <c r="V42" s="129">
        <f t="shared" si="67"/>
        <v>0</v>
      </c>
      <c r="W42" s="509">
        <f t="shared" si="45"/>
        <v>0</v>
      </c>
      <c r="X42" s="129"/>
      <c r="Y42" s="129"/>
      <c r="Z42" s="129"/>
      <c r="AA42" s="509">
        <f t="shared" si="46"/>
        <v>0</v>
      </c>
      <c r="AB42" s="129"/>
      <c r="AC42" s="129"/>
      <c r="AD42" s="129"/>
      <c r="AE42" s="509">
        <f t="shared" si="47"/>
        <v>0</v>
      </c>
      <c r="AF42" s="129"/>
      <c r="AG42" s="129"/>
      <c r="AH42" s="129"/>
      <c r="AI42" s="509">
        <f t="shared" si="48"/>
        <v>0</v>
      </c>
      <c r="AJ42" s="129"/>
      <c r="AK42" s="129">
        <v>14</v>
      </c>
      <c r="AL42" s="129">
        <v>1599</v>
      </c>
      <c r="AM42" s="509">
        <f t="shared" si="49"/>
        <v>0.150008586</v>
      </c>
      <c r="AN42" s="129"/>
      <c r="AO42" s="129"/>
      <c r="AP42" s="129"/>
      <c r="AQ42" s="509">
        <f t="shared" si="50"/>
        <v>0</v>
      </c>
      <c r="AR42" s="129"/>
      <c r="AS42" s="129"/>
      <c r="AT42" s="129"/>
      <c r="AU42" s="509">
        <f t="shared" si="51"/>
        <v>0</v>
      </c>
      <c r="AV42" s="129"/>
      <c r="AW42" s="129"/>
      <c r="AX42" s="129"/>
      <c r="AY42" s="509">
        <f t="shared" si="52"/>
        <v>0</v>
      </c>
      <c r="AZ42" s="23">
        <f t="shared" si="53"/>
        <v>0</v>
      </c>
      <c r="BA42" s="23">
        <f t="shared" si="53"/>
        <v>0</v>
      </c>
      <c r="BB42" s="509">
        <f t="shared" si="54"/>
        <v>0</v>
      </c>
      <c r="BC42" s="23">
        <f t="shared" si="55"/>
        <v>0</v>
      </c>
      <c r="BD42" s="257">
        <f t="shared" si="55"/>
        <v>0</v>
      </c>
      <c r="BE42" s="257">
        <f t="shared" si="56"/>
        <v>0</v>
      </c>
      <c r="BF42" s="257">
        <f t="shared" si="57"/>
        <v>0</v>
      </c>
      <c r="BG42" s="23">
        <f t="shared" si="57"/>
        <v>14</v>
      </c>
      <c r="BH42" s="257">
        <f t="shared" si="58"/>
        <v>0.150008586</v>
      </c>
      <c r="BI42" s="23">
        <f t="shared" si="59"/>
        <v>0</v>
      </c>
      <c r="BJ42" s="23">
        <f t="shared" si="59"/>
        <v>0</v>
      </c>
      <c r="BK42" s="257">
        <f t="shared" si="60"/>
        <v>0</v>
      </c>
      <c r="BL42" s="23">
        <f t="shared" si="61"/>
        <v>0</v>
      </c>
      <c r="BM42" s="23">
        <f t="shared" si="61"/>
        <v>14</v>
      </c>
      <c r="BN42" s="257">
        <f t="shared" si="61"/>
        <v>0.150008586</v>
      </c>
      <c r="BO42" s="466">
        <f t="shared" si="62"/>
        <v>0</v>
      </c>
      <c r="BP42" s="472"/>
      <c r="BQ42" s="23">
        <f t="shared" si="63"/>
        <v>0</v>
      </c>
      <c r="BR42" s="23">
        <f t="shared" si="64"/>
        <v>0</v>
      </c>
      <c r="BS42" s="466">
        <f t="shared" si="36"/>
        <v>0</v>
      </c>
      <c r="BT42" s="509">
        <f t="shared" si="65"/>
        <v>0</v>
      </c>
      <c r="BU42" s="466">
        <f t="shared" si="66"/>
        <v>0</v>
      </c>
    </row>
    <row r="43" spans="1:73" ht="12.6" customHeight="1">
      <c r="A43" s="254" t="s">
        <v>36</v>
      </c>
      <c r="B43" s="129">
        <f t="shared" si="39"/>
        <v>0</v>
      </c>
      <c r="C43" s="257"/>
      <c r="D43" s="129"/>
      <c r="E43" s="129"/>
      <c r="F43" s="129"/>
      <c r="G43" s="509">
        <f t="shared" si="40"/>
        <v>0</v>
      </c>
      <c r="H43" s="129"/>
      <c r="I43" s="129"/>
      <c r="J43" s="129"/>
      <c r="K43" s="509">
        <f t="shared" si="41"/>
        <v>0</v>
      </c>
      <c r="L43" s="129"/>
      <c r="M43" s="129"/>
      <c r="N43" s="129"/>
      <c r="O43" s="509">
        <f t="shared" si="42"/>
        <v>0</v>
      </c>
      <c r="P43" s="129"/>
      <c r="Q43" s="129"/>
      <c r="R43" s="129"/>
      <c r="S43" s="509">
        <f t="shared" si="43"/>
        <v>0</v>
      </c>
      <c r="T43" s="129"/>
      <c r="U43" s="129"/>
      <c r="V43" s="129">
        <f t="shared" si="67"/>
        <v>0</v>
      </c>
      <c r="W43" s="509">
        <f t="shared" si="45"/>
        <v>0</v>
      </c>
      <c r="X43" s="129"/>
      <c r="Y43" s="129"/>
      <c r="Z43" s="129"/>
      <c r="AA43" s="509">
        <f t="shared" si="46"/>
        <v>0</v>
      </c>
      <c r="AB43" s="129"/>
      <c r="AC43" s="129"/>
      <c r="AD43" s="129"/>
      <c r="AE43" s="509">
        <f t="shared" si="47"/>
        <v>0</v>
      </c>
      <c r="AF43" s="129"/>
      <c r="AG43" s="129"/>
      <c r="AH43" s="129"/>
      <c r="AI43" s="509">
        <f t="shared" si="48"/>
        <v>0</v>
      </c>
      <c r="AJ43" s="129"/>
      <c r="AK43" s="129"/>
      <c r="AL43" s="129"/>
      <c r="AM43" s="509">
        <f t="shared" si="49"/>
        <v>0</v>
      </c>
      <c r="AN43" s="129"/>
      <c r="AO43" s="129"/>
      <c r="AP43" s="129"/>
      <c r="AQ43" s="509">
        <f t="shared" si="50"/>
        <v>0</v>
      </c>
      <c r="AR43" s="129"/>
      <c r="AS43" s="129"/>
      <c r="AT43" s="129"/>
      <c r="AU43" s="509">
        <f t="shared" si="51"/>
        <v>0</v>
      </c>
      <c r="AV43" s="129"/>
      <c r="AW43" s="129"/>
      <c r="AX43" s="129"/>
      <c r="AY43" s="509">
        <f t="shared" si="52"/>
        <v>0</v>
      </c>
      <c r="AZ43" s="23">
        <f t="shared" si="53"/>
        <v>0</v>
      </c>
      <c r="BA43" s="23">
        <f t="shared" si="53"/>
        <v>0</v>
      </c>
      <c r="BB43" s="509">
        <f t="shared" si="54"/>
        <v>0</v>
      </c>
      <c r="BC43" s="23">
        <f t="shared" si="55"/>
        <v>0</v>
      </c>
      <c r="BD43" s="257">
        <f t="shared" si="55"/>
        <v>0</v>
      </c>
      <c r="BE43" s="257">
        <f t="shared" si="56"/>
        <v>0</v>
      </c>
      <c r="BF43" s="257">
        <f t="shared" si="57"/>
        <v>0</v>
      </c>
      <c r="BG43" s="23">
        <f t="shared" si="57"/>
        <v>0</v>
      </c>
      <c r="BH43" s="257">
        <f t="shared" si="58"/>
        <v>0</v>
      </c>
      <c r="BI43" s="23">
        <f t="shared" si="59"/>
        <v>0</v>
      </c>
      <c r="BJ43" s="23">
        <f t="shared" si="59"/>
        <v>0</v>
      </c>
      <c r="BK43" s="257">
        <f t="shared" si="60"/>
        <v>0</v>
      </c>
      <c r="BL43" s="23">
        <f t="shared" si="61"/>
        <v>0</v>
      </c>
      <c r="BM43" s="23">
        <f t="shared" si="61"/>
        <v>0</v>
      </c>
      <c r="BN43" s="257">
        <f t="shared" si="61"/>
        <v>0</v>
      </c>
      <c r="BO43" s="466">
        <f t="shared" si="62"/>
        <v>0</v>
      </c>
      <c r="BP43" s="472"/>
      <c r="BQ43" s="23">
        <f t="shared" si="63"/>
        <v>0</v>
      </c>
      <c r="BR43" s="23">
        <f t="shared" si="64"/>
        <v>0</v>
      </c>
      <c r="BS43" s="466">
        <f t="shared" si="36"/>
        <v>0</v>
      </c>
      <c r="BT43" s="509">
        <f t="shared" si="65"/>
        <v>0</v>
      </c>
      <c r="BU43" s="466">
        <f t="shared" si="66"/>
        <v>0</v>
      </c>
    </row>
    <row r="44" spans="1:73" ht="12.6" customHeight="1">
      <c r="A44" s="254" t="s">
        <v>53</v>
      </c>
      <c r="B44" s="129">
        <f t="shared" si="39"/>
        <v>0</v>
      </c>
      <c r="C44" s="257"/>
      <c r="D44" s="129"/>
      <c r="E44" s="129"/>
      <c r="F44" s="129"/>
      <c r="G44" s="509">
        <f t="shared" si="40"/>
        <v>0</v>
      </c>
      <c r="H44" s="129"/>
      <c r="I44" s="129"/>
      <c r="J44" s="129"/>
      <c r="K44" s="509">
        <f t="shared" si="41"/>
        <v>0</v>
      </c>
      <c r="L44" s="129"/>
      <c r="M44" s="129"/>
      <c r="N44" s="129"/>
      <c r="O44" s="509">
        <f t="shared" si="42"/>
        <v>0</v>
      </c>
      <c r="P44" s="129"/>
      <c r="Q44" s="129"/>
      <c r="R44" s="129"/>
      <c r="S44" s="509">
        <f t="shared" si="43"/>
        <v>0</v>
      </c>
      <c r="T44" s="129"/>
      <c r="U44" s="129"/>
      <c r="V44" s="129">
        <f t="shared" si="67"/>
        <v>0</v>
      </c>
      <c r="W44" s="509">
        <f t="shared" si="45"/>
        <v>0</v>
      </c>
      <c r="X44" s="129"/>
      <c r="Y44" s="129"/>
      <c r="Z44" s="129"/>
      <c r="AA44" s="509">
        <f t="shared" si="46"/>
        <v>0</v>
      </c>
      <c r="AB44" s="129"/>
      <c r="AC44" s="129"/>
      <c r="AD44" s="129"/>
      <c r="AE44" s="509">
        <f t="shared" si="47"/>
        <v>0</v>
      </c>
      <c r="AF44" s="129"/>
      <c r="AG44" s="129"/>
      <c r="AH44" s="129"/>
      <c r="AI44" s="509">
        <f t="shared" si="48"/>
        <v>0</v>
      </c>
      <c r="AJ44" s="129"/>
      <c r="AK44" s="129"/>
      <c r="AL44" s="129"/>
      <c r="AM44" s="509">
        <f t="shared" si="49"/>
        <v>0</v>
      </c>
      <c r="AN44" s="129"/>
      <c r="AO44" s="129"/>
      <c r="AP44" s="129"/>
      <c r="AQ44" s="509">
        <f t="shared" si="50"/>
        <v>0</v>
      </c>
      <c r="AR44" s="129"/>
      <c r="AS44" s="129"/>
      <c r="AT44" s="129"/>
      <c r="AU44" s="509">
        <f t="shared" si="51"/>
        <v>0</v>
      </c>
      <c r="AV44" s="129"/>
      <c r="AW44" s="129"/>
      <c r="AX44" s="129"/>
      <c r="AY44" s="509">
        <f t="shared" si="52"/>
        <v>0</v>
      </c>
      <c r="AZ44" s="23">
        <f t="shared" si="53"/>
        <v>0</v>
      </c>
      <c r="BA44" s="23">
        <f t="shared" si="53"/>
        <v>0</v>
      </c>
      <c r="BB44" s="509">
        <f t="shared" si="54"/>
        <v>0</v>
      </c>
      <c r="BC44" s="23">
        <f t="shared" si="55"/>
        <v>0</v>
      </c>
      <c r="BD44" s="257">
        <f t="shared" si="55"/>
        <v>0</v>
      </c>
      <c r="BE44" s="257">
        <f t="shared" si="56"/>
        <v>0</v>
      </c>
      <c r="BF44" s="257">
        <f t="shared" si="57"/>
        <v>0</v>
      </c>
      <c r="BG44" s="23">
        <f t="shared" si="57"/>
        <v>0</v>
      </c>
      <c r="BH44" s="257">
        <f t="shared" si="58"/>
        <v>0</v>
      </c>
      <c r="BI44" s="23">
        <f t="shared" si="59"/>
        <v>0</v>
      </c>
      <c r="BJ44" s="23">
        <f t="shared" si="59"/>
        <v>0</v>
      </c>
      <c r="BK44" s="257">
        <f t="shared" si="60"/>
        <v>0</v>
      </c>
      <c r="BL44" s="23">
        <f t="shared" si="61"/>
        <v>0</v>
      </c>
      <c r="BM44" s="23">
        <f t="shared" si="61"/>
        <v>0</v>
      </c>
      <c r="BN44" s="257">
        <f t="shared" si="61"/>
        <v>0</v>
      </c>
      <c r="BO44" s="466">
        <f t="shared" si="62"/>
        <v>0</v>
      </c>
      <c r="BP44" s="472"/>
      <c r="BQ44" s="23">
        <f t="shared" si="63"/>
        <v>0</v>
      </c>
      <c r="BR44" s="23">
        <f t="shared" si="64"/>
        <v>0</v>
      </c>
      <c r="BS44" s="466">
        <f t="shared" si="36"/>
        <v>0</v>
      </c>
      <c r="BT44" s="509">
        <f t="shared" si="65"/>
        <v>0</v>
      </c>
      <c r="BU44" s="466">
        <f t="shared" si="66"/>
        <v>0</v>
      </c>
    </row>
    <row r="45" spans="1:73" ht="12.6" customHeight="1">
      <c r="A45" s="505" t="s">
        <v>124</v>
      </c>
      <c r="B45" s="129">
        <f t="shared" si="39"/>
        <v>0</v>
      </c>
      <c r="C45" s="257">
        <v>62.214285714285715</v>
      </c>
      <c r="D45" s="129"/>
      <c r="E45" s="129"/>
      <c r="F45" s="129"/>
      <c r="G45" s="509">
        <f t="shared" si="40"/>
        <v>0</v>
      </c>
      <c r="H45" s="129"/>
      <c r="I45" s="129"/>
      <c r="J45" s="129"/>
      <c r="K45" s="509">
        <f t="shared" si="41"/>
        <v>0</v>
      </c>
      <c r="L45" s="129"/>
      <c r="M45" s="129"/>
      <c r="N45" s="129"/>
      <c r="O45" s="509">
        <f t="shared" si="42"/>
        <v>0</v>
      </c>
      <c r="P45" s="129"/>
      <c r="Q45" s="129"/>
      <c r="R45" s="129"/>
      <c r="S45" s="509">
        <f t="shared" si="43"/>
        <v>0</v>
      </c>
      <c r="T45" s="129"/>
      <c r="U45" s="129"/>
      <c r="V45" s="129">
        <f t="shared" si="67"/>
        <v>0</v>
      </c>
      <c r="W45" s="509">
        <f t="shared" si="45"/>
        <v>0</v>
      </c>
      <c r="X45" s="129"/>
      <c r="Y45" s="129"/>
      <c r="Z45" s="129"/>
      <c r="AA45" s="509">
        <f t="shared" si="46"/>
        <v>0</v>
      </c>
      <c r="AB45" s="129"/>
      <c r="AC45" s="129"/>
      <c r="AD45" s="129"/>
      <c r="AE45" s="509">
        <f t="shared" si="47"/>
        <v>0</v>
      </c>
      <c r="AF45" s="129"/>
      <c r="AG45" s="129"/>
      <c r="AH45" s="129"/>
      <c r="AI45" s="509">
        <f t="shared" si="48"/>
        <v>0</v>
      </c>
      <c r="AJ45" s="129"/>
      <c r="AK45" s="129"/>
      <c r="AL45" s="129"/>
      <c r="AM45" s="509">
        <f t="shared" si="49"/>
        <v>0</v>
      </c>
      <c r="AN45" s="129"/>
      <c r="AO45" s="129"/>
      <c r="AP45" s="129"/>
      <c r="AQ45" s="509">
        <f t="shared" si="50"/>
        <v>0</v>
      </c>
      <c r="AR45" s="129"/>
      <c r="AS45" s="129"/>
      <c r="AT45" s="129"/>
      <c r="AU45" s="509">
        <f t="shared" si="51"/>
        <v>0</v>
      </c>
      <c r="AV45" s="129"/>
      <c r="AW45" s="129"/>
      <c r="AX45" s="129"/>
      <c r="AY45" s="509">
        <f t="shared" si="52"/>
        <v>0</v>
      </c>
      <c r="AZ45" s="23">
        <f t="shared" si="53"/>
        <v>0</v>
      </c>
      <c r="BA45" s="23">
        <f t="shared" si="53"/>
        <v>0</v>
      </c>
      <c r="BB45" s="509">
        <f t="shared" si="54"/>
        <v>0</v>
      </c>
      <c r="BC45" s="23">
        <f t="shared" si="55"/>
        <v>0</v>
      </c>
      <c r="BD45" s="257">
        <f t="shared" si="55"/>
        <v>0</v>
      </c>
      <c r="BE45" s="257">
        <f t="shared" si="56"/>
        <v>0</v>
      </c>
      <c r="BF45" s="257">
        <f t="shared" si="57"/>
        <v>0</v>
      </c>
      <c r="BG45" s="23">
        <f t="shared" si="57"/>
        <v>0</v>
      </c>
      <c r="BH45" s="257">
        <f t="shared" si="58"/>
        <v>0</v>
      </c>
      <c r="BI45" s="23">
        <f t="shared" si="59"/>
        <v>0</v>
      </c>
      <c r="BJ45" s="23">
        <f t="shared" si="59"/>
        <v>0</v>
      </c>
      <c r="BK45" s="257">
        <f t="shared" si="60"/>
        <v>0</v>
      </c>
      <c r="BL45" s="23">
        <f t="shared" si="61"/>
        <v>0</v>
      </c>
      <c r="BM45" s="23">
        <f t="shared" si="61"/>
        <v>0</v>
      </c>
      <c r="BN45" s="257">
        <f t="shared" si="61"/>
        <v>0</v>
      </c>
      <c r="BO45" s="466">
        <f t="shared" si="62"/>
        <v>0</v>
      </c>
      <c r="BP45" s="472"/>
      <c r="BQ45" s="23">
        <f t="shared" si="63"/>
        <v>0</v>
      </c>
      <c r="BR45" s="23">
        <f t="shared" si="64"/>
        <v>0</v>
      </c>
      <c r="BS45" s="466">
        <f t="shared" si="36"/>
        <v>0</v>
      </c>
      <c r="BT45" s="509">
        <f t="shared" si="65"/>
        <v>0</v>
      </c>
      <c r="BU45" s="466">
        <f t="shared" si="66"/>
        <v>0</v>
      </c>
    </row>
    <row r="46" spans="1:73" ht="12.6" customHeight="1">
      <c r="A46" s="506" t="s">
        <v>63</v>
      </c>
      <c r="B46" s="129">
        <f t="shared" si="39"/>
        <v>0</v>
      </c>
      <c r="C46" s="257"/>
      <c r="D46" s="129"/>
      <c r="E46" s="129"/>
      <c r="F46" s="129"/>
      <c r="G46" s="509">
        <f t="shared" si="40"/>
        <v>0</v>
      </c>
      <c r="H46" s="129"/>
      <c r="I46" s="129"/>
      <c r="J46" s="129"/>
      <c r="K46" s="509">
        <f t="shared" si="41"/>
        <v>0</v>
      </c>
      <c r="L46" s="129"/>
      <c r="M46" s="129"/>
      <c r="N46" s="129"/>
      <c r="O46" s="509">
        <f t="shared" si="42"/>
        <v>0</v>
      </c>
      <c r="P46" s="129"/>
      <c r="Q46" s="129"/>
      <c r="R46" s="129"/>
      <c r="S46" s="509">
        <f t="shared" si="43"/>
        <v>0</v>
      </c>
      <c r="T46" s="129"/>
      <c r="U46" s="129"/>
      <c r="V46" s="129">
        <f t="shared" si="67"/>
        <v>0</v>
      </c>
      <c r="W46" s="509">
        <f t="shared" si="45"/>
        <v>0</v>
      </c>
      <c r="X46" s="129"/>
      <c r="Y46" s="129"/>
      <c r="Z46" s="129"/>
      <c r="AA46" s="509">
        <f t="shared" si="46"/>
        <v>0</v>
      </c>
      <c r="AB46" s="129"/>
      <c r="AC46" s="129"/>
      <c r="AD46" s="129"/>
      <c r="AE46" s="509">
        <f t="shared" si="47"/>
        <v>0</v>
      </c>
      <c r="AF46" s="129"/>
      <c r="AG46" s="129"/>
      <c r="AH46" s="129"/>
      <c r="AI46" s="509">
        <f t="shared" si="48"/>
        <v>0</v>
      </c>
      <c r="AJ46" s="129"/>
      <c r="AK46" s="129"/>
      <c r="AL46" s="129"/>
      <c r="AM46" s="509">
        <f t="shared" si="49"/>
        <v>0</v>
      </c>
      <c r="AN46" s="129"/>
      <c r="AO46" s="129"/>
      <c r="AP46" s="129"/>
      <c r="AQ46" s="509">
        <f t="shared" si="50"/>
        <v>0</v>
      </c>
      <c r="AR46" s="129"/>
      <c r="AS46" s="129"/>
      <c r="AT46" s="129"/>
      <c r="AU46" s="509">
        <f t="shared" si="51"/>
        <v>0</v>
      </c>
      <c r="AV46" s="129"/>
      <c r="AW46" s="129"/>
      <c r="AX46" s="129"/>
      <c r="AY46" s="509">
        <f t="shared" si="52"/>
        <v>0</v>
      </c>
      <c r="AZ46" s="23">
        <f t="shared" si="53"/>
        <v>0</v>
      </c>
      <c r="BA46" s="23">
        <f t="shared" si="53"/>
        <v>0</v>
      </c>
      <c r="BB46" s="509">
        <f t="shared" si="54"/>
        <v>0</v>
      </c>
      <c r="BC46" s="23">
        <f t="shared" si="55"/>
        <v>0</v>
      </c>
      <c r="BD46" s="257">
        <f t="shared" si="55"/>
        <v>0</v>
      </c>
      <c r="BE46" s="257">
        <f t="shared" si="56"/>
        <v>0</v>
      </c>
      <c r="BF46" s="257">
        <f t="shared" si="57"/>
        <v>0</v>
      </c>
      <c r="BG46" s="23">
        <f t="shared" si="57"/>
        <v>0</v>
      </c>
      <c r="BH46" s="257">
        <f t="shared" si="58"/>
        <v>0</v>
      </c>
      <c r="BI46" s="23">
        <f t="shared" si="59"/>
        <v>0</v>
      </c>
      <c r="BJ46" s="23">
        <f t="shared" si="59"/>
        <v>0</v>
      </c>
      <c r="BK46" s="257">
        <f t="shared" si="60"/>
        <v>0</v>
      </c>
      <c r="BL46" s="23">
        <f t="shared" si="61"/>
        <v>0</v>
      </c>
      <c r="BM46" s="23">
        <f t="shared" si="61"/>
        <v>0</v>
      </c>
      <c r="BN46" s="257">
        <f t="shared" si="61"/>
        <v>0</v>
      </c>
      <c r="BO46" s="466">
        <f t="shared" si="62"/>
        <v>0</v>
      </c>
      <c r="BP46" s="472"/>
      <c r="BQ46" s="23">
        <f t="shared" si="63"/>
        <v>0</v>
      </c>
      <c r="BR46" s="23">
        <f t="shared" si="64"/>
        <v>0</v>
      </c>
      <c r="BS46" s="466">
        <f t="shared" si="36"/>
        <v>0</v>
      </c>
      <c r="BT46" s="509">
        <f t="shared" si="65"/>
        <v>0</v>
      </c>
      <c r="BU46" s="466">
        <f t="shared" si="66"/>
        <v>0</v>
      </c>
    </row>
    <row r="47" spans="1:73" ht="12.6" customHeight="1">
      <c r="A47" s="506" t="s">
        <v>41</v>
      </c>
      <c r="B47" s="129">
        <f t="shared" si="39"/>
        <v>0</v>
      </c>
      <c r="C47" s="257"/>
      <c r="D47" s="129"/>
      <c r="E47" s="129"/>
      <c r="F47" s="129"/>
      <c r="G47" s="509">
        <f t="shared" si="40"/>
        <v>0</v>
      </c>
      <c r="H47" s="129"/>
      <c r="I47" s="129">
        <v>1</v>
      </c>
      <c r="J47" s="129">
        <v>1456</v>
      </c>
      <c r="K47" s="509">
        <f>I47*(J47-411)*66.91/10^7</f>
        <v>6.9920949999999994E-3</v>
      </c>
      <c r="L47" s="129"/>
      <c r="M47" s="129"/>
      <c r="N47" s="129"/>
      <c r="O47" s="509">
        <f t="shared" si="42"/>
        <v>0</v>
      </c>
      <c r="P47" s="129"/>
      <c r="Q47" s="129"/>
      <c r="R47" s="129"/>
      <c r="S47" s="509">
        <f t="shared" si="43"/>
        <v>0</v>
      </c>
      <c r="T47" s="129"/>
      <c r="U47" s="129"/>
      <c r="V47" s="129">
        <f t="shared" si="67"/>
        <v>0</v>
      </c>
      <c r="W47" s="509">
        <f t="shared" si="45"/>
        <v>0</v>
      </c>
      <c r="X47" s="129"/>
      <c r="Y47" s="129"/>
      <c r="Z47" s="129"/>
      <c r="AA47" s="509">
        <f t="shared" si="46"/>
        <v>0</v>
      </c>
      <c r="AB47" s="129"/>
      <c r="AC47" s="129"/>
      <c r="AD47" s="129"/>
      <c r="AE47" s="509">
        <f t="shared" si="47"/>
        <v>0</v>
      </c>
      <c r="AF47" s="129"/>
      <c r="AG47" s="129"/>
      <c r="AH47" s="129"/>
      <c r="AI47" s="509">
        <f t="shared" si="48"/>
        <v>0</v>
      </c>
      <c r="AJ47" s="129"/>
      <c r="AK47" s="129"/>
      <c r="AL47" s="129"/>
      <c r="AM47" s="509">
        <f t="shared" si="49"/>
        <v>0</v>
      </c>
      <c r="AN47" s="129"/>
      <c r="AO47" s="129"/>
      <c r="AP47" s="129"/>
      <c r="AQ47" s="509">
        <f t="shared" si="50"/>
        <v>0</v>
      </c>
      <c r="AR47" s="129"/>
      <c r="AS47" s="129"/>
      <c r="AT47" s="129"/>
      <c r="AU47" s="509">
        <f t="shared" si="51"/>
        <v>0</v>
      </c>
      <c r="AV47" s="129"/>
      <c r="AW47" s="129"/>
      <c r="AX47" s="129"/>
      <c r="AY47" s="509">
        <f t="shared" si="52"/>
        <v>0</v>
      </c>
      <c r="AZ47" s="23">
        <f t="shared" si="53"/>
        <v>0</v>
      </c>
      <c r="BA47" s="23">
        <f t="shared" si="53"/>
        <v>1</v>
      </c>
      <c r="BB47" s="509">
        <f t="shared" si="54"/>
        <v>6.9920949999999994E-3</v>
      </c>
      <c r="BC47" s="23">
        <f t="shared" si="55"/>
        <v>0</v>
      </c>
      <c r="BD47" s="257">
        <f t="shared" si="55"/>
        <v>0</v>
      </c>
      <c r="BE47" s="257">
        <f t="shared" si="56"/>
        <v>0</v>
      </c>
      <c r="BF47" s="257">
        <f t="shared" si="57"/>
        <v>0</v>
      </c>
      <c r="BG47" s="23">
        <f t="shared" si="57"/>
        <v>0</v>
      </c>
      <c r="BH47" s="257">
        <f t="shared" si="58"/>
        <v>0</v>
      </c>
      <c r="BI47" s="23">
        <f t="shared" si="59"/>
        <v>0</v>
      </c>
      <c r="BJ47" s="23">
        <f t="shared" si="59"/>
        <v>0</v>
      </c>
      <c r="BK47" s="257">
        <f t="shared" si="60"/>
        <v>0</v>
      </c>
      <c r="BL47" s="23">
        <f t="shared" si="61"/>
        <v>0</v>
      </c>
      <c r="BM47" s="23">
        <f t="shared" si="61"/>
        <v>1</v>
      </c>
      <c r="BN47" s="257">
        <f t="shared" si="61"/>
        <v>6.9920949999999994E-3</v>
      </c>
      <c r="BO47" s="466">
        <f t="shared" si="62"/>
        <v>0</v>
      </c>
      <c r="BP47" s="472"/>
      <c r="BQ47" s="23">
        <f t="shared" si="63"/>
        <v>0</v>
      </c>
      <c r="BR47" s="23">
        <f t="shared" si="64"/>
        <v>1</v>
      </c>
      <c r="BS47" s="466">
        <f t="shared" si="36"/>
        <v>0</v>
      </c>
      <c r="BT47" s="509">
        <f t="shared" si="65"/>
        <v>6.9920949999999994E-3</v>
      </c>
      <c r="BU47" s="466">
        <f t="shared" si="66"/>
        <v>0</v>
      </c>
    </row>
    <row r="48" spans="1:73" ht="12.6" customHeight="1">
      <c r="A48" s="506" t="s">
        <v>52</v>
      </c>
      <c r="B48" s="129">
        <f t="shared" si="39"/>
        <v>0</v>
      </c>
      <c r="C48" s="257"/>
      <c r="D48" s="129"/>
      <c r="E48" s="129"/>
      <c r="F48" s="129"/>
      <c r="G48" s="509">
        <f t="shared" si="40"/>
        <v>0</v>
      </c>
      <c r="H48" s="129"/>
      <c r="I48" s="129"/>
      <c r="J48" s="129"/>
      <c r="K48" s="509">
        <f t="shared" si="41"/>
        <v>0</v>
      </c>
      <c r="L48" s="129"/>
      <c r="M48" s="129"/>
      <c r="N48" s="129"/>
      <c r="O48" s="509">
        <f t="shared" si="42"/>
        <v>0</v>
      </c>
      <c r="P48" s="129"/>
      <c r="Q48" s="129"/>
      <c r="R48" s="129"/>
      <c r="S48" s="509">
        <f t="shared" si="43"/>
        <v>0</v>
      </c>
      <c r="T48" s="129"/>
      <c r="U48" s="129"/>
      <c r="V48" s="129">
        <f t="shared" si="67"/>
        <v>0</v>
      </c>
      <c r="W48" s="509">
        <f t="shared" si="45"/>
        <v>0</v>
      </c>
      <c r="X48" s="129"/>
      <c r="Y48" s="129"/>
      <c r="Z48" s="129"/>
      <c r="AA48" s="509">
        <f t="shared" si="46"/>
        <v>0</v>
      </c>
      <c r="AB48" s="129"/>
      <c r="AC48" s="129"/>
      <c r="AD48" s="129"/>
      <c r="AE48" s="509">
        <f t="shared" si="47"/>
        <v>0</v>
      </c>
      <c r="AF48" s="129"/>
      <c r="AG48" s="129"/>
      <c r="AH48" s="129"/>
      <c r="AI48" s="509">
        <f t="shared" si="48"/>
        <v>0</v>
      </c>
      <c r="AJ48" s="129"/>
      <c r="AK48" s="129"/>
      <c r="AL48" s="129"/>
      <c r="AM48" s="509">
        <f t="shared" si="49"/>
        <v>0</v>
      </c>
      <c r="AN48" s="129"/>
      <c r="AO48" s="129"/>
      <c r="AP48" s="129"/>
      <c r="AQ48" s="509">
        <f t="shared" si="50"/>
        <v>0</v>
      </c>
      <c r="AR48" s="129"/>
      <c r="AS48" s="129"/>
      <c r="AT48" s="129"/>
      <c r="AU48" s="509">
        <f t="shared" si="51"/>
        <v>0</v>
      </c>
      <c r="AV48" s="129"/>
      <c r="AW48" s="129"/>
      <c r="AX48" s="129"/>
      <c r="AY48" s="509">
        <f t="shared" si="52"/>
        <v>0</v>
      </c>
      <c r="AZ48" s="23">
        <f t="shared" si="53"/>
        <v>0</v>
      </c>
      <c r="BA48" s="23">
        <f t="shared" si="53"/>
        <v>0</v>
      </c>
      <c r="BB48" s="509">
        <f t="shared" si="54"/>
        <v>0</v>
      </c>
      <c r="BC48" s="23">
        <f t="shared" si="55"/>
        <v>0</v>
      </c>
      <c r="BD48" s="257">
        <f t="shared" si="55"/>
        <v>0</v>
      </c>
      <c r="BE48" s="257">
        <f t="shared" si="56"/>
        <v>0</v>
      </c>
      <c r="BF48" s="257">
        <f t="shared" si="57"/>
        <v>0</v>
      </c>
      <c r="BG48" s="23">
        <f t="shared" si="57"/>
        <v>0</v>
      </c>
      <c r="BH48" s="257">
        <f t="shared" si="58"/>
        <v>0</v>
      </c>
      <c r="BI48" s="23">
        <f t="shared" si="59"/>
        <v>0</v>
      </c>
      <c r="BJ48" s="23">
        <f t="shared" si="59"/>
        <v>0</v>
      </c>
      <c r="BK48" s="257">
        <f t="shared" si="60"/>
        <v>0</v>
      </c>
      <c r="BL48" s="23">
        <f t="shared" si="61"/>
        <v>0</v>
      </c>
      <c r="BM48" s="23">
        <f t="shared" si="61"/>
        <v>0</v>
      </c>
      <c r="BN48" s="257">
        <f t="shared" si="61"/>
        <v>0</v>
      </c>
      <c r="BO48" s="466">
        <f t="shared" si="62"/>
        <v>0</v>
      </c>
      <c r="BP48" s="472"/>
      <c r="BQ48" s="23">
        <f t="shared" si="63"/>
        <v>0</v>
      </c>
      <c r="BR48" s="23">
        <f t="shared" si="64"/>
        <v>0</v>
      </c>
      <c r="BS48" s="466">
        <f t="shared" si="36"/>
        <v>0</v>
      </c>
      <c r="BT48" s="509">
        <f t="shared" si="65"/>
        <v>0</v>
      </c>
      <c r="BU48" s="466">
        <f t="shared" si="66"/>
        <v>0</v>
      </c>
    </row>
    <row r="49" spans="1:73" ht="12.6" customHeight="1">
      <c r="A49" s="506" t="s">
        <v>42</v>
      </c>
      <c r="B49" s="129">
        <f t="shared" si="39"/>
        <v>0</v>
      </c>
      <c r="C49" s="257"/>
      <c r="D49" s="129"/>
      <c r="E49" s="129"/>
      <c r="F49" s="129"/>
      <c r="G49" s="509">
        <f t="shared" si="40"/>
        <v>0</v>
      </c>
      <c r="H49" s="129"/>
      <c r="I49" s="129"/>
      <c r="J49" s="129"/>
      <c r="K49" s="509">
        <f t="shared" si="41"/>
        <v>0</v>
      </c>
      <c r="L49" s="129"/>
      <c r="M49" s="129"/>
      <c r="N49" s="129"/>
      <c r="O49" s="509">
        <f t="shared" si="42"/>
        <v>0</v>
      </c>
      <c r="P49" s="129"/>
      <c r="Q49" s="129"/>
      <c r="R49" s="129"/>
      <c r="S49" s="509">
        <f t="shared" si="43"/>
        <v>0</v>
      </c>
      <c r="T49" s="129"/>
      <c r="U49" s="129"/>
      <c r="V49" s="129">
        <f t="shared" si="67"/>
        <v>0</v>
      </c>
      <c r="W49" s="509">
        <f t="shared" si="45"/>
        <v>0</v>
      </c>
      <c r="X49" s="129"/>
      <c r="Y49" s="129"/>
      <c r="Z49" s="129"/>
      <c r="AA49" s="509">
        <f t="shared" si="46"/>
        <v>0</v>
      </c>
      <c r="AB49" s="129"/>
      <c r="AC49" s="129"/>
      <c r="AD49" s="129"/>
      <c r="AE49" s="509">
        <f t="shared" si="47"/>
        <v>0</v>
      </c>
      <c r="AF49" s="129"/>
      <c r="AG49" s="129"/>
      <c r="AH49" s="129"/>
      <c r="AI49" s="509">
        <f t="shared" si="48"/>
        <v>0</v>
      </c>
      <c r="AJ49" s="129"/>
      <c r="AK49" s="129"/>
      <c r="AL49" s="129"/>
      <c r="AM49" s="509">
        <f t="shared" si="49"/>
        <v>0</v>
      </c>
      <c r="AN49" s="129"/>
      <c r="AO49" s="129"/>
      <c r="AP49" s="129"/>
      <c r="AQ49" s="509">
        <f t="shared" si="50"/>
        <v>0</v>
      </c>
      <c r="AR49" s="129"/>
      <c r="AS49" s="129"/>
      <c r="AT49" s="129"/>
      <c r="AU49" s="509">
        <f t="shared" si="51"/>
        <v>0</v>
      </c>
      <c r="AV49" s="129"/>
      <c r="AW49" s="129"/>
      <c r="AX49" s="129"/>
      <c r="AY49" s="509">
        <f t="shared" si="52"/>
        <v>0</v>
      </c>
      <c r="AZ49" s="23">
        <f t="shared" si="53"/>
        <v>0</v>
      </c>
      <c r="BA49" s="23">
        <f t="shared" si="53"/>
        <v>0</v>
      </c>
      <c r="BB49" s="509">
        <f t="shared" si="54"/>
        <v>0</v>
      </c>
      <c r="BC49" s="23">
        <f t="shared" si="55"/>
        <v>0</v>
      </c>
      <c r="BD49" s="257">
        <f t="shared" si="55"/>
        <v>0</v>
      </c>
      <c r="BE49" s="257">
        <f t="shared" si="56"/>
        <v>0</v>
      </c>
      <c r="BF49" s="257">
        <f t="shared" si="57"/>
        <v>0</v>
      </c>
      <c r="BG49" s="23">
        <f t="shared" si="57"/>
        <v>0</v>
      </c>
      <c r="BH49" s="257">
        <f t="shared" si="58"/>
        <v>0</v>
      </c>
      <c r="BI49" s="23">
        <f t="shared" si="59"/>
        <v>0</v>
      </c>
      <c r="BJ49" s="23">
        <f t="shared" si="59"/>
        <v>0</v>
      </c>
      <c r="BK49" s="257">
        <f t="shared" si="60"/>
        <v>0</v>
      </c>
      <c r="BL49" s="23">
        <f t="shared" si="61"/>
        <v>0</v>
      </c>
      <c r="BM49" s="23">
        <f t="shared" si="61"/>
        <v>0</v>
      </c>
      <c r="BN49" s="257">
        <f t="shared" si="61"/>
        <v>0</v>
      </c>
      <c r="BO49" s="466">
        <f t="shared" si="62"/>
        <v>0</v>
      </c>
      <c r="BP49" s="472"/>
      <c r="BQ49" s="23">
        <f t="shared" si="63"/>
        <v>0</v>
      </c>
      <c r="BR49" s="23">
        <f t="shared" si="64"/>
        <v>0</v>
      </c>
      <c r="BS49" s="466">
        <f t="shared" si="36"/>
        <v>0</v>
      </c>
      <c r="BT49" s="509">
        <f t="shared" si="65"/>
        <v>0</v>
      </c>
      <c r="BU49" s="466">
        <f t="shared" si="66"/>
        <v>0</v>
      </c>
    </row>
    <row r="50" spans="1:73" ht="12.6" customHeight="1">
      <c r="A50" s="506" t="s">
        <v>127</v>
      </c>
      <c r="B50" s="129">
        <f t="shared" si="39"/>
        <v>0</v>
      </c>
      <c r="C50" s="257"/>
      <c r="D50" s="129"/>
      <c r="E50" s="129"/>
      <c r="F50" s="129"/>
      <c r="G50" s="509">
        <f t="shared" si="40"/>
        <v>0</v>
      </c>
      <c r="H50" s="129"/>
      <c r="I50" s="129"/>
      <c r="J50" s="129"/>
      <c r="K50" s="509">
        <f t="shared" si="41"/>
        <v>0</v>
      </c>
      <c r="L50" s="129"/>
      <c r="M50" s="129"/>
      <c r="N50" s="129"/>
      <c r="O50" s="509">
        <f t="shared" si="42"/>
        <v>0</v>
      </c>
      <c r="P50" s="129"/>
      <c r="Q50" s="129"/>
      <c r="R50" s="129"/>
      <c r="S50" s="509">
        <f t="shared" si="43"/>
        <v>0</v>
      </c>
      <c r="T50" s="129"/>
      <c r="U50" s="129"/>
      <c r="V50" s="129">
        <f>(T50*U50)/10^6</f>
        <v>0</v>
      </c>
      <c r="W50" s="509">
        <f t="shared" si="45"/>
        <v>0</v>
      </c>
      <c r="X50" s="129"/>
      <c r="Y50" s="129"/>
      <c r="Z50" s="129"/>
      <c r="AA50" s="509">
        <f t="shared" si="46"/>
        <v>0</v>
      </c>
      <c r="AB50" s="129"/>
      <c r="AC50" s="129"/>
      <c r="AD50" s="129"/>
      <c r="AE50" s="509">
        <f t="shared" si="47"/>
        <v>0</v>
      </c>
      <c r="AF50" s="129"/>
      <c r="AG50" s="129"/>
      <c r="AH50" s="129"/>
      <c r="AI50" s="509">
        <f t="shared" si="48"/>
        <v>0</v>
      </c>
      <c r="AJ50" s="129"/>
      <c r="AK50" s="129"/>
      <c r="AL50" s="129"/>
      <c r="AM50" s="509">
        <f t="shared" si="49"/>
        <v>0</v>
      </c>
      <c r="AN50" s="129"/>
      <c r="AO50" s="129"/>
      <c r="AP50" s="129"/>
      <c r="AQ50" s="509">
        <f t="shared" si="50"/>
        <v>0</v>
      </c>
      <c r="AR50" s="129"/>
      <c r="AS50" s="129"/>
      <c r="AT50" s="129"/>
      <c r="AU50" s="509">
        <f t="shared" si="51"/>
        <v>0</v>
      </c>
      <c r="AV50" s="129"/>
      <c r="AW50" s="129"/>
      <c r="AX50" s="129"/>
      <c r="AY50" s="509">
        <f t="shared" si="52"/>
        <v>0</v>
      </c>
      <c r="AZ50" s="23">
        <f t="shared" si="53"/>
        <v>0</v>
      </c>
      <c r="BA50" s="23">
        <f t="shared" si="53"/>
        <v>0</v>
      </c>
      <c r="BB50" s="509">
        <f t="shared" si="54"/>
        <v>0</v>
      </c>
      <c r="BC50" s="23">
        <f t="shared" si="55"/>
        <v>0</v>
      </c>
      <c r="BD50" s="257">
        <f t="shared" si="55"/>
        <v>0</v>
      </c>
      <c r="BE50" s="257">
        <f t="shared" si="56"/>
        <v>0</v>
      </c>
      <c r="BF50" s="257">
        <f t="shared" si="57"/>
        <v>0</v>
      </c>
      <c r="BG50" s="23">
        <f t="shared" si="57"/>
        <v>0</v>
      </c>
      <c r="BH50" s="257">
        <f t="shared" si="58"/>
        <v>0</v>
      </c>
      <c r="BI50" s="23">
        <f t="shared" si="59"/>
        <v>0</v>
      </c>
      <c r="BJ50" s="23">
        <f t="shared" si="59"/>
        <v>0</v>
      </c>
      <c r="BK50" s="257">
        <f t="shared" si="60"/>
        <v>0</v>
      </c>
      <c r="BL50" s="23">
        <f t="shared" si="61"/>
        <v>0</v>
      </c>
      <c r="BM50" s="23">
        <f t="shared" si="61"/>
        <v>0</v>
      </c>
      <c r="BN50" s="257">
        <f t="shared" si="61"/>
        <v>0</v>
      </c>
      <c r="BO50" s="466">
        <f t="shared" si="62"/>
        <v>0</v>
      </c>
      <c r="BP50" s="472"/>
      <c r="BQ50" s="23">
        <f t="shared" si="63"/>
        <v>0</v>
      </c>
      <c r="BR50" s="23">
        <f t="shared" si="64"/>
        <v>0</v>
      </c>
      <c r="BS50" s="466">
        <f t="shared" si="36"/>
        <v>0</v>
      </c>
      <c r="BT50" s="509">
        <f t="shared" si="65"/>
        <v>0</v>
      </c>
      <c r="BU50" s="466">
        <f t="shared" si="66"/>
        <v>0</v>
      </c>
    </row>
    <row r="51" spans="1:73" ht="12.6" customHeight="1">
      <c r="A51" s="254" t="s">
        <v>126</v>
      </c>
      <c r="B51" s="129">
        <f t="shared" si="39"/>
        <v>0</v>
      </c>
      <c r="C51" s="257">
        <v>12.357142857142858</v>
      </c>
      <c r="D51" s="129"/>
      <c r="E51" s="129"/>
      <c r="F51" s="129"/>
      <c r="G51" s="509">
        <f t="shared" si="40"/>
        <v>0</v>
      </c>
      <c r="H51" s="129"/>
      <c r="I51" s="129"/>
      <c r="J51" s="129"/>
      <c r="K51" s="509">
        <f t="shared" si="41"/>
        <v>0</v>
      </c>
      <c r="L51" s="129"/>
      <c r="M51" s="129"/>
      <c r="N51" s="129"/>
      <c r="O51" s="509">
        <f t="shared" si="42"/>
        <v>0</v>
      </c>
      <c r="P51" s="129"/>
      <c r="Q51" s="129"/>
      <c r="R51" s="129"/>
      <c r="S51" s="509">
        <f t="shared" si="43"/>
        <v>0</v>
      </c>
      <c r="T51" s="129"/>
      <c r="U51" s="129"/>
      <c r="V51" s="129">
        <f t="shared" ref="V51:V53" si="68">(T51*U51)/10^6</f>
        <v>0</v>
      </c>
      <c r="W51" s="509">
        <f t="shared" si="45"/>
        <v>0</v>
      </c>
      <c r="X51" s="129"/>
      <c r="Y51" s="129"/>
      <c r="Z51" s="129"/>
      <c r="AA51" s="509">
        <f t="shared" si="46"/>
        <v>0</v>
      </c>
      <c r="AB51" s="129"/>
      <c r="AC51" s="129"/>
      <c r="AD51" s="129"/>
      <c r="AE51" s="509">
        <f t="shared" si="47"/>
        <v>0</v>
      </c>
      <c r="AF51" s="129"/>
      <c r="AG51" s="129"/>
      <c r="AH51" s="129"/>
      <c r="AI51" s="509">
        <f t="shared" si="48"/>
        <v>0</v>
      </c>
      <c r="AJ51" s="129"/>
      <c r="AK51" s="129"/>
      <c r="AL51" s="129"/>
      <c r="AM51" s="509">
        <f t="shared" si="49"/>
        <v>0</v>
      </c>
      <c r="AN51" s="129"/>
      <c r="AO51" s="129"/>
      <c r="AP51" s="129"/>
      <c r="AQ51" s="509">
        <f t="shared" si="50"/>
        <v>0</v>
      </c>
      <c r="AR51" s="129"/>
      <c r="AS51" s="129"/>
      <c r="AT51" s="129"/>
      <c r="AU51" s="509">
        <f t="shared" si="51"/>
        <v>0</v>
      </c>
      <c r="AV51" s="129"/>
      <c r="AW51" s="129"/>
      <c r="AX51" s="129"/>
      <c r="AY51" s="509">
        <f t="shared" si="52"/>
        <v>0</v>
      </c>
      <c r="AZ51" s="23">
        <f t="shared" si="53"/>
        <v>0</v>
      </c>
      <c r="BA51" s="23">
        <f t="shared" si="53"/>
        <v>0</v>
      </c>
      <c r="BB51" s="509">
        <f t="shared" si="54"/>
        <v>0</v>
      </c>
      <c r="BC51" s="23">
        <f t="shared" si="55"/>
        <v>0</v>
      </c>
      <c r="BD51" s="257">
        <f t="shared" si="55"/>
        <v>0</v>
      </c>
      <c r="BE51" s="257">
        <f t="shared" si="56"/>
        <v>0</v>
      </c>
      <c r="BF51" s="257">
        <f t="shared" si="57"/>
        <v>0</v>
      </c>
      <c r="BG51" s="23">
        <f t="shared" si="57"/>
        <v>0</v>
      </c>
      <c r="BH51" s="257">
        <f t="shared" si="58"/>
        <v>0</v>
      </c>
      <c r="BI51" s="23">
        <f t="shared" si="59"/>
        <v>0</v>
      </c>
      <c r="BJ51" s="23">
        <f t="shared" si="59"/>
        <v>0</v>
      </c>
      <c r="BK51" s="257">
        <f t="shared" si="60"/>
        <v>0</v>
      </c>
      <c r="BL51" s="23">
        <f t="shared" si="61"/>
        <v>0</v>
      </c>
      <c r="BM51" s="23">
        <f t="shared" si="61"/>
        <v>0</v>
      </c>
      <c r="BN51" s="257">
        <f t="shared" si="61"/>
        <v>0</v>
      </c>
      <c r="BO51" s="466">
        <f t="shared" si="62"/>
        <v>0</v>
      </c>
      <c r="BP51" s="472"/>
      <c r="BQ51" s="23">
        <f t="shared" si="63"/>
        <v>0</v>
      </c>
      <c r="BR51" s="23">
        <f t="shared" si="64"/>
        <v>0</v>
      </c>
      <c r="BS51" s="466">
        <f t="shared" si="36"/>
        <v>0</v>
      </c>
      <c r="BT51" s="509">
        <f t="shared" si="65"/>
        <v>0</v>
      </c>
      <c r="BU51" s="466">
        <f t="shared" si="66"/>
        <v>0</v>
      </c>
    </row>
    <row r="52" spans="1:73" ht="12.6" customHeight="1">
      <c r="A52" s="254" t="s">
        <v>64</v>
      </c>
      <c r="B52" s="129">
        <f t="shared" si="39"/>
        <v>0</v>
      </c>
      <c r="C52" s="257"/>
      <c r="D52" s="129"/>
      <c r="E52" s="129"/>
      <c r="F52" s="129"/>
      <c r="G52" s="509">
        <f t="shared" si="40"/>
        <v>0</v>
      </c>
      <c r="H52" s="129"/>
      <c r="I52" s="129"/>
      <c r="J52" s="129"/>
      <c r="K52" s="509">
        <f t="shared" si="41"/>
        <v>0</v>
      </c>
      <c r="L52" s="129"/>
      <c r="M52" s="129"/>
      <c r="N52" s="129"/>
      <c r="O52" s="509">
        <f t="shared" si="42"/>
        <v>0</v>
      </c>
      <c r="P52" s="129"/>
      <c r="Q52" s="129"/>
      <c r="R52" s="129"/>
      <c r="S52" s="509">
        <f t="shared" si="43"/>
        <v>0</v>
      </c>
      <c r="T52" s="129"/>
      <c r="U52" s="129"/>
      <c r="V52" s="129">
        <f t="shared" si="68"/>
        <v>0</v>
      </c>
      <c r="W52" s="509">
        <f t="shared" si="45"/>
        <v>0</v>
      </c>
      <c r="X52" s="129"/>
      <c r="Y52" s="129"/>
      <c r="Z52" s="129"/>
      <c r="AA52" s="509">
        <f t="shared" si="46"/>
        <v>0</v>
      </c>
      <c r="AB52" s="129"/>
      <c r="AC52" s="129"/>
      <c r="AD52" s="129"/>
      <c r="AE52" s="509">
        <f t="shared" si="47"/>
        <v>0</v>
      </c>
      <c r="AF52" s="129"/>
      <c r="AG52" s="129"/>
      <c r="AH52" s="129"/>
      <c r="AI52" s="509">
        <f t="shared" si="48"/>
        <v>0</v>
      </c>
      <c r="AJ52" s="129"/>
      <c r="AK52" s="129"/>
      <c r="AL52" s="129"/>
      <c r="AM52" s="509">
        <f t="shared" si="49"/>
        <v>0</v>
      </c>
      <c r="AN52" s="129"/>
      <c r="AO52" s="129"/>
      <c r="AP52" s="129"/>
      <c r="AQ52" s="509">
        <f t="shared" si="50"/>
        <v>0</v>
      </c>
      <c r="AR52" s="129"/>
      <c r="AS52" s="129"/>
      <c r="AT52" s="129"/>
      <c r="AU52" s="509">
        <f t="shared" si="51"/>
        <v>0</v>
      </c>
      <c r="AV52" s="129"/>
      <c r="AW52" s="129"/>
      <c r="AX52" s="129"/>
      <c r="AY52" s="509">
        <f t="shared" si="52"/>
        <v>0</v>
      </c>
      <c r="AZ52" s="23">
        <f t="shared" si="53"/>
        <v>0</v>
      </c>
      <c r="BA52" s="23">
        <f t="shared" si="53"/>
        <v>0</v>
      </c>
      <c r="BB52" s="509">
        <f t="shared" si="54"/>
        <v>0</v>
      </c>
      <c r="BC52" s="23">
        <f t="shared" si="55"/>
        <v>0</v>
      </c>
      <c r="BD52" s="257">
        <f t="shared" si="55"/>
        <v>0</v>
      </c>
      <c r="BE52" s="257">
        <f t="shared" si="56"/>
        <v>0</v>
      </c>
      <c r="BF52" s="257">
        <f t="shared" si="57"/>
        <v>0</v>
      </c>
      <c r="BG52" s="23">
        <f t="shared" si="57"/>
        <v>0</v>
      </c>
      <c r="BH52" s="257">
        <f t="shared" si="58"/>
        <v>0</v>
      </c>
      <c r="BI52" s="23">
        <f t="shared" si="59"/>
        <v>0</v>
      </c>
      <c r="BJ52" s="23">
        <f t="shared" si="59"/>
        <v>0</v>
      </c>
      <c r="BK52" s="257">
        <f t="shared" si="60"/>
        <v>0</v>
      </c>
      <c r="BL52" s="23">
        <f t="shared" si="61"/>
        <v>0</v>
      </c>
      <c r="BM52" s="23">
        <f t="shared" si="61"/>
        <v>0</v>
      </c>
      <c r="BN52" s="257">
        <f t="shared" si="61"/>
        <v>0</v>
      </c>
      <c r="BO52" s="466">
        <f t="shared" si="62"/>
        <v>0</v>
      </c>
      <c r="BP52" s="472"/>
      <c r="BQ52" s="23">
        <f t="shared" si="63"/>
        <v>0</v>
      </c>
      <c r="BR52" s="23">
        <f t="shared" si="64"/>
        <v>0</v>
      </c>
      <c r="BS52" s="466">
        <f t="shared" si="36"/>
        <v>0</v>
      </c>
      <c r="BT52" s="509">
        <f t="shared" si="65"/>
        <v>0</v>
      </c>
      <c r="BU52" s="466">
        <f t="shared" si="66"/>
        <v>0</v>
      </c>
    </row>
    <row r="53" spans="1:73" ht="12.6" customHeight="1">
      <c r="A53" s="254" t="s">
        <v>119</v>
      </c>
      <c r="B53" s="129">
        <f t="shared" si="39"/>
        <v>200</v>
      </c>
      <c r="C53" s="257">
        <v>18.399999999999999</v>
      </c>
      <c r="D53" s="129"/>
      <c r="E53" s="129"/>
      <c r="F53" s="129"/>
      <c r="G53" s="509">
        <f t="shared" si="40"/>
        <v>0</v>
      </c>
      <c r="H53" s="129"/>
      <c r="I53" s="129"/>
      <c r="J53" s="129"/>
      <c r="K53" s="509">
        <f t="shared" si="41"/>
        <v>0</v>
      </c>
      <c r="L53" s="129">
        <v>14</v>
      </c>
      <c r="M53" s="129"/>
      <c r="N53" s="129"/>
      <c r="O53" s="509">
        <f t="shared" si="42"/>
        <v>0</v>
      </c>
      <c r="P53" s="129">
        <v>14</v>
      </c>
      <c r="Q53" s="129"/>
      <c r="R53" s="129"/>
      <c r="S53" s="509">
        <f t="shared" si="43"/>
        <v>0</v>
      </c>
      <c r="T53" s="129">
        <v>14</v>
      </c>
      <c r="U53" s="129"/>
      <c r="V53" s="129">
        <f t="shared" si="68"/>
        <v>0</v>
      </c>
      <c r="W53" s="509">
        <f t="shared" si="45"/>
        <v>0</v>
      </c>
      <c r="X53" s="129">
        <v>14</v>
      </c>
      <c r="Y53" s="129"/>
      <c r="Z53" s="129"/>
      <c r="AA53" s="509">
        <f t="shared" si="46"/>
        <v>0</v>
      </c>
      <c r="AB53" s="129">
        <v>24</v>
      </c>
      <c r="AC53" s="129"/>
      <c r="AD53" s="129"/>
      <c r="AE53" s="509">
        <f t="shared" si="47"/>
        <v>0</v>
      </c>
      <c r="AF53" s="129">
        <v>24</v>
      </c>
      <c r="AG53" s="129"/>
      <c r="AH53" s="129"/>
      <c r="AI53" s="509">
        <f t="shared" si="48"/>
        <v>0</v>
      </c>
      <c r="AJ53" s="129">
        <v>24</v>
      </c>
      <c r="AK53" s="129"/>
      <c r="AL53" s="129"/>
      <c r="AM53" s="509">
        <f t="shared" si="49"/>
        <v>0</v>
      </c>
      <c r="AN53" s="129">
        <v>24</v>
      </c>
      <c r="AO53" s="129"/>
      <c r="AP53" s="129"/>
      <c r="AQ53" s="509">
        <f t="shared" si="50"/>
        <v>0</v>
      </c>
      <c r="AR53" s="129">
        <v>24</v>
      </c>
      <c r="AS53" s="129"/>
      <c r="AT53" s="129"/>
      <c r="AU53" s="509">
        <f t="shared" si="51"/>
        <v>0</v>
      </c>
      <c r="AV53" s="129">
        <v>24</v>
      </c>
      <c r="AW53" s="129"/>
      <c r="AX53" s="129"/>
      <c r="AY53" s="509">
        <f t="shared" si="52"/>
        <v>0</v>
      </c>
      <c r="AZ53" s="23">
        <f t="shared" si="53"/>
        <v>14</v>
      </c>
      <c r="BA53" s="23">
        <f t="shared" si="53"/>
        <v>0</v>
      </c>
      <c r="BB53" s="509">
        <f t="shared" si="54"/>
        <v>0</v>
      </c>
      <c r="BC53" s="23">
        <f t="shared" si="55"/>
        <v>42</v>
      </c>
      <c r="BD53" s="257">
        <f t="shared" si="55"/>
        <v>0</v>
      </c>
      <c r="BE53" s="257">
        <f t="shared" si="56"/>
        <v>0</v>
      </c>
      <c r="BF53" s="257">
        <f t="shared" si="57"/>
        <v>72</v>
      </c>
      <c r="BG53" s="23">
        <f t="shared" si="57"/>
        <v>0</v>
      </c>
      <c r="BH53" s="257">
        <f t="shared" si="58"/>
        <v>0</v>
      </c>
      <c r="BI53" s="23">
        <f t="shared" si="59"/>
        <v>72</v>
      </c>
      <c r="BJ53" s="23">
        <f t="shared" si="59"/>
        <v>0</v>
      </c>
      <c r="BK53" s="257">
        <f t="shared" si="60"/>
        <v>0</v>
      </c>
      <c r="BL53" s="23">
        <f t="shared" si="61"/>
        <v>200</v>
      </c>
      <c r="BM53" s="23">
        <f t="shared" si="61"/>
        <v>0</v>
      </c>
      <c r="BN53" s="257">
        <f t="shared" si="61"/>
        <v>0</v>
      </c>
      <c r="BO53" s="466">
        <f t="shared" si="62"/>
        <v>0</v>
      </c>
      <c r="BP53" s="472"/>
      <c r="BQ53" s="23">
        <f t="shared" si="63"/>
        <v>56</v>
      </c>
      <c r="BR53" s="23">
        <f t="shared" si="64"/>
        <v>0</v>
      </c>
      <c r="BS53" s="466">
        <f t="shared" si="36"/>
        <v>0</v>
      </c>
      <c r="BT53" s="509">
        <f t="shared" si="65"/>
        <v>0</v>
      </c>
      <c r="BU53" s="466">
        <f t="shared" si="66"/>
        <v>0</v>
      </c>
    </row>
    <row r="54" spans="1:73" ht="12.6" customHeight="1">
      <c r="A54" s="482" t="s">
        <v>72</v>
      </c>
      <c r="B54" s="457">
        <f>SUM(B26:B53)</f>
        <v>2200</v>
      </c>
      <c r="C54" s="458"/>
      <c r="D54" s="457">
        <f>SUM(D26:D53)</f>
        <v>0</v>
      </c>
      <c r="E54" s="457">
        <f>SUM(E26:E53)</f>
        <v>0</v>
      </c>
      <c r="F54" s="457"/>
      <c r="G54" s="511">
        <f>SUM(G26:G53)</f>
        <v>0</v>
      </c>
      <c r="H54" s="457">
        <f>SUM(H26:H53)</f>
        <v>180</v>
      </c>
      <c r="I54" s="457">
        <f>SUM(I26:I53)</f>
        <v>172</v>
      </c>
      <c r="J54" s="457"/>
      <c r="K54" s="511">
        <f>SUM(K26:K53)</f>
        <v>1.0482772494571428</v>
      </c>
      <c r="L54" s="457">
        <f>SUM(L26:L53)</f>
        <v>258</v>
      </c>
      <c r="M54" s="457">
        <f>SUM(M26:M53)</f>
        <v>0</v>
      </c>
      <c r="N54" s="457"/>
      <c r="O54" s="511">
        <f>SUM(O26:O53)</f>
        <v>0</v>
      </c>
      <c r="P54" s="457">
        <f>SUM(P26:P53)</f>
        <v>226</v>
      </c>
      <c r="Q54" s="457">
        <f>SUM(Q26:Q53)</f>
        <v>122</v>
      </c>
      <c r="R54" s="457"/>
      <c r="S54" s="511">
        <f>SUM(S26:S53)</f>
        <v>0.63723809874285708</v>
      </c>
      <c r="T54" s="457">
        <f>SUM(T26:T53)</f>
        <v>184</v>
      </c>
      <c r="U54" s="457">
        <f>SUM(U26:U53)</f>
        <v>13</v>
      </c>
      <c r="V54" s="457"/>
      <c r="W54" s="511">
        <f>SUM(W26:W53)</f>
        <v>6.4387902985714299E-2</v>
      </c>
      <c r="X54" s="457">
        <f>SUM(X26:X53)</f>
        <v>216</v>
      </c>
      <c r="Y54" s="457">
        <f>SUM(Y26:Y53)</f>
        <v>11</v>
      </c>
      <c r="Z54" s="457">
        <f>IF(ISERROR(#REF!/X54*1000000),0,(#REF!/X54*1000000))</f>
        <v>0</v>
      </c>
      <c r="AA54" s="511">
        <f>SUM(AA26:AA53)</f>
        <v>8.6241870000000012E-2</v>
      </c>
      <c r="AB54" s="457">
        <f>SUM(AB26:AB53)</f>
        <v>194</v>
      </c>
      <c r="AC54" s="457">
        <f>SUM(AC26:AC53)</f>
        <v>24</v>
      </c>
      <c r="AD54" s="457">
        <f>IF(ISERROR(#REF!/AB54*1000000),0,(#REF!/AB54*1000000))</f>
        <v>0</v>
      </c>
      <c r="AE54" s="511">
        <f>SUM(AE26:AE53)</f>
        <v>0.136289352</v>
      </c>
      <c r="AF54" s="457">
        <f>SUM(AF26:AF53)</f>
        <v>150</v>
      </c>
      <c r="AG54" s="457">
        <f>SUM(AG26:AG53)</f>
        <v>5</v>
      </c>
      <c r="AH54" s="457">
        <f>IF(ISERROR(#REF!/AF54*1000000),0,(#REF!/AF54*1000000))</f>
        <v>0</v>
      </c>
      <c r="AI54" s="511">
        <f>SUM(AI26:AI53)</f>
        <v>3.390716875048936E-2</v>
      </c>
      <c r="AJ54" s="457">
        <f>SUM(AJ26:AJ53)</f>
        <v>222</v>
      </c>
      <c r="AK54" s="457">
        <f>SUM(AK26:AK53)</f>
        <v>14</v>
      </c>
      <c r="AL54" s="457">
        <f>IF(ISERROR(#REF!/AJ54*1000000),0,(#REF!/AJ54*1000000))</f>
        <v>0</v>
      </c>
      <c r="AM54" s="511">
        <f>SUM(AM26:AM53)</f>
        <v>0.150008586</v>
      </c>
      <c r="AN54" s="457">
        <f>SUM(AN26:AN53)</f>
        <v>174</v>
      </c>
      <c r="AO54" s="457">
        <f>SUM(AO26:AO53)</f>
        <v>0</v>
      </c>
      <c r="AP54" s="457">
        <f>IF(ISERROR(#REF!/AN54*1000000),0,(#REF!/AN54*1000000))</f>
        <v>0</v>
      </c>
      <c r="AQ54" s="511">
        <f>SUM(AQ26:AQ53)</f>
        <v>0</v>
      </c>
      <c r="AR54" s="457">
        <f>SUM(AR26:AR53)</f>
        <v>264</v>
      </c>
      <c r="AS54" s="457">
        <f>SUM(AS26:AS53)</f>
        <v>0</v>
      </c>
      <c r="AT54" s="457">
        <f>IF(ISERROR(#REF!/AR54*1000000),0,(#REF!/AR54*1000000))</f>
        <v>0</v>
      </c>
      <c r="AU54" s="511">
        <f>SUM(AU26:AU53)</f>
        <v>0</v>
      </c>
      <c r="AV54" s="457">
        <f>SUM(AV26:AV53)</f>
        <v>132</v>
      </c>
      <c r="AW54" s="457">
        <f>SUM(AW26:AW53)</f>
        <v>0</v>
      </c>
      <c r="AX54" s="457">
        <f>IF(ISERROR(#REF!/AV54*1000000),0,(#REF!/AV54*1000000))</f>
        <v>0</v>
      </c>
      <c r="AY54" s="511">
        <f>SUM(AY26:AY53)</f>
        <v>0</v>
      </c>
      <c r="AZ54" s="457">
        <f t="shared" ref="AZ54:BN54" si="69">SUM(AZ26:AZ53)</f>
        <v>438</v>
      </c>
      <c r="BA54" s="458">
        <f t="shared" si="69"/>
        <v>172</v>
      </c>
      <c r="BB54" s="511">
        <f t="shared" si="69"/>
        <v>1.0482772494571428</v>
      </c>
      <c r="BC54" s="457">
        <f t="shared" si="69"/>
        <v>626</v>
      </c>
      <c r="BD54" s="458">
        <f t="shared" si="69"/>
        <v>146</v>
      </c>
      <c r="BE54" s="458">
        <f t="shared" si="69"/>
        <v>0.78786787172857142</v>
      </c>
      <c r="BF54" s="458">
        <f t="shared" si="69"/>
        <v>566</v>
      </c>
      <c r="BG54" s="458">
        <f t="shared" si="69"/>
        <v>43</v>
      </c>
      <c r="BH54" s="458">
        <f t="shared" si="69"/>
        <v>0.32020510675048935</v>
      </c>
      <c r="BI54" s="458">
        <f t="shared" si="69"/>
        <v>570</v>
      </c>
      <c r="BJ54" s="458">
        <f t="shared" si="69"/>
        <v>0</v>
      </c>
      <c r="BK54" s="458">
        <f t="shared" si="69"/>
        <v>0</v>
      </c>
      <c r="BL54" s="458">
        <f t="shared" si="69"/>
        <v>2200</v>
      </c>
      <c r="BM54" s="458">
        <f t="shared" si="69"/>
        <v>361</v>
      </c>
      <c r="BN54" s="458">
        <f t="shared" si="69"/>
        <v>2.1563502279362039</v>
      </c>
      <c r="BO54" s="525">
        <f>IFERROR(BM54/BL54,0)</f>
        <v>0.16409090909090909</v>
      </c>
      <c r="BP54" s="472"/>
      <c r="BQ54" s="457">
        <f t="shared" ref="BQ54:BR54" si="70">SUM(BQ26:BQ53)</f>
        <v>1064</v>
      </c>
      <c r="BR54" s="457">
        <f t="shared" si="70"/>
        <v>318</v>
      </c>
      <c r="BS54" s="467">
        <f t="shared" si="36"/>
        <v>0.29887218045112784</v>
      </c>
      <c r="BT54" s="511">
        <f t="shared" ref="BT54" si="71">SUM(BT26:BT53)</f>
        <v>1.8361451211857145</v>
      </c>
      <c r="BU54" s="525">
        <f t="shared" si="66"/>
        <v>0.14454545454545453</v>
      </c>
    </row>
    <row r="55" spans="1:73" ht="12.6" customHeight="1">
      <c r="A55" s="254"/>
      <c r="B55" s="254"/>
      <c r="C55" s="461"/>
      <c r="D55" s="254"/>
      <c r="E55" s="254"/>
      <c r="F55" s="254"/>
      <c r="G55" s="513"/>
      <c r="H55" s="254"/>
      <c r="I55" s="254"/>
      <c r="J55" s="254"/>
      <c r="K55" s="513"/>
      <c r="L55" s="254"/>
      <c r="M55" s="254"/>
      <c r="N55" s="254"/>
      <c r="O55" s="513"/>
      <c r="P55" s="254"/>
      <c r="Q55" s="254"/>
      <c r="R55" s="254"/>
      <c r="S55" s="513"/>
      <c r="T55" s="254"/>
      <c r="U55" s="254"/>
      <c r="V55" s="254"/>
      <c r="W55" s="513"/>
      <c r="X55" s="254"/>
      <c r="Y55" s="254"/>
      <c r="Z55" s="254"/>
      <c r="AA55" s="513"/>
      <c r="AB55" s="254"/>
      <c r="AC55" s="254"/>
      <c r="AD55" s="254"/>
      <c r="AE55" s="513"/>
      <c r="AF55" s="254"/>
      <c r="AG55" s="254"/>
      <c r="AH55" s="254"/>
      <c r="AI55" s="513"/>
      <c r="AJ55" s="254"/>
      <c r="AK55" s="254"/>
      <c r="AL55" s="254"/>
      <c r="AM55" s="513"/>
      <c r="AN55" s="254"/>
      <c r="AO55" s="254"/>
      <c r="AP55" s="254"/>
      <c r="AQ55" s="513"/>
      <c r="AR55" s="254"/>
      <c r="AS55" s="254"/>
      <c r="AT55" s="254"/>
      <c r="AU55" s="513"/>
      <c r="AV55" s="254"/>
      <c r="AW55" s="254"/>
      <c r="AX55" s="254"/>
      <c r="AY55" s="513"/>
      <c r="AZ55" s="254"/>
      <c r="BA55" s="461"/>
      <c r="BB55" s="513"/>
      <c r="BC55" s="254"/>
      <c r="BD55" s="461"/>
      <c r="BE55" s="461"/>
      <c r="BF55" s="461"/>
      <c r="BG55" s="254"/>
      <c r="BH55" s="461"/>
      <c r="BI55" s="254"/>
      <c r="BJ55" s="254"/>
      <c r="BK55" s="461"/>
      <c r="BL55" s="254"/>
      <c r="BM55" s="254"/>
      <c r="BN55" s="461"/>
      <c r="BO55" s="469">
        <f t="shared" si="38"/>
        <v>0</v>
      </c>
      <c r="BP55" s="472"/>
      <c r="BQ55" s="254"/>
      <c r="BR55" s="495"/>
      <c r="BS55" s="469">
        <f t="shared" si="36"/>
        <v>0</v>
      </c>
      <c r="BT55" s="529"/>
      <c r="BU55" s="469">
        <f t="shared" si="66"/>
        <v>0</v>
      </c>
    </row>
    <row r="56" spans="1:73" ht="12.6" customHeight="1">
      <c r="A56" s="254" t="s">
        <v>56</v>
      </c>
      <c r="B56" s="129">
        <f>D56+H56+L56+P56+T56+X56+AB56+AF56+AJ56+AN56+AR56+AV56</f>
        <v>0</v>
      </c>
      <c r="C56" s="257">
        <v>36</v>
      </c>
      <c r="D56" s="129"/>
      <c r="E56" s="129"/>
      <c r="F56" s="129"/>
      <c r="G56" s="509">
        <f t="shared" ref="G56:G59" si="72">E56*(F56-C56)*66.47/10^7</f>
        <v>0</v>
      </c>
      <c r="H56" s="129"/>
      <c r="I56" s="129"/>
      <c r="J56" s="129"/>
      <c r="K56" s="509">
        <f>I56*(J56-C56)*66.91/10^7</f>
        <v>0</v>
      </c>
      <c r="L56" s="129"/>
      <c r="M56" s="129"/>
      <c r="N56" s="129"/>
      <c r="O56" s="509">
        <f>M56*(N56-C56)*67.28/10^7</f>
        <v>0</v>
      </c>
      <c r="P56" s="129"/>
      <c r="Q56" s="129"/>
      <c r="R56" s="129"/>
      <c r="S56" s="509">
        <f t="shared" ref="S56:S60" si="73">Q56*(R56-C56)*67.28/10^7</f>
        <v>0</v>
      </c>
      <c r="T56" s="129"/>
      <c r="U56" s="129"/>
      <c r="V56" s="129">
        <f>(T56*U56)/10^6</f>
        <v>0</v>
      </c>
      <c r="W56" s="509">
        <f t="shared" ref="W56:W60" si="74">U56*(V56-C56)*66.93/10^7</f>
        <v>0</v>
      </c>
      <c r="X56" s="129"/>
      <c r="Y56" s="129"/>
      <c r="Z56" s="129"/>
      <c r="AA56" s="509">
        <f>Y56*(Z56-C56)*67.01/10^7</f>
        <v>0</v>
      </c>
      <c r="AB56" s="129"/>
      <c r="AC56" s="129"/>
      <c r="AD56" s="129"/>
      <c r="AE56" s="509">
        <f>AC56*(AD56-G56)*66.73/10^7</f>
        <v>0</v>
      </c>
      <c r="AF56" s="129"/>
      <c r="AG56" s="129"/>
      <c r="AH56" s="129"/>
      <c r="AI56" s="509">
        <f>AG56*(AH56-K56)*67.58/10^7</f>
        <v>0</v>
      </c>
      <c r="AJ56" s="129"/>
      <c r="AK56" s="129"/>
      <c r="AL56" s="129"/>
      <c r="AM56" s="509">
        <f>AK56*(AL56-O56)*67.01/10^7</f>
        <v>0</v>
      </c>
      <c r="AN56" s="129"/>
      <c r="AO56" s="129"/>
      <c r="AP56" s="129"/>
      <c r="AQ56" s="509">
        <f t="shared" ref="AQ56:AQ60" si="75">AO56*(AP56-S56)*68.01/10^7</f>
        <v>0</v>
      </c>
      <c r="AR56" s="129"/>
      <c r="AS56" s="129"/>
      <c r="AT56" s="129"/>
      <c r="AU56" s="509">
        <f>AS56*(AT56-W56)*67.01/10^7</f>
        <v>0</v>
      </c>
      <c r="AV56" s="129"/>
      <c r="AW56" s="129"/>
      <c r="AX56" s="129"/>
      <c r="AY56" s="509">
        <f>AW56*(AX56-AA56)*67.01/10^7</f>
        <v>0</v>
      </c>
      <c r="AZ56" s="23">
        <f t="shared" ref="AZ56:BA60" si="76">+D56+H56+L56</f>
        <v>0</v>
      </c>
      <c r="BA56" s="23">
        <f t="shared" si="76"/>
        <v>0</v>
      </c>
      <c r="BB56" s="509">
        <f t="shared" ref="BB56:BB60" si="77">+G56+K56+O56</f>
        <v>0</v>
      </c>
      <c r="BC56" s="23">
        <f t="shared" ref="BC56:BD60" si="78">+P56+T56+X56</f>
        <v>0</v>
      </c>
      <c r="BD56" s="257">
        <f t="shared" si="78"/>
        <v>0</v>
      </c>
      <c r="BE56" s="257">
        <f t="shared" ref="BE56:BE60" si="79">S56+W56+AA56</f>
        <v>0</v>
      </c>
      <c r="BF56" s="257">
        <f t="shared" ref="BF56:BG60" si="80">AB56+AF56+AJ56</f>
        <v>0</v>
      </c>
      <c r="BG56" s="23">
        <f t="shared" si="80"/>
        <v>0</v>
      </c>
      <c r="BH56" s="257">
        <f t="shared" ref="BH56:BH60" si="81">AE56+AI56+AM56</f>
        <v>0</v>
      </c>
      <c r="BI56" s="23">
        <f t="shared" ref="BI56:BJ60" si="82">+AN56+AR56+AV56</f>
        <v>0</v>
      </c>
      <c r="BJ56" s="23">
        <f t="shared" si="82"/>
        <v>0</v>
      </c>
      <c r="BK56" s="257">
        <f t="shared" ref="BK56:BK60" si="83">AQ56+AU56+AY56</f>
        <v>0</v>
      </c>
      <c r="BL56" s="23">
        <f t="shared" ref="BL56:BN60" si="84">AZ56+BC56+BF56+BI56</f>
        <v>0</v>
      </c>
      <c r="BM56" s="23">
        <f t="shared" si="84"/>
        <v>0</v>
      </c>
      <c r="BN56" s="257">
        <f t="shared" si="84"/>
        <v>0</v>
      </c>
      <c r="BO56" s="466">
        <f t="shared" ref="BO56:BO60" si="85">IFERROR(BM56/BL56,0)</f>
        <v>0</v>
      </c>
      <c r="BP56" s="472"/>
      <c r="BQ56" s="23">
        <f t="shared" ref="BQ56:BR60" si="86">D56+H56+L56+P56+T56+X56</f>
        <v>0</v>
      </c>
      <c r="BR56" s="23">
        <f t="shared" si="86"/>
        <v>0</v>
      </c>
      <c r="BS56" s="466">
        <f t="shared" si="36"/>
        <v>0</v>
      </c>
      <c r="BT56" s="509">
        <f>G56+K56+O56+S56+W56+AA56</f>
        <v>0</v>
      </c>
      <c r="BU56" s="466">
        <f t="shared" si="66"/>
        <v>0</v>
      </c>
    </row>
    <row r="57" spans="1:73" ht="12.6" customHeight="1">
      <c r="A57" s="254" t="s">
        <v>57</v>
      </c>
      <c r="B57" s="129">
        <f>D57+H57+L57+P57+T57+X57+AB57+AF57+AJ57+AN57+AR57+AV57</f>
        <v>0</v>
      </c>
      <c r="C57" s="257">
        <v>36</v>
      </c>
      <c r="D57" s="129"/>
      <c r="E57" s="129"/>
      <c r="F57" s="129"/>
      <c r="G57" s="509">
        <f t="shared" si="72"/>
        <v>0</v>
      </c>
      <c r="H57" s="129"/>
      <c r="I57" s="129"/>
      <c r="J57" s="129"/>
      <c r="K57" s="509">
        <f>I57*(J57-C57)*66.91/10^7</f>
        <v>0</v>
      </c>
      <c r="L57" s="129"/>
      <c r="M57" s="129"/>
      <c r="N57" s="129"/>
      <c r="O57" s="509">
        <f>M57*(N57-C57)*67.28/10^7</f>
        <v>0</v>
      </c>
      <c r="P57" s="129"/>
      <c r="Q57" s="129"/>
      <c r="R57" s="129"/>
      <c r="S57" s="509">
        <f t="shared" si="73"/>
        <v>0</v>
      </c>
      <c r="T57" s="129"/>
      <c r="U57" s="129"/>
      <c r="V57" s="129">
        <f>(T57*U57)/10^6</f>
        <v>0</v>
      </c>
      <c r="W57" s="509">
        <f t="shared" si="74"/>
        <v>0</v>
      </c>
      <c r="X57" s="129"/>
      <c r="Y57" s="129"/>
      <c r="Z57" s="129"/>
      <c r="AA57" s="509">
        <f>Y57*(Z57-C57)*67.01/10^7</f>
        <v>0</v>
      </c>
      <c r="AB57" s="129"/>
      <c r="AC57" s="129"/>
      <c r="AD57" s="129"/>
      <c r="AE57" s="509">
        <f>AC57*(AD57-G57)*66.73/10^7</f>
        <v>0</v>
      </c>
      <c r="AF57" s="129"/>
      <c r="AG57" s="129"/>
      <c r="AH57" s="129"/>
      <c r="AI57" s="509">
        <f>AG57*(AH57-K57)*67.58/10^7</f>
        <v>0</v>
      </c>
      <c r="AJ57" s="129"/>
      <c r="AK57" s="129"/>
      <c r="AL57" s="129"/>
      <c r="AM57" s="509">
        <f>AK57*(AL57-O57)*67.01/10^7</f>
        <v>0</v>
      </c>
      <c r="AN57" s="129"/>
      <c r="AO57" s="129"/>
      <c r="AP57" s="129"/>
      <c r="AQ57" s="509">
        <f t="shared" si="75"/>
        <v>0</v>
      </c>
      <c r="AR57" s="129"/>
      <c r="AS57" s="129"/>
      <c r="AT57" s="129"/>
      <c r="AU57" s="509">
        <f>AS57*(AT57-W57)*67.01/10^7</f>
        <v>0</v>
      </c>
      <c r="AV57" s="129"/>
      <c r="AW57" s="129"/>
      <c r="AX57" s="129"/>
      <c r="AY57" s="509">
        <f>AW57*(AX57-AA57)*67.01/10^7</f>
        <v>0</v>
      </c>
      <c r="AZ57" s="23">
        <f t="shared" si="76"/>
        <v>0</v>
      </c>
      <c r="BA57" s="23">
        <f t="shared" si="76"/>
        <v>0</v>
      </c>
      <c r="BB57" s="509">
        <f t="shared" si="77"/>
        <v>0</v>
      </c>
      <c r="BC57" s="23">
        <f t="shared" si="78"/>
        <v>0</v>
      </c>
      <c r="BD57" s="257">
        <f t="shared" si="78"/>
        <v>0</v>
      </c>
      <c r="BE57" s="257">
        <f t="shared" si="79"/>
        <v>0</v>
      </c>
      <c r="BF57" s="257">
        <f t="shared" si="80"/>
        <v>0</v>
      </c>
      <c r="BG57" s="23">
        <f t="shared" si="80"/>
        <v>0</v>
      </c>
      <c r="BH57" s="257">
        <f t="shared" si="81"/>
        <v>0</v>
      </c>
      <c r="BI57" s="23">
        <f t="shared" si="82"/>
        <v>0</v>
      </c>
      <c r="BJ57" s="23">
        <f t="shared" si="82"/>
        <v>0</v>
      </c>
      <c r="BK57" s="257">
        <f t="shared" si="83"/>
        <v>0</v>
      </c>
      <c r="BL57" s="23">
        <f t="shared" si="84"/>
        <v>0</v>
      </c>
      <c r="BM57" s="23">
        <f t="shared" si="84"/>
        <v>0</v>
      </c>
      <c r="BN57" s="257">
        <f t="shared" si="84"/>
        <v>0</v>
      </c>
      <c r="BO57" s="466">
        <f t="shared" si="85"/>
        <v>0</v>
      </c>
      <c r="BP57" s="472"/>
      <c r="BQ57" s="23">
        <f t="shared" si="86"/>
        <v>0</v>
      </c>
      <c r="BR57" s="23">
        <f t="shared" si="86"/>
        <v>0</v>
      </c>
      <c r="BS57" s="466">
        <f t="shared" si="36"/>
        <v>0</v>
      </c>
      <c r="BT57" s="509">
        <f>G57+K57+O57+S57+W57+AA57</f>
        <v>0</v>
      </c>
      <c r="BU57" s="466">
        <f t="shared" si="66"/>
        <v>0</v>
      </c>
    </row>
    <row r="58" spans="1:73" ht="12.6" customHeight="1">
      <c r="A58" s="254" t="s">
        <v>58</v>
      </c>
      <c r="B58" s="129">
        <f>D58+H58+L58+P58+T58+X58+AB58+AF58+AJ58+AN58+AR58+AV58</f>
        <v>0</v>
      </c>
      <c r="C58" s="257"/>
      <c r="D58" s="129"/>
      <c r="E58" s="129"/>
      <c r="F58" s="129"/>
      <c r="G58" s="509">
        <f t="shared" si="72"/>
        <v>0</v>
      </c>
      <c r="H58" s="129"/>
      <c r="I58" s="129"/>
      <c r="J58" s="129"/>
      <c r="K58" s="509">
        <f>I58*(J58-C58)*66.91/10^7</f>
        <v>0</v>
      </c>
      <c r="L58" s="129"/>
      <c r="M58" s="129"/>
      <c r="N58" s="129"/>
      <c r="O58" s="509">
        <f>M58*(N58-C58)*67.28/10^7</f>
        <v>0</v>
      </c>
      <c r="P58" s="129"/>
      <c r="Q58" s="129"/>
      <c r="R58" s="129"/>
      <c r="S58" s="509">
        <f t="shared" si="73"/>
        <v>0</v>
      </c>
      <c r="T58" s="129"/>
      <c r="U58" s="129">
        <v>3</v>
      </c>
      <c r="V58" s="129">
        <v>902</v>
      </c>
      <c r="W58" s="509">
        <f t="shared" si="74"/>
        <v>1.8111258000000002E-2</v>
      </c>
      <c r="X58" s="129"/>
      <c r="Y58" s="129"/>
      <c r="Z58" s="129"/>
      <c r="AA58" s="509">
        <f>Y58*(Z58-C58)*67.01/10^7</f>
        <v>0</v>
      </c>
      <c r="AB58" s="129"/>
      <c r="AC58" s="129"/>
      <c r="AD58" s="129"/>
      <c r="AE58" s="509">
        <f>AC58*(AD58-G58)*66.73/10^7</f>
        <v>0</v>
      </c>
      <c r="AF58" s="129"/>
      <c r="AG58" s="129">
        <v>21</v>
      </c>
      <c r="AH58" s="129">
        <v>693</v>
      </c>
      <c r="AI58" s="509">
        <f>AG58*(AH58-K58)*67.58/10^7</f>
        <v>9.8349173999999998E-2</v>
      </c>
      <c r="AJ58" s="129"/>
      <c r="AK58" s="129"/>
      <c r="AL58" s="129"/>
      <c r="AM58" s="509">
        <f>AK58*(AL58-O58)*67.01/10^7</f>
        <v>0</v>
      </c>
      <c r="AN58" s="129"/>
      <c r="AO58" s="129"/>
      <c r="AP58" s="129"/>
      <c r="AQ58" s="509">
        <f t="shared" si="75"/>
        <v>0</v>
      </c>
      <c r="AR58" s="129"/>
      <c r="AS58" s="129">
        <v>40</v>
      </c>
      <c r="AT58" s="129">
        <v>730</v>
      </c>
      <c r="AU58" s="509">
        <f>AS58*(AT58-W58)*67.01/10^7</f>
        <v>0.19566434545840569</v>
      </c>
      <c r="AV58" s="129"/>
      <c r="AW58" s="129"/>
      <c r="AX58" s="129"/>
      <c r="AY58" s="509">
        <f>AW58*(AX58-AA58)*67.01/10^7</f>
        <v>0</v>
      </c>
      <c r="AZ58" s="23">
        <f t="shared" si="76"/>
        <v>0</v>
      </c>
      <c r="BA58" s="23">
        <f t="shared" si="76"/>
        <v>0</v>
      </c>
      <c r="BB58" s="509">
        <f t="shared" si="77"/>
        <v>0</v>
      </c>
      <c r="BC58" s="23">
        <f t="shared" si="78"/>
        <v>0</v>
      </c>
      <c r="BD58" s="257">
        <f t="shared" si="78"/>
        <v>3</v>
      </c>
      <c r="BE58" s="257">
        <f t="shared" si="79"/>
        <v>1.8111258000000002E-2</v>
      </c>
      <c r="BF58" s="257">
        <f t="shared" si="80"/>
        <v>0</v>
      </c>
      <c r="BG58" s="23">
        <f t="shared" si="80"/>
        <v>21</v>
      </c>
      <c r="BH58" s="257">
        <f t="shared" si="81"/>
        <v>9.8349173999999998E-2</v>
      </c>
      <c r="BI58" s="23">
        <f t="shared" si="82"/>
        <v>0</v>
      </c>
      <c r="BJ58" s="23">
        <f t="shared" si="82"/>
        <v>40</v>
      </c>
      <c r="BK58" s="257">
        <f t="shared" si="83"/>
        <v>0.19566434545840569</v>
      </c>
      <c r="BL58" s="23">
        <f t="shared" si="84"/>
        <v>0</v>
      </c>
      <c r="BM58" s="23">
        <f t="shared" si="84"/>
        <v>64</v>
      </c>
      <c r="BN58" s="257">
        <f t="shared" si="84"/>
        <v>0.31212477745840572</v>
      </c>
      <c r="BO58" s="466">
        <f t="shared" si="85"/>
        <v>0</v>
      </c>
      <c r="BP58" s="472"/>
      <c r="BQ58" s="23">
        <f t="shared" si="86"/>
        <v>0</v>
      </c>
      <c r="BR58" s="23">
        <f t="shared" si="86"/>
        <v>3</v>
      </c>
      <c r="BS58" s="466">
        <f t="shared" si="36"/>
        <v>0</v>
      </c>
      <c r="BT58" s="509">
        <f>G58+K58+O58+S58+W58+AA58</f>
        <v>1.8111258000000002E-2</v>
      </c>
      <c r="BU58" s="466">
        <f t="shared" si="66"/>
        <v>0</v>
      </c>
    </row>
    <row r="59" spans="1:73" ht="12.6" customHeight="1">
      <c r="A59" s="254" t="s">
        <v>103</v>
      </c>
      <c r="B59" s="129">
        <f>D59+H59+L59+P59+T59+X59+AB59+AF59+AJ59+AN59+AR59+AV59</f>
        <v>0</v>
      </c>
      <c r="C59" s="257"/>
      <c r="D59" s="129"/>
      <c r="E59" s="129"/>
      <c r="F59" s="129"/>
      <c r="G59" s="509">
        <f t="shared" si="72"/>
        <v>0</v>
      </c>
      <c r="H59" s="129"/>
      <c r="I59" s="129"/>
      <c r="J59" s="129"/>
      <c r="K59" s="509">
        <f>I59*(J59-C59)*66.91/10^7</f>
        <v>0</v>
      </c>
      <c r="L59" s="129"/>
      <c r="M59" s="129"/>
      <c r="N59" s="129"/>
      <c r="O59" s="509">
        <f>M59*(N59-C59)*67.28/10^7</f>
        <v>0</v>
      </c>
      <c r="P59" s="129"/>
      <c r="Q59" s="129"/>
      <c r="R59" s="129"/>
      <c r="S59" s="509">
        <f t="shared" si="73"/>
        <v>0</v>
      </c>
      <c r="T59" s="129"/>
      <c r="U59" s="129"/>
      <c r="V59" s="129">
        <f>(T59*U59)/10^6</f>
        <v>0</v>
      </c>
      <c r="W59" s="509">
        <f t="shared" si="74"/>
        <v>0</v>
      </c>
      <c r="X59" s="129"/>
      <c r="Y59" s="129"/>
      <c r="Z59" s="129"/>
      <c r="AA59" s="509">
        <f>Y59*(Z59-C59)*67.01/10^7</f>
        <v>0</v>
      </c>
      <c r="AB59" s="129"/>
      <c r="AC59" s="129"/>
      <c r="AD59" s="129"/>
      <c r="AE59" s="509">
        <f>AC59*(AD59-G59)*66.73/10^7</f>
        <v>0</v>
      </c>
      <c r="AF59" s="129"/>
      <c r="AG59" s="129"/>
      <c r="AH59" s="129"/>
      <c r="AI59" s="509">
        <f>AG59*(AH59-K59)*67.58/10^7</f>
        <v>0</v>
      </c>
      <c r="AJ59" s="129"/>
      <c r="AK59" s="129"/>
      <c r="AL59" s="129"/>
      <c r="AM59" s="509">
        <f>AK59*(AL59-O59)*67.01/10^7</f>
        <v>0</v>
      </c>
      <c r="AN59" s="129"/>
      <c r="AO59" s="129"/>
      <c r="AP59" s="129"/>
      <c r="AQ59" s="509">
        <f t="shared" si="75"/>
        <v>0</v>
      </c>
      <c r="AR59" s="129"/>
      <c r="AS59" s="129"/>
      <c r="AT59" s="129"/>
      <c r="AU59" s="509">
        <f>AS59*(AT59-W59)*67.01/10^7</f>
        <v>0</v>
      </c>
      <c r="AV59" s="129"/>
      <c r="AW59" s="129"/>
      <c r="AX59" s="129"/>
      <c r="AY59" s="509">
        <f>AW59*(AX59-AA59)*67.01/10^7</f>
        <v>0</v>
      </c>
      <c r="AZ59" s="23">
        <f t="shared" si="76"/>
        <v>0</v>
      </c>
      <c r="BA59" s="23">
        <f t="shared" si="76"/>
        <v>0</v>
      </c>
      <c r="BB59" s="509">
        <f t="shared" si="77"/>
        <v>0</v>
      </c>
      <c r="BC59" s="23">
        <f t="shared" si="78"/>
        <v>0</v>
      </c>
      <c r="BD59" s="257">
        <f t="shared" si="78"/>
        <v>0</v>
      </c>
      <c r="BE59" s="257">
        <f t="shared" si="79"/>
        <v>0</v>
      </c>
      <c r="BF59" s="257">
        <f t="shared" si="80"/>
        <v>0</v>
      </c>
      <c r="BG59" s="23">
        <f t="shared" si="80"/>
        <v>0</v>
      </c>
      <c r="BH59" s="257">
        <f t="shared" si="81"/>
        <v>0</v>
      </c>
      <c r="BI59" s="23">
        <f t="shared" si="82"/>
        <v>0</v>
      </c>
      <c r="BJ59" s="23">
        <f t="shared" si="82"/>
        <v>0</v>
      </c>
      <c r="BK59" s="257">
        <f t="shared" si="83"/>
        <v>0</v>
      </c>
      <c r="BL59" s="23">
        <f t="shared" si="84"/>
        <v>0</v>
      </c>
      <c r="BM59" s="23">
        <f t="shared" si="84"/>
        <v>0</v>
      </c>
      <c r="BN59" s="257">
        <f t="shared" si="84"/>
        <v>0</v>
      </c>
      <c r="BO59" s="466">
        <f t="shared" si="85"/>
        <v>0</v>
      </c>
      <c r="BP59" s="472"/>
      <c r="BQ59" s="23">
        <f t="shared" si="86"/>
        <v>0</v>
      </c>
      <c r="BR59" s="23">
        <f t="shared" si="86"/>
        <v>0</v>
      </c>
      <c r="BS59" s="466">
        <f t="shared" si="36"/>
        <v>0</v>
      </c>
      <c r="BT59" s="509">
        <f>G59+K59+O59+S59+W59+AA59</f>
        <v>0</v>
      </c>
      <c r="BU59" s="466">
        <f t="shared" si="66"/>
        <v>0</v>
      </c>
    </row>
    <row r="60" spans="1:73" ht="12.6" customHeight="1">
      <c r="A60" s="254" t="s">
        <v>59</v>
      </c>
      <c r="B60" s="129">
        <f>D60+H60+L60+P60+T60+X60+AB60+AF60+AJ60+AN60+AR60+AV60</f>
        <v>0</v>
      </c>
      <c r="C60" s="257"/>
      <c r="D60" s="129"/>
      <c r="E60" s="129"/>
      <c r="F60" s="129"/>
      <c r="G60" s="509"/>
      <c r="H60" s="129"/>
      <c r="I60" s="129"/>
      <c r="J60" s="129"/>
      <c r="K60" s="509">
        <f>I60*(J60-C60)*66.91/10^7</f>
        <v>0</v>
      </c>
      <c r="L60" s="129"/>
      <c r="M60" s="129"/>
      <c r="N60" s="129"/>
      <c r="O60" s="509">
        <f>M60*(N60-C60)*67.28/10^7</f>
        <v>0</v>
      </c>
      <c r="P60" s="129"/>
      <c r="Q60" s="129"/>
      <c r="R60" s="129"/>
      <c r="S60" s="509">
        <f t="shared" si="73"/>
        <v>0</v>
      </c>
      <c r="T60" s="129"/>
      <c r="U60" s="129"/>
      <c r="V60" s="129">
        <f>(T60*U60)/10^6</f>
        <v>0</v>
      </c>
      <c r="W60" s="509">
        <f t="shared" si="74"/>
        <v>0</v>
      </c>
      <c r="X60" s="129"/>
      <c r="Y60" s="129"/>
      <c r="Z60" s="129"/>
      <c r="AA60" s="509">
        <f>Y60*(Z60-C60)*67.01/10^7</f>
        <v>0</v>
      </c>
      <c r="AB60" s="129"/>
      <c r="AC60" s="129"/>
      <c r="AD60" s="129"/>
      <c r="AE60" s="509">
        <f>AC60*(AD60-G60)*66.73/10^7</f>
        <v>0</v>
      </c>
      <c r="AF60" s="129"/>
      <c r="AG60" s="129"/>
      <c r="AH60" s="129"/>
      <c r="AI60" s="509">
        <f>AG60*(AH60-K60)*67.58/10^7</f>
        <v>0</v>
      </c>
      <c r="AJ60" s="129"/>
      <c r="AK60" s="129"/>
      <c r="AL60" s="129"/>
      <c r="AM60" s="509">
        <f>AK60*(AL60-O60)*67.01/10^7</f>
        <v>0</v>
      </c>
      <c r="AN60" s="129"/>
      <c r="AO60" s="129"/>
      <c r="AP60" s="129"/>
      <c r="AQ60" s="509">
        <f t="shared" si="75"/>
        <v>0</v>
      </c>
      <c r="AR60" s="129"/>
      <c r="AS60" s="129"/>
      <c r="AT60" s="129"/>
      <c r="AU60" s="509">
        <f>AS60*(AT60-W60)*67.01/10^7</f>
        <v>0</v>
      </c>
      <c r="AV60" s="129"/>
      <c r="AW60" s="129"/>
      <c r="AX60" s="129"/>
      <c r="AY60" s="509">
        <f>AW60*(AX60-AA60)*67.01/10^7</f>
        <v>0</v>
      </c>
      <c r="AZ60" s="23">
        <f t="shared" si="76"/>
        <v>0</v>
      </c>
      <c r="BA60" s="23">
        <f t="shared" si="76"/>
        <v>0</v>
      </c>
      <c r="BB60" s="509">
        <f t="shared" si="77"/>
        <v>0</v>
      </c>
      <c r="BC60" s="23">
        <f t="shared" si="78"/>
        <v>0</v>
      </c>
      <c r="BD60" s="257">
        <f t="shared" si="78"/>
        <v>0</v>
      </c>
      <c r="BE60" s="257">
        <f t="shared" si="79"/>
        <v>0</v>
      </c>
      <c r="BF60" s="257">
        <f t="shared" si="80"/>
        <v>0</v>
      </c>
      <c r="BG60" s="23">
        <f t="shared" si="80"/>
        <v>0</v>
      </c>
      <c r="BH60" s="257">
        <f t="shared" si="81"/>
        <v>0</v>
      </c>
      <c r="BI60" s="23">
        <f t="shared" si="82"/>
        <v>0</v>
      </c>
      <c r="BJ60" s="23">
        <f t="shared" si="82"/>
        <v>0</v>
      </c>
      <c r="BK60" s="257">
        <f t="shared" si="83"/>
        <v>0</v>
      </c>
      <c r="BL60" s="23">
        <f t="shared" si="84"/>
        <v>0</v>
      </c>
      <c r="BM60" s="23">
        <f t="shared" si="84"/>
        <v>0</v>
      </c>
      <c r="BN60" s="257">
        <f t="shared" si="84"/>
        <v>0</v>
      </c>
      <c r="BO60" s="466">
        <f t="shared" si="85"/>
        <v>0</v>
      </c>
      <c r="BP60" s="472"/>
      <c r="BQ60" s="23">
        <f t="shared" si="86"/>
        <v>0</v>
      </c>
      <c r="BR60" s="23">
        <f t="shared" si="86"/>
        <v>0</v>
      </c>
      <c r="BS60" s="466">
        <f t="shared" si="36"/>
        <v>0</v>
      </c>
      <c r="BT60" s="509">
        <f>G60+K60+O60+S60+W60+AA60</f>
        <v>0</v>
      </c>
      <c r="BU60" s="466">
        <f t="shared" si="66"/>
        <v>0</v>
      </c>
    </row>
    <row r="61" spans="1:73" ht="12.6" customHeight="1">
      <c r="A61" s="482" t="s">
        <v>0</v>
      </c>
      <c r="B61" s="457">
        <f>SUM(B56:B60)</f>
        <v>0</v>
      </c>
      <c r="C61" s="458"/>
      <c r="D61" s="457">
        <f>SUM(D56:D60)</f>
        <v>0</v>
      </c>
      <c r="E61" s="457">
        <f>SUM(E56:E60)</f>
        <v>0</v>
      </c>
      <c r="F61" s="457"/>
      <c r="G61" s="511"/>
      <c r="H61" s="457">
        <f>SUM(H56:H60)</f>
        <v>0</v>
      </c>
      <c r="I61" s="457"/>
      <c r="J61" s="457"/>
      <c r="K61" s="511"/>
      <c r="L61" s="457">
        <f>SUM(L56:L60)</f>
        <v>0</v>
      </c>
      <c r="M61" s="457">
        <f>SUM(M56:M60)</f>
        <v>0</v>
      </c>
      <c r="N61" s="457"/>
      <c r="O61" s="511"/>
      <c r="P61" s="457">
        <f>SUM(P56:P60)</f>
        <v>0</v>
      </c>
      <c r="Q61" s="457">
        <f>SUM(Q56:Q60)</f>
        <v>0</v>
      </c>
      <c r="R61" s="457"/>
      <c r="S61" s="511"/>
      <c r="T61" s="457">
        <f>SUM(T56:T60)</f>
        <v>0</v>
      </c>
      <c r="U61" s="457">
        <f>SUM(U56:U60)</f>
        <v>3</v>
      </c>
      <c r="V61" s="457"/>
      <c r="W61" s="511">
        <f>SUM(W56:W60)</f>
        <v>1.8111258000000002E-2</v>
      </c>
      <c r="X61" s="457">
        <f>SUM(X56:X60)</f>
        <v>0</v>
      </c>
      <c r="Y61" s="457">
        <f>SUM(Y56:Y60)</f>
        <v>0</v>
      </c>
      <c r="Z61" s="457">
        <f>IF(ISERROR(#REF!/X61*1000000),0,(#REF!/X61*1000000))</f>
        <v>0</v>
      </c>
      <c r="AA61" s="511">
        <f>SUM(AA56:AA60)</f>
        <v>0</v>
      </c>
      <c r="AB61" s="457">
        <f>SUM(AB56:AB60)</f>
        <v>0</v>
      </c>
      <c r="AC61" s="457">
        <f>SUM(AC56:AC60)</f>
        <v>0</v>
      </c>
      <c r="AD61" s="457">
        <f>IF(ISERROR(#REF!/AB61*1000000),0,(#REF!/AB61*1000000))</f>
        <v>0</v>
      </c>
      <c r="AE61" s="511">
        <f>SUM(AE56:AE60)</f>
        <v>0</v>
      </c>
      <c r="AF61" s="457">
        <f>SUM(AF56:AF60)</f>
        <v>0</v>
      </c>
      <c r="AG61" s="457">
        <f>SUM(AG56:AG60)</f>
        <v>21</v>
      </c>
      <c r="AH61" s="457">
        <f>IF(ISERROR(#REF!/AF61*1000000),0,(#REF!/AF61*1000000))</f>
        <v>0</v>
      </c>
      <c r="AI61" s="511">
        <f>SUM(AI56:AI60)</f>
        <v>9.8349173999999998E-2</v>
      </c>
      <c r="AJ61" s="457">
        <f>SUM(AJ56:AJ60)</f>
        <v>0</v>
      </c>
      <c r="AK61" s="457">
        <f>SUM(AK56:AK60)</f>
        <v>0</v>
      </c>
      <c r="AL61" s="457">
        <f>IF(ISERROR(#REF!/AJ61*1000000),0,(#REF!/AJ61*1000000))</f>
        <v>0</v>
      </c>
      <c r="AM61" s="511">
        <f>SUM(AM56:AM60)</f>
        <v>0</v>
      </c>
      <c r="AN61" s="457">
        <f>SUM(AN56:AN60)</f>
        <v>0</v>
      </c>
      <c r="AO61" s="457">
        <f>SUM(AO56:AO60)</f>
        <v>0</v>
      </c>
      <c r="AP61" s="457">
        <f>IF(ISERROR(#REF!/AN61*1000000),0,(#REF!/AN61*1000000))</f>
        <v>0</v>
      </c>
      <c r="AQ61" s="511">
        <f>SUM(AQ56:AQ60)</f>
        <v>0</v>
      </c>
      <c r="AR61" s="457">
        <f>SUM(AR56:AR60)</f>
        <v>0</v>
      </c>
      <c r="AS61" s="457">
        <f>SUM(AS56:AS60)</f>
        <v>40</v>
      </c>
      <c r="AT61" s="457">
        <f>IF(ISERROR(#REF!/AR61*1000000),0,(#REF!/AR61*1000000))</f>
        <v>0</v>
      </c>
      <c r="AU61" s="511">
        <f>SUM(AU56:AU60)</f>
        <v>0.19566434545840569</v>
      </c>
      <c r="AV61" s="457">
        <f>SUM(AV56:AV60)</f>
        <v>0</v>
      </c>
      <c r="AW61" s="457">
        <f>SUM(AW56:AW60)</f>
        <v>0</v>
      </c>
      <c r="AX61" s="457">
        <f>IF(ISERROR(#REF!/AV61*1000000),0,(#REF!/AV61*1000000))</f>
        <v>0</v>
      </c>
      <c r="AY61" s="511">
        <f>SUM(AY56:AY60)</f>
        <v>0</v>
      </c>
      <c r="AZ61" s="457">
        <f t="shared" ref="AZ61:BN61" si="87">SUM(AZ56:AZ60)</f>
        <v>0</v>
      </c>
      <c r="BA61" s="457">
        <f t="shared" si="87"/>
        <v>0</v>
      </c>
      <c r="BB61" s="457">
        <f t="shared" si="87"/>
        <v>0</v>
      </c>
      <c r="BC61" s="457">
        <f t="shared" si="87"/>
        <v>0</v>
      </c>
      <c r="BD61" s="457">
        <f t="shared" si="87"/>
        <v>3</v>
      </c>
      <c r="BE61" s="457">
        <f t="shared" si="87"/>
        <v>1.8111258000000002E-2</v>
      </c>
      <c r="BF61" s="457">
        <f t="shared" si="87"/>
        <v>0</v>
      </c>
      <c r="BG61" s="457">
        <f t="shared" si="87"/>
        <v>21</v>
      </c>
      <c r="BH61" s="457">
        <f t="shared" si="87"/>
        <v>9.8349173999999998E-2</v>
      </c>
      <c r="BI61" s="457">
        <f t="shared" si="87"/>
        <v>0</v>
      </c>
      <c r="BJ61" s="457">
        <f t="shared" si="87"/>
        <v>40</v>
      </c>
      <c r="BK61" s="457">
        <f t="shared" si="87"/>
        <v>0.19566434545840569</v>
      </c>
      <c r="BL61" s="457">
        <f t="shared" si="87"/>
        <v>0</v>
      </c>
      <c r="BM61" s="457">
        <f t="shared" si="87"/>
        <v>64</v>
      </c>
      <c r="BN61" s="457">
        <f t="shared" si="87"/>
        <v>0.31212477745840572</v>
      </c>
      <c r="BO61" s="525">
        <f>IFERROR(BM61/BL61,0)</f>
        <v>0</v>
      </c>
      <c r="BP61" s="472"/>
      <c r="BQ61" s="457">
        <f t="shared" ref="BQ61:BR61" si="88">SUM(BQ56:BQ60)</f>
        <v>0</v>
      </c>
      <c r="BR61" s="457">
        <f t="shared" si="88"/>
        <v>3</v>
      </c>
      <c r="BS61" s="467">
        <f t="shared" si="36"/>
        <v>0</v>
      </c>
      <c r="BT61" s="511">
        <f t="shared" ref="BT61" si="89">SUM(BT56:BT60)</f>
        <v>1.8111258000000002E-2</v>
      </c>
      <c r="BU61" s="525">
        <f t="shared" si="66"/>
        <v>0</v>
      </c>
    </row>
    <row r="62" spans="1:73" ht="12" customHeight="1">
      <c r="A62" s="254"/>
      <c r="B62" s="254"/>
      <c r="C62" s="461"/>
      <c r="D62" s="254"/>
      <c r="E62" s="254"/>
      <c r="F62" s="254"/>
      <c r="G62" s="513"/>
      <c r="H62" s="254"/>
      <c r="I62" s="254"/>
      <c r="J62" s="254"/>
      <c r="K62" s="513"/>
      <c r="L62" s="254"/>
      <c r="M62" s="254"/>
      <c r="N62" s="254"/>
      <c r="O62" s="513"/>
      <c r="P62" s="254"/>
      <c r="Q62" s="254"/>
      <c r="R62" s="254"/>
      <c r="S62" s="513"/>
      <c r="T62" s="254"/>
      <c r="U62" s="254"/>
      <c r="V62" s="254"/>
      <c r="W62" s="513"/>
      <c r="X62" s="254"/>
      <c r="Y62" s="254"/>
      <c r="Z62" s="254"/>
      <c r="AA62" s="513"/>
      <c r="AB62" s="254"/>
      <c r="AC62" s="254"/>
      <c r="AD62" s="254"/>
      <c r="AE62" s="513"/>
      <c r="AF62" s="254"/>
      <c r="AG62" s="254"/>
      <c r="AH62" s="254"/>
      <c r="AI62" s="513"/>
      <c r="AJ62" s="254"/>
      <c r="AK62" s="254"/>
      <c r="AL62" s="254"/>
      <c r="AM62" s="513"/>
      <c r="AN62" s="254"/>
      <c r="AO62" s="254"/>
      <c r="AP62" s="254"/>
      <c r="AQ62" s="513"/>
      <c r="AR62" s="254"/>
      <c r="AS62" s="254"/>
      <c r="AT62" s="254"/>
      <c r="AU62" s="513"/>
      <c r="AV62" s="254"/>
      <c r="AW62" s="254"/>
      <c r="AX62" s="254"/>
      <c r="AY62" s="513"/>
      <c r="AZ62" s="462"/>
      <c r="BA62" s="463"/>
      <c r="BB62" s="513"/>
      <c r="BC62" s="462"/>
      <c r="BD62" s="463"/>
      <c r="BE62" s="463"/>
      <c r="BF62" s="463"/>
      <c r="BG62" s="462"/>
      <c r="BH62" s="463"/>
      <c r="BI62" s="462"/>
      <c r="BJ62" s="462"/>
      <c r="BK62" s="463"/>
      <c r="BL62" s="462"/>
      <c r="BM62" s="462"/>
      <c r="BN62" s="463"/>
      <c r="BO62" s="469">
        <f t="shared" si="38"/>
        <v>0</v>
      </c>
      <c r="BP62" s="472"/>
      <c r="BQ62" s="462"/>
      <c r="BR62" s="462"/>
      <c r="BS62" s="469">
        <f t="shared" si="36"/>
        <v>0</v>
      </c>
      <c r="BT62" s="529"/>
      <c r="BU62" s="469">
        <f t="shared" si="66"/>
        <v>0</v>
      </c>
    </row>
    <row r="63" spans="1:73" ht="12.6" customHeight="1">
      <c r="A63" s="254" t="s">
        <v>60</v>
      </c>
      <c r="B63" s="129">
        <f>D63+H63+L63+P63+T63+X63+AB63+AF63+AJ63+AN63+AR63+AV63</f>
        <v>0</v>
      </c>
      <c r="C63" s="257">
        <v>0</v>
      </c>
      <c r="D63" s="129">
        <v>0</v>
      </c>
      <c r="E63" s="129">
        <v>0</v>
      </c>
      <c r="F63" s="129"/>
      <c r="G63" s="509">
        <f t="shared" ref="G63:G64" si="90">E63*(F63-C63)*66.47/10^7</f>
        <v>0</v>
      </c>
      <c r="H63" s="129">
        <v>0</v>
      </c>
      <c r="I63" s="129"/>
      <c r="J63" s="129"/>
      <c r="K63" s="509">
        <f>I63*(J63-C63)*66.91/10^7</f>
        <v>0</v>
      </c>
      <c r="L63" s="129">
        <v>0</v>
      </c>
      <c r="M63" s="129"/>
      <c r="N63" s="129"/>
      <c r="O63" s="509">
        <f>M63*(N63-C63)*67.28/10^7</f>
        <v>0</v>
      </c>
      <c r="P63" s="129">
        <v>0</v>
      </c>
      <c r="Q63" s="129"/>
      <c r="R63" s="129"/>
      <c r="S63" s="509">
        <f t="shared" ref="S63:S64" si="91">Q63*(R63-C63)*67.28/10^7</f>
        <v>0</v>
      </c>
      <c r="T63" s="129">
        <v>0</v>
      </c>
      <c r="U63" s="129"/>
      <c r="V63" s="129">
        <f>(T63*U63)/10^6</f>
        <v>0</v>
      </c>
      <c r="W63" s="509">
        <f t="shared" ref="W63:W64" si="92">U63*(V63-C63)*66.93/10^7</f>
        <v>0</v>
      </c>
      <c r="X63" s="129">
        <v>0</v>
      </c>
      <c r="Y63" s="129"/>
      <c r="Z63" s="129"/>
      <c r="AA63" s="509">
        <f>Y63*(Z63-C63)*67.01/10^7</f>
        <v>0</v>
      </c>
      <c r="AB63" s="129">
        <v>0</v>
      </c>
      <c r="AC63" s="129"/>
      <c r="AD63" s="129"/>
      <c r="AE63" s="509">
        <f>AC63*(AD63-G63)*66.73/10^7</f>
        <v>0</v>
      </c>
      <c r="AF63" s="129">
        <v>0</v>
      </c>
      <c r="AG63" s="129"/>
      <c r="AH63" s="129"/>
      <c r="AI63" s="509">
        <f>AG63*(AH63-K63)*67.58/10^7</f>
        <v>0</v>
      </c>
      <c r="AJ63" s="129">
        <v>0</v>
      </c>
      <c r="AK63" s="129"/>
      <c r="AL63" s="129"/>
      <c r="AM63" s="509">
        <f>AK63*(AL63-O63)*67.01/10^7</f>
        <v>0</v>
      </c>
      <c r="AN63" s="129">
        <v>0</v>
      </c>
      <c r="AO63" s="129"/>
      <c r="AP63" s="129"/>
      <c r="AQ63" s="509">
        <f t="shared" ref="AQ63:AQ64" si="93">AO63*(AP63-S63)*68.01/10^7</f>
        <v>0</v>
      </c>
      <c r="AR63" s="129">
        <v>0</v>
      </c>
      <c r="AS63" s="129"/>
      <c r="AT63" s="129"/>
      <c r="AU63" s="509">
        <f>AS63*(AT63-W63)*67.01/10^7</f>
        <v>0</v>
      </c>
      <c r="AV63" s="129">
        <v>0</v>
      </c>
      <c r="AW63" s="129"/>
      <c r="AX63" s="129"/>
      <c r="AY63" s="509">
        <f>AW63*(AX63-AA63)*67.01/10^7</f>
        <v>0</v>
      </c>
      <c r="AZ63" s="23">
        <f t="shared" ref="AZ63:BA64" si="94">+D63+H63+L63</f>
        <v>0</v>
      </c>
      <c r="BA63" s="23">
        <f t="shared" si="94"/>
        <v>0</v>
      </c>
      <c r="BB63" s="509">
        <f t="shared" ref="BB63:BB64" si="95">+G63+K63+O63</f>
        <v>0</v>
      </c>
      <c r="BC63" s="23">
        <f t="shared" ref="BC63:BD64" si="96">+P63+T63+X63</f>
        <v>0</v>
      </c>
      <c r="BD63" s="257">
        <f t="shared" si="96"/>
        <v>0</v>
      </c>
      <c r="BE63" s="257">
        <f t="shared" ref="BE63:BE64" si="97">S63+W63+AA63</f>
        <v>0</v>
      </c>
      <c r="BF63" s="257">
        <f t="shared" ref="BF63:BG64" si="98">AB63+AF63+AJ63</f>
        <v>0</v>
      </c>
      <c r="BG63" s="23">
        <f t="shared" si="98"/>
        <v>0</v>
      </c>
      <c r="BH63" s="257">
        <f t="shared" ref="BH63:BH64" si="99">AE63+AI63+AM63</f>
        <v>0</v>
      </c>
      <c r="BI63" s="23">
        <f t="shared" ref="BI63:BJ64" si="100">+AN63+AR63+AV63</f>
        <v>0</v>
      </c>
      <c r="BJ63" s="23">
        <f t="shared" si="100"/>
        <v>0</v>
      </c>
      <c r="BK63" s="257">
        <f t="shared" ref="BK63:BK64" si="101">AQ63+AU63+AY63</f>
        <v>0</v>
      </c>
      <c r="BL63" s="23">
        <f t="shared" ref="BL63:BN64" si="102">AZ63+BC63+BF63+BI63</f>
        <v>0</v>
      </c>
      <c r="BM63" s="23">
        <f t="shared" si="102"/>
        <v>0</v>
      </c>
      <c r="BN63" s="257">
        <f t="shared" si="102"/>
        <v>0</v>
      </c>
      <c r="BO63" s="466">
        <f t="shared" ref="BO63:BO64" si="103">IFERROR(BM63/BL63,0)</f>
        <v>0</v>
      </c>
      <c r="BP63" s="472"/>
      <c r="BQ63" s="23">
        <f>D63+H63+L63+P63+T63+X63</f>
        <v>0</v>
      </c>
      <c r="BR63" s="23">
        <f>E63+I63+M63+Q63+U63+Y63</f>
        <v>0</v>
      </c>
      <c r="BS63" s="466">
        <f t="shared" si="36"/>
        <v>0</v>
      </c>
      <c r="BT63" s="509">
        <f>G63+K63+O63+S63+W63+AA63</f>
        <v>0</v>
      </c>
      <c r="BU63" s="466">
        <f t="shared" si="66"/>
        <v>0</v>
      </c>
    </row>
    <row r="64" spans="1:73" ht="12.6" customHeight="1">
      <c r="A64" s="254" t="s">
        <v>61</v>
      </c>
      <c r="B64" s="129">
        <f>D64+H64+L64+P64+T64+X64+AB64+AF64+AJ64+AN64+AR64+AV64</f>
        <v>0</v>
      </c>
      <c r="C64" s="257">
        <v>0</v>
      </c>
      <c r="D64" s="129">
        <v>0</v>
      </c>
      <c r="E64" s="129">
        <v>0</v>
      </c>
      <c r="F64" s="129"/>
      <c r="G64" s="509">
        <f t="shared" si="90"/>
        <v>0</v>
      </c>
      <c r="H64" s="129">
        <v>0</v>
      </c>
      <c r="I64" s="129"/>
      <c r="J64" s="129"/>
      <c r="K64" s="509">
        <f>I64*(J64-C64)*66.91/10^7</f>
        <v>0</v>
      </c>
      <c r="L64" s="129">
        <v>0</v>
      </c>
      <c r="M64" s="129"/>
      <c r="N64" s="129"/>
      <c r="O64" s="509">
        <f>M64*(N64-C64)*67.28/10^7</f>
        <v>0</v>
      </c>
      <c r="P64" s="129">
        <v>0</v>
      </c>
      <c r="Q64" s="129"/>
      <c r="R64" s="129"/>
      <c r="S64" s="509">
        <f t="shared" si="91"/>
        <v>0</v>
      </c>
      <c r="T64" s="129">
        <v>0</v>
      </c>
      <c r="U64" s="129"/>
      <c r="V64" s="129">
        <f>(T64*U64)/10^6</f>
        <v>0</v>
      </c>
      <c r="W64" s="509">
        <f t="shared" si="92"/>
        <v>0</v>
      </c>
      <c r="X64" s="129">
        <v>0</v>
      </c>
      <c r="Y64" s="129"/>
      <c r="Z64" s="129"/>
      <c r="AA64" s="509">
        <f>Y64*(Z64-C64)*67.01/10^7</f>
        <v>0</v>
      </c>
      <c r="AB64" s="129">
        <v>0</v>
      </c>
      <c r="AC64" s="129"/>
      <c r="AD64" s="129"/>
      <c r="AE64" s="509">
        <f>AC64*(AD64-G64)*66.73/10^7</f>
        <v>0</v>
      </c>
      <c r="AF64" s="129">
        <v>0</v>
      </c>
      <c r="AG64" s="129"/>
      <c r="AH64" s="129"/>
      <c r="AI64" s="509">
        <f>AG64*(AH64-K64)*67.58/10^7</f>
        <v>0</v>
      </c>
      <c r="AJ64" s="129">
        <v>0</v>
      </c>
      <c r="AK64" s="129"/>
      <c r="AL64" s="129"/>
      <c r="AM64" s="509">
        <f>AK64*(AL64-O64)*67.01/10^7</f>
        <v>0</v>
      </c>
      <c r="AN64" s="129">
        <v>0</v>
      </c>
      <c r="AO64" s="129"/>
      <c r="AP64" s="129"/>
      <c r="AQ64" s="509">
        <f t="shared" si="93"/>
        <v>0</v>
      </c>
      <c r="AR64" s="129">
        <v>0</v>
      </c>
      <c r="AS64" s="129"/>
      <c r="AT64" s="129"/>
      <c r="AU64" s="509">
        <f>AS64*(AT64-W64)*67.01/10^7</f>
        <v>0</v>
      </c>
      <c r="AV64" s="129">
        <v>0</v>
      </c>
      <c r="AW64" s="129"/>
      <c r="AX64" s="129"/>
      <c r="AY64" s="509">
        <f>AW64*(AX64-AA64)*67.01/10^7</f>
        <v>0</v>
      </c>
      <c r="AZ64" s="23">
        <f t="shared" si="94"/>
        <v>0</v>
      </c>
      <c r="BA64" s="23">
        <f t="shared" si="94"/>
        <v>0</v>
      </c>
      <c r="BB64" s="509">
        <f t="shared" si="95"/>
        <v>0</v>
      </c>
      <c r="BC64" s="23">
        <f t="shared" si="96"/>
        <v>0</v>
      </c>
      <c r="BD64" s="257">
        <f t="shared" si="96"/>
        <v>0</v>
      </c>
      <c r="BE64" s="257">
        <f t="shared" si="97"/>
        <v>0</v>
      </c>
      <c r="BF64" s="257">
        <f t="shared" si="98"/>
        <v>0</v>
      </c>
      <c r="BG64" s="23">
        <f t="shared" si="98"/>
        <v>0</v>
      </c>
      <c r="BH64" s="257">
        <f t="shared" si="99"/>
        <v>0</v>
      </c>
      <c r="BI64" s="23">
        <f t="shared" si="100"/>
        <v>0</v>
      </c>
      <c r="BJ64" s="23">
        <f t="shared" si="100"/>
        <v>0</v>
      </c>
      <c r="BK64" s="257">
        <f t="shared" si="101"/>
        <v>0</v>
      </c>
      <c r="BL64" s="23">
        <f t="shared" si="102"/>
        <v>0</v>
      </c>
      <c r="BM64" s="23">
        <f t="shared" si="102"/>
        <v>0</v>
      </c>
      <c r="BN64" s="257">
        <f t="shared" si="102"/>
        <v>0</v>
      </c>
      <c r="BO64" s="466">
        <f t="shared" si="103"/>
        <v>0</v>
      </c>
      <c r="BP64" s="472"/>
      <c r="BQ64" s="23">
        <f>D64+H64+L64+P64+T64+X64</f>
        <v>0</v>
      </c>
      <c r="BR64" s="23">
        <f>E64+I64+M64+Q64+U64+Y64</f>
        <v>0</v>
      </c>
      <c r="BS64" s="466">
        <f t="shared" si="36"/>
        <v>0</v>
      </c>
      <c r="BT64" s="509">
        <f>G64+K64+O64+S64+W64+AA64</f>
        <v>0</v>
      </c>
      <c r="BU64" s="466">
        <f t="shared" si="66"/>
        <v>0</v>
      </c>
    </row>
    <row r="65" spans="1:73" ht="12" customHeight="1">
      <c r="A65" s="482" t="s">
        <v>104</v>
      </c>
      <c r="B65" s="457">
        <f>SUM(B63:B64)</f>
        <v>0</v>
      </c>
      <c r="C65" s="458"/>
      <c r="D65" s="457">
        <f>SUM(D63:D64)</f>
        <v>0</v>
      </c>
      <c r="E65" s="457">
        <f>SUM(E63:E64)</f>
        <v>0</v>
      </c>
      <c r="F65" s="457"/>
      <c r="G65" s="511"/>
      <c r="H65" s="457">
        <f>SUM(H63:H64)</f>
        <v>0</v>
      </c>
      <c r="I65" s="457"/>
      <c r="J65" s="457"/>
      <c r="K65" s="511"/>
      <c r="L65" s="457">
        <f>SUM(L63:L64)</f>
        <v>0</v>
      </c>
      <c r="M65" s="457">
        <f>SUM(M63:M64)</f>
        <v>0</v>
      </c>
      <c r="N65" s="457"/>
      <c r="O65" s="511"/>
      <c r="P65" s="457">
        <f>SUM(P63:P64)</f>
        <v>0</v>
      </c>
      <c r="Q65" s="457">
        <f>SUM(Q63:Q64)</f>
        <v>0</v>
      </c>
      <c r="R65" s="457"/>
      <c r="S65" s="511"/>
      <c r="T65" s="457">
        <f t="shared" ref="T65:Y65" si="104">SUM(T63:T64)</f>
        <v>0</v>
      </c>
      <c r="U65" s="457">
        <f t="shared" si="104"/>
        <v>0</v>
      </c>
      <c r="V65" s="457">
        <f t="shared" si="104"/>
        <v>0</v>
      </c>
      <c r="W65" s="511">
        <f t="shared" si="104"/>
        <v>0</v>
      </c>
      <c r="X65" s="457">
        <f t="shared" si="104"/>
        <v>0</v>
      </c>
      <c r="Y65" s="457">
        <f t="shared" si="104"/>
        <v>0</v>
      </c>
      <c r="Z65" s="457">
        <f>IF(ISERROR(#REF!/X65*1000000),0,(#REF!/X65*1000000))</f>
        <v>0</v>
      </c>
      <c r="AA65" s="511">
        <f t="shared" ref="AA65" si="105">SUM(AA63:AA64)</f>
        <v>0</v>
      </c>
      <c r="AB65" s="457">
        <f>SUM(AB63:AB64)</f>
        <v>0</v>
      </c>
      <c r="AC65" s="457">
        <f t="shared" ref="AC65" si="106">SUM(AC63:AC64)</f>
        <v>0</v>
      </c>
      <c r="AD65" s="457">
        <f>IF(ISERROR(#REF!/AB65*1000000),0,(#REF!/AB65*1000000))</f>
        <v>0</v>
      </c>
      <c r="AE65" s="511">
        <f t="shared" ref="AE65" si="107">SUM(AE63:AE64)</f>
        <v>0</v>
      </c>
      <c r="AF65" s="457">
        <f>SUM(AF63:AF64)</f>
        <v>0</v>
      </c>
      <c r="AG65" s="457">
        <f t="shared" ref="AG65" si="108">SUM(AG63:AG64)</f>
        <v>0</v>
      </c>
      <c r="AH65" s="457">
        <f>IF(ISERROR(#REF!/AF65*1000000),0,(#REF!/AF65*1000000))</f>
        <v>0</v>
      </c>
      <c r="AI65" s="511">
        <f t="shared" ref="AI65" si="109">SUM(AI63:AI64)</f>
        <v>0</v>
      </c>
      <c r="AJ65" s="457">
        <f>SUM(AJ63:AJ64)</f>
        <v>0</v>
      </c>
      <c r="AK65" s="457">
        <f t="shared" ref="AK65" si="110">SUM(AK63:AK64)</f>
        <v>0</v>
      </c>
      <c r="AL65" s="457">
        <f>IF(ISERROR(#REF!/AJ65*1000000),0,(#REF!/AJ65*1000000))</f>
        <v>0</v>
      </c>
      <c r="AM65" s="511">
        <f t="shared" ref="AM65" si="111">SUM(AM63:AM64)</f>
        <v>0</v>
      </c>
      <c r="AN65" s="457">
        <f>SUM(AN63:AN64)</f>
        <v>0</v>
      </c>
      <c r="AO65" s="457">
        <f t="shared" ref="AO65" si="112">SUM(AO63:AO64)</f>
        <v>0</v>
      </c>
      <c r="AP65" s="457">
        <f>IF(ISERROR(#REF!/AN65*1000000),0,(#REF!/AN65*1000000))</f>
        <v>0</v>
      </c>
      <c r="AQ65" s="511">
        <f t="shared" ref="AQ65" si="113">SUM(AQ63:AQ64)</f>
        <v>0</v>
      </c>
      <c r="AR65" s="457">
        <f>SUM(AR63:AR64)</f>
        <v>0</v>
      </c>
      <c r="AS65" s="457">
        <f t="shared" ref="AS65" si="114">SUM(AS63:AS64)</f>
        <v>0</v>
      </c>
      <c r="AT65" s="457">
        <f>IF(ISERROR(#REF!/AR65*1000000),0,(#REF!/AR65*1000000))</f>
        <v>0</v>
      </c>
      <c r="AU65" s="511">
        <f t="shared" ref="AU65" si="115">SUM(AU63:AU64)</f>
        <v>0</v>
      </c>
      <c r="AV65" s="457">
        <f>SUM(AV63:AV64)</f>
        <v>0</v>
      </c>
      <c r="AW65" s="457">
        <f t="shared" ref="AW65" si="116">SUM(AW63:AW64)</f>
        <v>0</v>
      </c>
      <c r="AX65" s="457">
        <f>IF(ISERROR(#REF!/AV65*1000000),0,(#REF!/AV65*1000000))</f>
        <v>0</v>
      </c>
      <c r="AY65" s="511">
        <f t="shared" ref="AY65" si="117">SUM(AY63:AY64)</f>
        <v>0</v>
      </c>
      <c r="AZ65" s="457">
        <f t="shared" ref="AZ65:BN65" si="118">SUM(AZ63:AZ64)</f>
        <v>0</v>
      </c>
      <c r="BA65" s="458">
        <f t="shared" si="118"/>
        <v>0</v>
      </c>
      <c r="BB65" s="511">
        <f t="shared" si="118"/>
        <v>0</v>
      </c>
      <c r="BC65" s="457">
        <f t="shared" si="118"/>
        <v>0</v>
      </c>
      <c r="BD65" s="458">
        <f t="shared" si="118"/>
        <v>0</v>
      </c>
      <c r="BE65" s="458">
        <f t="shared" si="118"/>
        <v>0</v>
      </c>
      <c r="BF65" s="458">
        <f t="shared" si="118"/>
        <v>0</v>
      </c>
      <c r="BG65" s="458">
        <f t="shared" si="118"/>
        <v>0</v>
      </c>
      <c r="BH65" s="458">
        <f t="shared" si="118"/>
        <v>0</v>
      </c>
      <c r="BI65" s="458">
        <f t="shared" si="118"/>
        <v>0</v>
      </c>
      <c r="BJ65" s="458">
        <f t="shared" si="118"/>
        <v>0</v>
      </c>
      <c r="BK65" s="458">
        <f t="shared" si="118"/>
        <v>0</v>
      </c>
      <c r="BL65" s="458">
        <f t="shared" si="118"/>
        <v>0</v>
      </c>
      <c r="BM65" s="458">
        <f t="shared" si="118"/>
        <v>0</v>
      </c>
      <c r="BN65" s="458">
        <f t="shared" si="118"/>
        <v>0</v>
      </c>
      <c r="BO65" s="525">
        <f>IFERROR(BM65/BL65,0)</f>
        <v>0</v>
      </c>
      <c r="BP65" s="472"/>
      <c r="BQ65" s="457">
        <f t="shared" ref="BQ65:BR65" si="119">SUM(BQ63:BQ64)</f>
        <v>0</v>
      </c>
      <c r="BR65" s="457">
        <f t="shared" si="119"/>
        <v>0</v>
      </c>
      <c r="BS65" s="467">
        <f t="shared" si="36"/>
        <v>0</v>
      </c>
      <c r="BT65" s="530">
        <f t="shared" ref="BT65" si="120">SUM(BT63:BT64)</f>
        <v>0</v>
      </c>
      <c r="BU65" s="525">
        <f t="shared" si="66"/>
        <v>0</v>
      </c>
    </row>
    <row r="66" spans="1:73" ht="12" hidden="1" customHeight="1">
      <c r="A66" s="254"/>
      <c r="B66" s="254"/>
      <c r="C66" s="461"/>
      <c r="D66" s="254"/>
      <c r="E66" s="254"/>
      <c r="F66" s="254"/>
      <c r="G66" s="513"/>
      <c r="H66" s="254"/>
      <c r="I66" s="254"/>
      <c r="J66" s="254"/>
      <c r="K66" s="513"/>
      <c r="L66" s="254"/>
      <c r="M66" s="254"/>
      <c r="N66" s="254"/>
      <c r="O66" s="513"/>
      <c r="P66" s="254"/>
      <c r="Q66" s="254"/>
      <c r="R66" s="254"/>
      <c r="S66" s="513"/>
      <c r="T66" s="254"/>
      <c r="U66" s="254"/>
      <c r="V66" s="254"/>
      <c r="W66" s="513"/>
      <c r="X66" s="254"/>
      <c r="Y66" s="254"/>
      <c r="Z66" s="254"/>
      <c r="AA66" s="513"/>
      <c r="AB66" s="254"/>
      <c r="AC66" s="254"/>
      <c r="AD66" s="254"/>
      <c r="AE66" s="513"/>
      <c r="AF66" s="254"/>
      <c r="AG66" s="254"/>
      <c r="AH66" s="254"/>
      <c r="AI66" s="513"/>
      <c r="AJ66" s="254"/>
      <c r="AK66" s="254"/>
      <c r="AL66" s="254"/>
      <c r="AM66" s="513"/>
      <c r="AN66" s="254"/>
      <c r="AO66" s="254"/>
      <c r="AP66" s="254"/>
      <c r="AQ66" s="513"/>
      <c r="AR66" s="254"/>
      <c r="AS66" s="254"/>
      <c r="AT66" s="254"/>
      <c r="AU66" s="513"/>
      <c r="AV66" s="254"/>
      <c r="AW66" s="254"/>
      <c r="AX66" s="254"/>
      <c r="AY66" s="513"/>
      <c r="AZ66" s="462"/>
      <c r="BA66" s="463"/>
      <c r="BB66" s="513"/>
      <c r="BC66" s="462"/>
      <c r="BD66" s="463"/>
      <c r="BE66" s="463"/>
      <c r="BF66" s="463"/>
      <c r="BG66" s="462"/>
      <c r="BH66" s="463"/>
      <c r="BI66" s="462"/>
      <c r="BJ66" s="462"/>
      <c r="BK66" s="463"/>
      <c r="BL66" s="462"/>
      <c r="BM66" s="462"/>
      <c r="BN66" s="463"/>
      <c r="BO66" s="469">
        <f t="shared" si="38"/>
        <v>0</v>
      </c>
      <c r="BP66" s="472"/>
      <c r="BQ66" s="462"/>
      <c r="BR66" s="462"/>
      <c r="BS66" s="469">
        <f t="shared" si="36"/>
        <v>0</v>
      </c>
      <c r="BT66" s="531"/>
      <c r="BU66" s="469">
        <f t="shared" si="66"/>
        <v>0</v>
      </c>
    </row>
    <row r="67" spans="1:73" ht="12.6" hidden="1" customHeight="1">
      <c r="A67" s="482" t="s">
        <v>82</v>
      </c>
      <c r="B67" s="457">
        <f>B24+B54+B61</f>
        <v>17700</v>
      </c>
      <c r="C67" s="458"/>
      <c r="D67" s="457">
        <f>D24+D54+D61+D65</f>
        <v>544</v>
      </c>
      <c r="E67" s="457">
        <f>E24+E54+E61+E65</f>
        <v>577</v>
      </c>
      <c r="F67" s="457"/>
      <c r="G67" s="511">
        <f>G24+G54+G61+G65</f>
        <v>1.4296088426</v>
      </c>
      <c r="H67" s="457">
        <f>H24+H54+H61+H65</f>
        <v>1078</v>
      </c>
      <c r="I67" s="457">
        <f>I24+I54+I61+I65</f>
        <v>1120</v>
      </c>
      <c r="J67" s="457"/>
      <c r="K67" s="511">
        <f>K24+K54+K61+K65</f>
        <v>4.6373898684571424</v>
      </c>
      <c r="L67" s="457">
        <f>L24+L54+L61+L65</f>
        <v>1238</v>
      </c>
      <c r="M67" s="457">
        <f>M24+M54+M61+M65</f>
        <v>591</v>
      </c>
      <c r="N67" s="457"/>
      <c r="O67" s="511">
        <f>O24+O54+O61+O65</f>
        <v>2.9772853248000004</v>
      </c>
      <c r="P67" s="457">
        <f>P24+P54+P61+P65</f>
        <v>1635</v>
      </c>
      <c r="Q67" s="457">
        <f>Q24+Q54+Q61+Q65</f>
        <v>655</v>
      </c>
      <c r="R67" s="457"/>
      <c r="S67" s="511">
        <f t="shared" ref="S67:X67" si="121">S24+S54+S61+S65</f>
        <v>3.0472554675428567</v>
      </c>
      <c r="T67" s="457">
        <f t="shared" si="121"/>
        <v>1682</v>
      </c>
      <c r="U67" s="457">
        <f t="shared" si="121"/>
        <v>503</v>
      </c>
      <c r="V67" s="457">
        <f t="shared" si="121"/>
        <v>0</v>
      </c>
      <c r="W67" s="511">
        <f t="shared" si="121"/>
        <v>2.5565820048857146</v>
      </c>
      <c r="X67" s="457">
        <f t="shared" si="121"/>
        <v>1810</v>
      </c>
      <c r="Y67" s="457">
        <f t="shared" ref="Y67" si="122">Y24+Y54+Y61+Y65</f>
        <v>958</v>
      </c>
      <c r="Z67" s="457">
        <f>IF(ISERROR(#REF!/X67*1000000),0,(#REF!/X67*1000000))</f>
        <v>0</v>
      </c>
      <c r="AA67" s="511">
        <f t="shared" ref="AA67" si="123">AA24+AA54+AA61+AA65</f>
        <v>4.6237570100000003</v>
      </c>
      <c r="AB67" s="457">
        <f>AB24+AB54+AB61+AB65</f>
        <v>1781</v>
      </c>
      <c r="AC67" s="457">
        <f t="shared" ref="AC67" si="124">AC24+AC54+AC61+AC65</f>
        <v>1354</v>
      </c>
      <c r="AD67" s="457">
        <f>IF(ISERROR(#REF!/AB67*1000000),0,(#REF!/AB67*1000000))</f>
        <v>0</v>
      </c>
      <c r="AE67" s="511">
        <f t="shared" ref="AE67" si="125">AE24+AE54+AE61+AE65</f>
        <v>5.3310996037265825</v>
      </c>
      <c r="AF67" s="457">
        <f>AF24+AF54+AF61+AF65</f>
        <v>1681</v>
      </c>
      <c r="AG67" s="457">
        <f t="shared" ref="AG67" si="126">AG24+AG54+AG61+AG65</f>
        <v>594</v>
      </c>
      <c r="AH67" s="457">
        <f>IF(ISERROR(#REF!/AF67*1000000),0,(#REF!/AF67*1000000))</f>
        <v>0</v>
      </c>
      <c r="AI67" s="511">
        <f t="shared" ref="AI67" si="127">AI24+AI54+AI61+AI65</f>
        <v>2.3571578800503179</v>
      </c>
      <c r="AJ67" s="457">
        <f>AJ24+AJ54+AJ61+AJ65</f>
        <v>1802</v>
      </c>
      <c r="AK67" s="457">
        <f t="shared" ref="AK67" si="128">AK24+AK54+AK61+AK65</f>
        <v>1389</v>
      </c>
      <c r="AL67" s="457">
        <f>IF(ISERROR(#REF!/AJ67*1000000),0,(#REF!/AJ67*1000000))</f>
        <v>0</v>
      </c>
      <c r="AM67" s="511">
        <f t="shared" ref="AM67" si="129">AM24+AM54+AM61+AM65</f>
        <v>4.8117433381234118</v>
      </c>
      <c r="AN67" s="457">
        <f>AN24+AN54+AN61+AN65</f>
        <v>1559</v>
      </c>
      <c r="AO67" s="457">
        <f t="shared" ref="AO67" si="130">AO24+AO54+AO61+AO65</f>
        <v>820</v>
      </c>
      <c r="AP67" s="457">
        <f>IF(ISERROR(#REF!/AN67*1000000),0,(#REF!/AN67*1000000))</f>
        <v>0</v>
      </c>
      <c r="AQ67" s="511">
        <f t="shared" ref="AQ67" si="131">AQ24+AQ54+AQ61+AQ65</f>
        <v>1.7722847079199919</v>
      </c>
      <c r="AR67" s="457">
        <f>AR24+AR54+AR61+AR65</f>
        <v>1841</v>
      </c>
      <c r="AS67" s="457">
        <f t="shared" ref="AS67" si="132">AS24+AS54+AS61+AS65</f>
        <v>1062</v>
      </c>
      <c r="AT67" s="457">
        <f>IF(ISERROR(#REF!/AR67*1000000),0,(#REF!/AR67*1000000))</f>
        <v>0</v>
      </c>
      <c r="AU67" s="511">
        <f t="shared" ref="AU67" si="133">AU24+AU54+AU61+AU65</f>
        <v>2.3162733835160592</v>
      </c>
      <c r="AV67" s="457">
        <f>AV24+AV54+AV61+AV65</f>
        <v>1049</v>
      </c>
      <c r="AW67" s="457">
        <f t="shared" ref="AW67" si="134">AW24+AW54+AW61+AW65</f>
        <v>0</v>
      </c>
      <c r="AX67" s="457">
        <f>IF(ISERROR(#REF!/AV67*1000000),0,(#REF!/AV67*1000000))</f>
        <v>0</v>
      </c>
      <c r="AY67" s="511">
        <f t="shared" ref="AY67:BK67" si="135">AY24+AY54+AY61+AY65</f>
        <v>0</v>
      </c>
      <c r="AZ67" s="458">
        <f t="shared" si="135"/>
        <v>2860</v>
      </c>
      <c r="BA67" s="458">
        <f t="shared" si="135"/>
        <v>2288</v>
      </c>
      <c r="BB67" s="511">
        <f t="shared" si="135"/>
        <v>9.0442840358571424</v>
      </c>
      <c r="BC67" s="457">
        <f t="shared" si="135"/>
        <v>5127</v>
      </c>
      <c r="BD67" s="458">
        <f t="shared" si="135"/>
        <v>2116</v>
      </c>
      <c r="BE67" s="458"/>
      <c r="BF67" s="458"/>
      <c r="BG67" s="457">
        <f t="shared" si="135"/>
        <v>3337</v>
      </c>
      <c r="BH67" s="458">
        <f t="shared" si="135"/>
        <v>12.500000821900313</v>
      </c>
      <c r="BI67" s="457">
        <f t="shared" si="135"/>
        <v>4449</v>
      </c>
      <c r="BJ67" s="457"/>
      <c r="BK67" s="458">
        <f t="shared" si="135"/>
        <v>4.0885580914360506</v>
      </c>
      <c r="BL67" s="457">
        <v>25101</v>
      </c>
      <c r="BM67" s="457"/>
      <c r="BN67" s="458" t="e">
        <v>#REF!</v>
      </c>
      <c r="BO67" s="525">
        <f t="shared" si="38"/>
        <v>6139.3282029126349</v>
      </c>
      <c r="BP67" s="472"/>
      <c r="BQ67" s="457">
        <f t="shared" ref="BQ67:BR67" si="136">BQ24+BQ54+BQ61+BQ65</f>
        <v>7987</v>
      </c>
      <c r="BR67" s="457">
        <f t="shared" si="136"/>
        <v>4404</v>
      </c>
      <c r="BS67" s="467">
        <f t="shared" si="36"/>
        <v>0.55139601853011144</v>
      </c>
      <c r="BT67" s="530">
        <f t="shared" ref="BT67" si="137">BT24+BT54+BT61+BT65</f>
        <v>19.271878518285718</v>
      </c>
      <c r="BU67" s="525">
        <f t="shared" si="66"/>
        <v>0.24881355932203389</v>
      </c>
    </row>
    <row r="68" spans="1:73" ht="12.6" hidden="1" customHeight="1">
      <c r="A68" s="254"/>
      <c r="B68" s="462"/>
      <c r="C68" s="463"/>
      <c r="D68" s="462"/>
      <c r="E68" s="462"/>
      <c r="F68" s="462"/>
      <c r="G68" s="513"/>
      <c r="H68" s="462"/>
      <c r="I68" s="462"/>
      <c r="J68" s="462"/>
      <c r="K68" s="513"/>
      <c r="L68" s="462"/>
      <c r="M68" s="462"/>
      <c r="N68" s="462"/>
      <c r="O68" s="513"/>
      <c r="P68" s="462"/>
      <c r="Q68" s="462"/>
      <c r="R68" s="462"/>
      <c r="S68" s="513"/>
      <c r="T68" s="462"/>
      <c r="U68" s="462"/>
      <c r="V68" s="462"/>
      <c r="W68" s="513"/>
      <c r="X68" s="462"/>
      <c r="Y68" s="462"/>
      <c r="Z68" s="462"/>
      <c r="AA68" s="513"/>
      <c r="AB68" s="462"/>
      <c r="AC68" s="462"/>
      <c r="AD68" s="462"/>
      <c r="AE68" s="513"/>
      <c r="AF68" s="462"/>
      <c r="AG68" s="462"/>
      <c r="AH68" s="462"/>
      <c r="AI68" s="513"/>
      <c r="AJ68" s="462"/>
      <c r="AK68" s="462"/>
      <c r="AL68" s="462"/>
      <c r="AM68" s="513"/>
      <c r="AN68" s="462"/>
      <c r="AO68" s="462"/>
      <c r="AP68" s="462"/>
      <c r="AQ68" s="513"/>
      <c r="AR68" s="462"/>
      <c r="AS68" s="462"/>
      <c r="AT68" s="462"/>
      <c r="AU68" s="513"/>
      <c r="AV68" s="462"/>
      <c r="AW68" s="462"/>
      <c r="AX68" s="462"/>
      <c r="AY68" s="513"/>
      <c r="AZ68" s="462"/>
      <c r="BA68" s="463"/>
      <c r="BB68" s="513"/>
      <c r="BC68" s="462"/>
      <c r="BD68" s="257">
        <v>0</v>
      </c>
      <c r="BE68" s="257"/>
      <c r="BF68" s="257"/>
      <c r="BG68" s="462" t="e">
        <f>A68+#REF!+#REF!+#REF!+#REF!+#REF!+#REF!+#REF!+#REF!+#REF!+#REF!+#REF!</f>
        <v>#REF!</v>
      </c>
      <c r="BH68" s="463" t="e">
        <f>+#REF!+#REF!+#REF!+#REF!+#REF!+#REF!+#REF!+#REF!+#REF!+#REF!+#REF!+BI68+#REF!</f>
        <v>#REF!</v>
      </c>
      <c r="BI68" s="462" t="e">
        <f>#REF!+#REF!+#REF!+#REF!+#REF!+#REF!+#REF!+#REF!+#REF!+#REF!+#REF!+#REF!</f>
        <v>#REF!</v>
      </c>
      <c r="BJ68" s="462"/>
      <c r="BK68" s="463" t="e">
        <f>+H68+L68+P68+T68+X68+AB68+AF68+AJ68+AN68+AR68+AV68+BL68+D68</f>
        <v>#REF!</v>
      </c>
      <c r="BL68" s="462" t="e">
        <v>#REF!</v>
      </c>
      <c r="BM68" s="462"/>
      <c r="BN68" s="463">
        <v>0</v>
      </c>
      <c r="BO68" s="469">
        <f t="shared" si="38"/>
        <v>0</v>
      </c>
      <c r="BP68" s="472"/>
      <c r="BQ68" s="462"/>
      <c r="BR68" s="462"/>
      <c r="BS68" s="469">
        <f t="shared" si="36"/>
        <v>0</v>
      </c>
      <c r="BT68" s="531"/>
      <c r="BU68" s="469">
        <f t="shared" si="66"/>
        <v>0</v>
      </c>
    </row>
    <row r="69" spans="1:73" ht="12.6" hidden="1" customHeight="1">
      <c r="A69" s="482" t="s">
        <v>81</v>
      </c>
      <c r="B69" s="498">
        <f>D69+H69+L69+P69+T69+X69+AB69+AF69+AJ69+AN69+AR69+AV69</f>
        <v>0</v>
      </c>
      <c r="C69" s="499"/>
      <c r="D69" s="129"/>
      <c r="E69" s="129"/>
      <c r="F69" s="129"/>
      <c r="G69" s="514"/>
      <c r="H69" s="129"/>
      <c r="I69" s="129"/>
      <c r="J69" s="129"/>
      <c r="K69" s="514"/>
      <c r="L69" s="129"/>
      <c r="M69" s="129"/>
      <c r="N69" s="129"/>
      <c r="O69" s="514"/>
      <c r="P69" s="129"/>
      <c r="Q69" s="129"/>
      <c r="R69" s="129"/>
      <c r="S69" s="514"/>
      <c r="T69" s="129"/>
      <c r="U69" s="129"/>
      <c r="V69" s="129">
        <f>(T69*U69)/10^6</f>
        <v>0</v>
      </c>
      <c r="W69" s="514">
        <f>U69*(V69-C69)*66.93/10^7</f>
        <v>0</v>
      </c>
      <c r="X69" s="129"/>
      <c r="Y69" s="129"/>
      <c r="Z69" s="129"/>
      <c r="AA69" s="514">
        <f>Y69*(Z69-G69)*66.93/10^7</f>
        <v>0</v>
      </c>
      <c r="AB69" s="129"/>
      <c r="AC69" s="129"/>
      <c r="AD69" s="129"/>
      <c r="AE69" s="514">
        <f>AC69*(AD69-K69)*66.93/10^7</f>
        <v>0</v>
      </c>
      <c r="AF69" s="129"/>
      <c r="AG69" s="129"/>
      <c r="AH69" s="129"/>
      <c r="AI69" s="514">
        <f>AG69*(AH69-O69)*66.93/10^7</f>
        <v>0</v>
      </c>
      <c r="AJ69" s="129"/>
      <c r="AK69" s="129"/>
      <c r="AL69" s="129"/>
      <c r="AM69" s="514"/>
      <c r="AN69" s="129"/>
      <c r="AO69" s="129"/>
      <c r="AP69" s="129"/>
      <c r="AQ69" s="514"/>
      <c r="AR69" s="129"/>
      <c r="AS69" s="129"/>
      <c r="AT69" s="129"/>
      <c r="AU69" s="514"/>
      <c r="AV69" s="129"/>
      <c r="AW69" s="129"/>
      <c r="AX69" s="129"/>
      <c r="AY69" s="514">
        <f>AW69*(AX69-AE69)*66.93/10^7</f>
        <v>0</v>
      </c>
      <c r="AZ69" s="257">
        <f>+D69+H69+L69</f>
        <v>0</v>
      </c>
      <c r="BA69" s="23">
        <f>+E69+I69+M69</f>
        <v>0</v>
      </c>
      <c r="BB69" s="514">
        <f>+G69+K69+O69</f>
        <v>0</v>
      </c>
      <c r="BC69" s="257">
        <f>+P69+T69+X69</f>
        <v>0</v>
      </c>
      <c r="BD69" s="257">
        <v>0</v>
      </c>
      <c r="BE69" s="257"/>
      <c r="BF69" s="257"/>
      <c r="BG69" s="257">
        <f>+AB69+AF69+AJ69</f>
        <v>0</v>
      </c>
      <c r="BH69" s="257" t="e">
        <f>+#REF!+#REF!+#REF!</f>
        <v>#REF!</v>
      </c>
      <c r="BI69" s="257">
        <f>+AN69+AR69+AV69</f>
        <v>0</v>
      </c>
      <c r="BJ69" s="257"/>
      <c r="BK69" s="257" t="e">
        <f>+#REF!+#REF!+#REF!</f>
        <v>#REF!</v>
      </c>
      <c r="BL69" s="257">
        <v>0</v>
      </c>
      <c r="BM69" s="257"/>
      <c r="BN69" s="257" t="e">
        <v>#REF!</v>
      </c>
      <c r="BO69" s="466">
        <f t="shared" si="38"/>
        <v>0</v>
      </c>
      <c r="BP69" s="472"/>
      <c r="BQ69" s="23">
        <f>D69+H69+L69+P69+T69</f>
        <v>0</v>
      </c>
      <c r="BR69" s="23">
        <f>E69+I69+M69+Q69+U69</f>
        <v>0</v>
      </c>
      <c r="BS69" s="466">
        <f t="shared" si="36"/>
        <v>0</v>
      </c>
      <c r="BT69" s="509">
        <f>G69+K69+O69+S69+W69+AA69</f>
        <v>0</v>
      </c>
      <c r="BU69" s="466">
        <f t="shared" si="66"/>
        <v>0</v>
      </c>
    </row>
    <row r="70" spans="1:73" ht="12.6" hidden="1" customHeight="1">
      <c r="A70" s="254"/>
      <c r="B70" s="462"/>
      <c r="C70" s="463"/>
      <c r="D70" s="462"/>
      <c r="E70" s="462"/>
      <c r="F70" s="462"/>
      <c r="G70" s="515"/>
      <c r="H70" s="462"/>
      <c r="I70" s="462"/>
      <c r="J70" s="462"/>
      <c r="K70" s="515"/>
      <c r="L70" s="462"/>
      <c r="M70" s="462"/>
      <c r="N70" s="462"/>
      <c r="O70" s="515"/>
      <c r="P70" s="462"/>
      <c r="Q70" s="462"/>
      <c r="R70" s="462"/>
      <c r="S70" s="515"/>
      <c r="T70" s="462"/>
      <c r="U70" s="462"/>
      <c r="V70" s="462"/>
      <c r="W70" s="515"/>
      <c r="X70" s="462"/>
      <c r="Y70" s="462"/>
      <c r="Z70" s="462"/>
      <c r="AA70" s="515"/>
      <c r="AB70" s="462"/>
      <c r="AC70" s="462"/>
      <c r="AD70" s="462"/>
      <c r="AE70" s="515"/>
      <c r="AF70" s="462"/>
      <c r="AG70" s="462"/>
      <c r="AH70" s="462"/>
      <c r="AI70" s="515"/>
      <c r="AJ70" s="462"/>
      <c r="AK70" s="462"/>
      <c r="AL70" s="462"/>
      <c r="AM70" s="515"/>
      <c r="AN70" s="462"/>
      <c r="AO70" s="462"/>
      <c r="AP70" s="462"/>
      <c r="AQ70" s="515"/>
      <c r="AR70" s="462"/>
      <c r="AS70" s="462"/>
      <c r="AT70" s="462"/>
      <c r="AU70" s="515"/>
      <c r="AV70" s="462"/>
      <c r="AW70" s="462"/>
      <c r="AX70" s="462"/>
      <c r="AY70" s="515"/>
      <c r="AZ70" s="462"/>
      <c r="BA70" s="463"/>
      <c r="BB70" s="515"/>
      <c r="BC70" s="462"/>
      <c r="BD70" s="257">
        <v>0</v>
      </c>
      <c r="BE70" s="257"/>
      <c r="BF70" s="257"/>
      <c r="BG70" s="462" t="e">
        <f>A70+#REF!+#REF!+#REF!+#REF!+#REF!+#REF!+#REF!+#REF!+#REF!+#REF!+#REF!</f>
        <v>#REF!</v>
      </c>
      <c r="BH70" s="463" t="e">
        <f>+#REF!+#REF!+#REF!+#REF!+#REF!+#REF!+#REF!+#REF!+#REF!+#REF!+#REF!+BI70+#REF!</f>
        <v>#REF!</v>
      </c>
      <c r="BI70" s="462" t="e">
        <f>#REF!+#REF!+#REF!+#REF!+#REF!+#REF!+#REF!+#REF!+#REF!+#REF!+#REF!+#REF!</f>
        <v>#REF!</v>
      </c>
      <c r="BJ70" s="462"/>
      <c r="BK70" s="463" t="e">
        <f>+H70+L70+P70+T70+X70+AB70+AF70+AJ70+AN70+AR70+AV70+BL70+D70</f>
        <v>#REF!</v>
      </c>
      <c r="BL70" s="462" t="e">
        <v>#REF!</v>
      </c>
      <c r="BM70" s="462"/>
      <c r="BN70" s="463">
        <v>0</v>
      </c>
      <c r="BO70" s="469">
        <f t="shared" si="38"/>
        <v>0</v>
      </c>
      <c r="BP70" s="472"/>
      <c r="BQ70" s="462"/>
      <c r="BR70" s="462"/>
      <c r="BS70" s="469">
        <f t="shared" si="36"/>
        <v>0</v>
      </c>
      <c r="BT70" s="531"/>
      <c r="BU70" s="469">
        <f t="shared" ref="BU70:BU81" si="138">IFERROR(BR70/B70,0)</f>
        <v>0</v>
      </c>
    </row>
    <row r="71" spans="1:73" ht="12.6" hidden="1" customHeight="1">
      <c r="A71" s="482" t="s">
        <v>9</v>
      </c>
      <c r="B71" s="457">
        <f>+B67+B69</f>
        <v>17700</v>
      </c>
      <c r="C71" s="458"/>
      <c r="D71" s="457">
        <f>+D67+D69</f>
        <v>544</v>
      </c>
      <c r="E71" s="457">
        <f>+E67+E69</f>
        <v>577</v>
      </c>
      <c r="F71" s="457"/>
      <c r="G71" s="511">
        <f>+G67+G69</f>
        <v>1.4296088426</v>
      </c>
      <c r="H71" s="457">
        <f>+H67+H69</f>
        <v>1078</v>
      </c>
      <c r="I71" s="457">
        <f>+I67+I69</f>
        <v>1120</v>
      </c>
      <c r="J71" s="457"/>
      <c r="K71" s="511">
        <f>+K67+K69</f>
        <v>4.6373898684571424</v>
      </c>
      <c r="L71" s="457">
        <f>+L67+L69</f>
        <v>1238</v>
      </c>
      <c r="M71" s="457">
        <f>+M67+M69</f>
        <v>591</v>
      </c>
      <c r="N71" s="457"/>
      <c r="O71" s="511">
        <f>+O67+O69</f>
        <v>2.9772853248000004</v>
      </c>
      <c r="P71" s="457">
        <f>+P67+P69</f>
        <v>1635</v>
      </c>
      <c r="Q71" s="457">
        <f>+Q67+Q69</f>
        <v>655</v>
      </c>
      <c r="R71" s="457"/>
      <c r="S71" s="511">
        <f t="shared" ref="S71:X71" si="139">+S67+S69</f>
        <v>3.0472554675428567</v>
      </c>
      <c r="T71" s="457">
        <f t="shared" si="139"/>
        <v>1682</v>
      </c>
      <c r="U71" s="457">
        <f t="shared" si="139"/>
        <v>503</v>
      </c>
      <c r="V71" s="457">
        <f t="shared" si="139"/>
        <v>0</v>
      </c>
      <c r="W71" s="511">
        <f t="shared" si="139"/>
        <v>2.5565820048857146</v>
      </c>
      <c r="X71" s="457">
        <f t="shared" si="139"/>
        <v>1810</v>
      </c>
      <c r="Y71" s="457">
        <f t="shared" ref="Y71" si="140">+Y67+Y69</f>
        <v>958</v>
      </c>
      <c r="Z71" s="457">
        <f>IF(ISERROR(#REF!/X71*1000000),0,(#REF!/X71*1000000))</f>
        <v>0</v>
      </c>
      <c r="AA71" s="511">
        <f t="shared" ref="AA71" si="141">+AA67+AA69</f>
        <v>4.6237570100000003</v>
      </c>
      <c r="AB71" s="457">
        <f>+AB67+AB69</f>
        <v>1781</v>
      </c>
      <c r="AC71" s="457">
        <f t="shared" ref="AC71" si="142">+AC67+AC69</f>
        <v>1354</v>
      </c>
      <c r="AD71" s="457">
        <f>IF(ISERROR(#REF!/AB71*1000000),0,(#REF!/AB71*1000000))</f>
        <v>0</v>
      </c>
      <c r="AE71" s="511">
        <f t="shared" ref="AE71" si="143">+AE67+AE69</f>
        <v>5.3310996037265825</v>
      </c>
      <c r="AF71" s="457">
        <f>+AF67+AF69</f>
        <v>1681</v>
      </c>
      <c r="AG71" s="457">
        <f t="shared" ref="AG71" si="144">+AG67+AG69</f>
        <v>594</v>
      </c>
      <c r="AH71" s="457">
        <f>IF(ISERROR(#REF!/AF71*1000000),0,(#REF!/AF71*1000000))</f>
        <v>0</v>
      </c>
      <c r="AI71" s="511">
        <f t="shared" ref="AI71" si="145">+AI67+AI69</f>
        <v>2.3571578800503179</v>
      </c>
      <c r="AJ71" s="457">
        <f>+AJ67+AJ69</f>
        <v>1802</v>
      </c>
      <c r="AK71" s="457">
        <f t="shared" ref="AK71" si="146">+AK67+AK69</f>
        <v>1389</v>
      </c>
      <c r="AL71" s="457">
        <f>IF(ISERROR(#REF!/AJ71*1000000),0,(#REF!/AJ71*1000000))</f>
        <v>0</v>
      </c>
      <c r="AM71" s="511">
        <f t="shared" ref="AM71" si="147">+AM67+AM69</f>
        <v>4.8117433381234118</v>
      </c>
      <c r="AN71" s="457">
        <f>+AN67+AN69</f>
        <v>1559</v>
      </c>
      <c r="AO71" s="457">
        <f t="shared" ref="AO71" si="148">+AO67+AO69</f>
        <v>820</v>
      </c>
      <c r="AP71" s="457">
        <f>IF(ISERROR(#REF!/AN71*1000000),0,(#REF!/AN71*1000000))</f>
        <v>0</v>
      </c>
      <c r="AQ71" s="511">
        <f t="shared" ref="AQ71" si="149">+AQ67+AQ69</f>
        <v>1.7722847079199919</v>
      </c>
      <c r="AR71" s="457">
        <f>+AR67+AR69</f>
        <v>1841</v>
      </c>
      <c r="AS71" s="457">
        <f t="shared" ref="AS71" si="150">+AS67+AS69</f>
        <v>1062</v>
      </c>
      <c r="AT71" s="457">
        <f>IF(ISERROR(#REF!/AR71*1000000),0,(#REF!/AR71*1000000))</f>
        <v>0</v>
      </c>
      <c r="AU71" s="511">
        <f t="shared" ref="AU71" si="151">+AU67+AU69</f>
        <v>2.3162733835160592</v>
      </c>
      <c r="AV71" s="457">
        <f>+AV67+AV69</f>
        <v>1049</v>
      </c>
      <c r="AW71" s="457">
        <f t="shared" ref="AW71" si="152">+AW67+AW69</f>
        <v>0</v>
      </c>
      <c r="AX71" s="457">
        <f>IF(ISERROR(#REF!/AV71*1000000),0,(#REF!/AV71*1000000))</f>
        <v>0</v>
      </c>
      <c r="AY71" s="511">
        <f t="shared" ref="AY71:BK71" si="153">+AY67+AY69</f>
        <v>0</v>
      </c>
      <c r="AZ71" s="458">
        <f t="shared" si="153"/>
        <v>2860</v>
      </c>
      <c r="BA71" s="458">
        <f t="shared" si="153"/>
        <v>2288</v>
      </c>
      <c r="BB71" s="511">
        <f t="shared" si="153"/>
        <v>9.0442840358571424</v>
      </c>
      <c r="BC71" s="458">
        <f t="shared" si="153"/>
        <v>5127</v>
      </c>
      <c r="BD71" s="458">
        <f t="shared" si="153"/>
        <v>2116</v>
      </c>
      <c r="BE71" s="458"/>
      <c r="BF71" s="458"/>
      <c r="BG71" s="458">
        <f t="shared" si="153"/>
        <v>3337</v>
      </c>
      <c r="BH71" s="458" t="e">
        <f t="shared" si="153"/>
        <v>#REF!</v>
      </c>
      <c r="BI71" s="458">
        <f t="shared" si="153"/>
        <v>4449</v>
      </c>
      <c r="BJ71" s="458"/>
      <c r="BK71" s="458" t="e">
        <f t="shared" si="153"/>
        <v>#REF!</v>
      </c>
      <c r="BL71" s="458">
        <v>25101</v>
      </c>
      <c r="BM71" s="458"/>
      <c r="BN71" s="458" t="e">
        <v>#REF!</v>
      </c>
      <c r="BO71" s="525">
        <f t="shared" si="38"/>
        <v>0</v>
      </c>
      <c r="BP71" s="472"/>
      <c r="BQ71" s="457">
        <f t="shared" ref="BQ71:BR71" si="154">+BQ67+BQ69</f>
        <v>7987</v>
      </c>
      <c r="BR71" s="457">
        <f t="shared" si="154"/>
        <v>4404</v>
      </c>
      <c r="BS71" s="467">
        <f t="shared" ref="BS71:BS81" si="155">IFERROR(BR71/BQ71,0)</f>
        <v>0.55139601853011144</v>
      </c>
      <c r="BT71" s="530">
        <f t="shared" ref="BT71" si="156">+BT67+BT69</f>
        <v>19.271878518285718</v>
      </c>
      <c r="BU71" s="525">
        <f t="shared" si="138"/>
        <v>0.24881355932203389</v>
      </c>
    </row>
    <row r="72" spans="1:73" ht="12.6" customHeight="1">
      <c r="A72" s="474"/>
      <c r="B72" s="502"/>
      <c r="C72" s="502"/>
      <c r="D72" s="474"/>
      <c r="E72" s="474"/>
      <c r="F72" s="474"/>
      <c r="G72" s="516"/>
      <c r="H72" s="474"/>
      <c r="I72" s="474"/>
      <c r="J72" s="474"/>
      <c r="K72" s="516"/>
      <c r="L72" s="474"/>
      <c r="M72" s="474"/>
      <c r="N72" s="474"/>
      <c r="O72" s="516"/>
      <c r="P72" s="474"/>
      <c r="Q72" s="474"/>
      <c r="R72" s="474"/>
      <c r="S72" s="516"/>
      <c r="T72" s="474"/>
      <c r="U72" s="474"/>
      <c r="V72" s="474"/>
      <c r="W72" s="516"/>
      <c r="X72" s="474"/>
      <c r="Y72" s="474"/>
      <c r="Z72" s="474"/>
      <c r="AA72" s="516"/>
      <c r="AB72" s="474"/>
      <c r="AC72" s="474"/>
      <c r="AD72" s="474"/>
      <c r="AE72" s="516"/>
      <c r="AF72" s="474"/>
      <c r="AG72" s="474"/>
      <c r="AH72" s="474"/>
      <c r="AI72" s="516"/>
      <c r="AJ72" s="474"/>
      <c r="AK72" s="474"/>
      <c r="AL72" s="474"/>
      <c r="AM72" s="516"/>
      <c r="AN72" s="474"/>
      <c r="AO72" s="474"/>
      <c r="AP72" s="474"/>
      <c r="AQ72" s="516"/>
      <c r="AR72" s="474"/>
      <c r="AS72" s="474"/>
      <c r="AT72" s="474"/>
      <c r="AU72" s="516"/>
      <c r="AV72" s="474"/>
      <c r="AW72" s="474"/>
      <c r="AX72" s="474"/>
      <c r="AY72" s="516"/>
      <c r="AZ72" s="474"/>
      <c r="BA72" s="474"/>
      <c r="BB72" s="516"/>
      <c r="BC72" s="474"/>
      <c r="BD72" s="474"/>
      <c r="BE72" s="474"/>
      <c r="BF72" s="474"/>
      <c r="BG72" s="474"/>
      <c r="BH72" s="474"/>
      <c r="BI72" s="474"/>
      <c r="BJ72" s="474"/>
      <c r="BK72" s="474"/>
      <c r="BL72" s="474"/>
      <c r="BM72" s="474"/>
      <c r="BN72" s="474"/>
      <c r="BO72" s="525">
        <f t="shared" si="38"/>
        <v>0</v>
      </c>
      <c r="BP72" s="472"/>
      <c r="BQ72" s="458"/>
      <c r="BR72" s="457"/>
      <c r="BS72" s="467">
        <f t="shared" si="155"/>
        <v>0</v>
      </c>
      <c r="BT72" s="530"/>
      <c r="BU72" s="525">
        <f t="shared" si="138"/>
        <v>0</v>
      </c>
    </row>
    <row r="73" spans="1:73" ht="12.6" customHeight="1">
      <c r="A73" s="254" t="s">
        <v>109</v>
      </c>
      <c r="B73" s="129">
        <f t="shared" ref="B73:B78" si="157">D73+H73+L73+P73+T73+X73+AB73+AF73+AJ73+AN73+AR73+AV73</f>
        <v>60</v>
      </c>
      <c r="C73" s="257"/>
      <c r="D73" s="129">
        <v>5</v>
      </c>
      <c r="E73" s="129"/>
      <c r="F73" s="129"/>
      <c r="G73" s="509">
        <f t="shared" ref="G73:G78" si="158">E73*(F73-C73)*66.47/10^7</f>
        <v>0</v>
      </c>
      <c r="H73" s="129">
        <v>5</v>
      </c>
      <c r="I73" s="129">
        <v>1</v>
      </c>
      <c r="J73" s="129">
        <v>2576</v>
      </c>
      <c r="K73" s="509">
        <f t="shared" ref="K73:K78" si="159">I73*(J73-C73)*66.91/10^7</f>
        <v>1.7236016E-2</v>
      </c>
      <c r="L73" s="129">
        <v>5</v>
      </c>
      <c r="M73" s="129"/>
      <c r="N73" s="129"/>
      <c r="O73" s="509">
        <f t="shared" ref="O73:O78" si="160">M73*(N73-C73)*67.28/10^7</f>
        <v>0</v>
      </c>
      <c r="P73" s="129">
        <v>5</v>
      </c>
      <c r="Q73" s="129"/>
      <c r="R73" s="129"/>
      <c r="S73" s="509">
        <f t="shared" ref="S73:S78" si="161">Q73*(R73-C73)*67.28/10^7</f>
        <v>0</v>
      </c>
      <c r="T73" s="129">
        <v>5</v>
      </c>
      <c r="U73" s="129"/>
      <c r="V73" s="129">
        <f t="shared" ref="V73:V78" si="162">(T73*U73)/10^6</f>
        <v>0</v>
      </c>
      <c r="W73" s="509">
        <f t="shared" ref="W73:W78" si="163">U73*(V73-C73)*66.93/10^7</f>
        <v>0</v>
      </c>
      <c r="X73" s="129">
        <v>5</v>
      </c>
      <c r="Y73" s="129"/>
      <c r="Z73" s="129"/>
      <c r="AA73" s="509">
        <f t="shared" ref="AA73:AA78" si="164">Y73*(Z73-C73)*67.01/10^7</f>
        <v>0</v>
      </c>
      <c r="AB73" s="129">
        <v>5</v>
      </c>
      <c r="AC73" s="129"/>
      <c r="AD73" s="129"/>
      <c r="AE73" s="509">
        <f t="shared" ref="AE73:AE78" si="165">AC73*(AD73-G73)*66.73/10^7</f>
        <v>0</v>
      </c>
      <c r="AF73" s="129">
        <v>5</v>
      </c>
      <c r="AG73" s="129">
        <v>16</v>
      </c>
      <c r="AH73" s="129">
        <v>1968</v>
      </c>
      <c r="AI73" s="509">
        <f t="shared" ref="AI73:AI78" si="166">AG73*(AH73-K73)*67.58/10^7</f>
        <v>0.21279404030406196</v>
      </c>
      <c r="AJ73" s="129">
        <v>5</v>
      </c>
      <c r="AK73" s="129"/>
      <c r="AL73" s="129"/>
      <c r="AM73" s="509">
        <f t="shared" ref="AM73:AM78" si="167">AK73*(AL73-O73)*67.01/10^7</f>
        <v>0</v>
      </c>
      <c r="AN73" s="129">
        <v>5</v>
      </c>
      <c r="AO73" s="129"/>
      <c r="AP73" s="129"/>
      <c r="AQ73" s="509">
        <f t="shared" ref="AQ73:AQ78" si="168">AO73*(AP73-S73)*68.01/10^7</f>
        <v>0</v>
      </c>
      <c r="AR73" s="129">
        <v>5</v>
      </c>
      <c r="AS73" s="129"/>
      <c r="AT73" s="129"/>
      <c r="AU73" s="509">
        <f t="shared" ref="AU73:AU78" si="169">AS73*(AT73-W73)*67.01/10^7</f>
        <v>0</v>
      </c>
      <c r="AV73" s="129">
        <v>5</v>
      </c>
      <c r="AW73" s="129"/>
      <c r="AX73" s="129"/>
      <c r="AY73" s="509">
        <f t="shared" ref="AY73:AY78" si="170">AW73*(AX73-AA73)*67.01/10^7</f>
        <v>0</v>
      </c>
      <c r="AZ73" s="23">
        <f t="shared" ref="AZ73:BA78" si="171">+D73+H73+L73</f>
        <v>15</v>
      </c>
      <c r="BA73" s="23">
        <f t="shared" si="171"/>
        <v>1</v>
      </c>
      <c r="BB73" s="509">
        <f t="shared" ref="BB73:BB78" si="172">+G73+K73+O73</f>
        <v>1.7236016E-2</v>
      </c>
      <c r="BC73" s="23">
        <f t="shared" ref="BC73:BD78" si="173">+P73+T73+X73</f>
        <v>15</v>
      </c>
      <c r="BD73" s="257">
        <f t="shared" si="173"/>
        <v>0</v>
      </c>
      <c r="BE73" s="257">
        <f t="shared" ref="BE73:BE78" si="174">S73+W73+AA73</f>
        <v>0</v>
      </c>
      <c r="BF73" s="257">
        <f t="shared" ref="BF73:BG78" si="175">AB73+AF73+AJ73</f>
        <v>15</v>
      </c>
      <c r="BG73" s="23">
        <f t="shared" si="175"/>
        <v>16</v>
      </c>
      <c r="BH73" s="257">
        <f t="shared" ref="BH73:BH78" si="176">AE73+AI73+AM73</f>
        <v>0.21279404030406196</v>
      </c>
      <c r="BI73" s="23">
        <f t="shared" ref="BI73:BJ78" si="177">+AN73+AR73+AV73</f>
        <v>15</v>
      </c>
      <c r="BJ73" s="23">
        <f t="shared" si="177"/>
        <v>0</v>
      </c>
      <c r="BK73" s="257">
        <f t="shared" ref="BK73:BK78" si="178">AQ73+AU73+AY73</f>
        <v>0</v>
      </c>
      <c r="BL73" s="23">
        <f t="shared" ref="BL73:BN78" si="179">AZ73+BC73+BF73+BI73</f>
        <v>60</v>
      </c>
      <c r="BM73" s="23">
        <f t="shared" si="179"/>
        <v>17</v>
      </c>
      <c r="BN73" s="257">
        <f t="shared" si="179"/>
        <v>0.23003005630406195</v>
      </c>
      <c r="BO73" s="466">
        <f t="shared" ref="BO73:BO78" si="180">IFERROR(BM73/BL73,0)</f>
        <v>0.28333333333333333</v>
      </c>
      <c r="BP73" s="472"/>
      <c r="BQ73" s="23">
        <f t="shared" ref="BQ73:BR78" si="181">D73+H73+L73+P73+T73+X73</f>
        <v>30</v>
      </c>
      <c r="BR73" s="23">
        <f t="shared" si="181"/>
        <v>1</v>
      </c>
      <c r="BS73" s="466">
        <f t="shared" si="155"/>
        <v>3.3333333333333333E-2</v>
      </c>
      <c r="BT73" s="509">
        <f t="shared" ref="BT73:BT78" si="182">G73+K73+O73+S73+W73+AA73</f>
        <v>1.7236016E-2</v>
      </c>
      <c r="BU73" s="466">
        <f t="shared" si="138"/>
        <v>1.6666666666666666E-2</v>
      </c>
    </row>
    <row r="74" spans="1:73" ht="12.6" customHeight="1">
      <c r="A74" s="254" t="s">
        <v>110</v>
      </c>
      <c r="B74" s="129">
        <f t="shared" si="157"/>
        <v>60</v>
      </c>
      <c r="C74" s="257"/>
      <c r="D74" s="129">
        <v>5</v>
      </c>
      <c r="E74" s="129"/>
      <c r="F74" s="129"/>
      <c r="G74" s="509">
        <f t="shared" si="158"/>
        <v>0</v>
      </c>
      <c r="H74" s="129">
        <v>5</v>
      </c>
      <c r="I74" s="129"/>
      <c r="J74" s="129"/>
      <c r="K74" s="509">
        <f t="shared" si="159"/>
        <v>0</v>
      </c>
      <c r="L74" s="129">
        <v>5</v>
      </c>
      <c r="M74" s="129"/>
      <c r="N74" s="129"/>
      <c r="O74" s="509">
        <f t="shared" si="160"/>
        <v>0</v>
      </c>
      <c r="P74" s="129">
        <v>5</v>
      </c>
      <c r="Q74" s="129"/>
      <c r="R74" s="129"/>
      <c r="S74" s="509">
        <f t="shared" si="161"/>
        <v>0</v>
      </c>
      <c r="T74" s="129">
        <v>5</v>
      </c>
      <c r="U74" s="129"/>
      <c r="V74" s="129">
        <f t="shared" si="162"/>
        <v>0</v>
      </c>
      <c r="W74" s="509">
        <f t="shared" si="163"/>
        <v>0</v>
      </c>
      <c r="X74" s="129">
        <v>5</v>
      </c>
      <c r="Y74" s="129"/>
      <c r="Z74" s="129"/>
      <c r="AA74" s="509">
        <f t="shared" si="164"/>
        <v>0</v>
      </c>
      <c r="AB74" s="129">
        <v>5</v>
      </c>
      <c r="AC74" s="129"/>
      <c r="AD74" s="129"/>
      <c r="AE74" s="509">
        <f t="shared" si="165"/>
        <v>0</v>
      </c>
      <c r="AF74" s="129">
        <v>5</v>
      </c>
      <c r="AG74" s="129"/>
      <c r="AH74" s="129"/>
      <c r="AI74" s="509">
        <f t="shared" si="166"/>
        <v>0</v>
      </c>
      <c r="AJ74" s="129">
        <v>5</v>
      </c>
      <c r="AK74" s="129"/>
      <c r="AL74" s="129"/>
      <c r="AM74" s="509">
        <f t="shared" si="167"/>
        <v>0</v>
      </c>
      <c r="AN74" s="129">
        <v>5</v>
      </c>
      <c r="AO74" s="129"/>
      <c r="AP74" s="129"/>
      <c r="AQ74" s="509">
        <f t="shared" si="168"/>
        <v>0</v>
      </c>
      <c r="AR74" s="129">
        <v>5</v>
      </c>
      <c r="AS74" s="129"/>
      <c r="AT74" s="129"/>
      <c r="AU74" s="509">
        <f t="shared" si="169"/>
        <v>0</v>
      </c>
      <c r="AV74" s="129">
        <v>5</v>
      </c>
      <c r="AW74" s="129"/>
      <c r="AX74" s="129"/>
      <c r="AY74" s="509">
        <f t="shared" si="170"/>
        <v>0</v>
      </c>
      <c r="AZ74" s="23">
        <f t="shared" si="171"/>
        <v>15</v>
      </c>
      <c r="BA74" s="23">
        <f t="shared" si="171"/>
        <v>0</v>
      </c>
      <c r="BB74" s="509">
        <f t="shared" si="172"/>
        <v>0</v>
      </c>
      <c r="BC74" s="23">
        <f t="shared" si="173"/>
        <v>15</v>
      </c>
      <c r="BD74" s="257">
        <f t="shared" si="173"/>
        <v>0</v>
      </c>
      <c r="BE74" s="257">
        <f t="shared" si="174"/>
        <v>0</v>
      </c>
      <c r="BF74" s="257">
        <f t="shared" si="175"/>
        <v>15</v>
      </c>
      <c r="BG74" s="23">
        <f t="shared" si="175"/>
        <v>0</v>
      </c>
      <c r="BH74" s="257">
        <f t="shared" si="176"/>
        <v>0</v>
      </c>
      <c r="BI74" s="23">
        <f t="shared" si="177"/>
        <v>15</v>
      </c>
      <c r="BJ74" s="23">
        <f t="shared" si="177"/>
        <v>0</v>
      </c>
      <c r="BK74" s="257">
        <f t="shared" si="178"/>
        <v>0</v>
      </c>
      <c r="BL74" s="23">
        <f t="shared" si="179"/>
        <v>60</v>
      </c>
      <c r="BM74" s="23">
        <f t="shared" si="179"/>
        <v>0</v>
      </c>
      <c r="BN74" s="257">
        <f t="shared" si="179"/>
        <v>0</v>
      </c>
      <c r="BO74" s="466">
        <f t="shared" si="180"/>
        <v>0</v>
      </c>
      <c r="BP74" s="472"/>
      <c r="BQ74" s="23">
        <f t="shared" si="181"/>
        <v>30</v>
      </c>
      <c r="BR74" s="23">
        <f t="shared" si="181"/>
        <v>0</v>
      </c>
      <c r="BS74" s="466">
        <f t="shared" si="155"/>
        <v>0</v>
      </c>
      <c r="BT74" s="509">
        <f t="shared" si="182"/>
        <v>0</v>
      </c>
      <c r="BU74" s="466">
        <f t="shared" si="138"/>
        <v>0</v>
      </c>
    </row>
    <row r="75" spans="1:73" ht="12.6" customHeight="1">
      <c r="A75" s="254" t="s">
        <v>132</v>
      </c>
      <c r="B75" s="129">
        <f t="shared" si="157"/>
        <v>0</v>
      </c>
      <c r="C75" s="257"/>
      <c r="D75" s="129"/>
      <c r="E75" s="129"/>
      <c r="F75" s="129"/>
      <c r="G75" s="509">
        <f t="shared" si="158"/>
        <v>0</v>
      </c>
      <c r="H75" s="129"/>
      <c r="I75" s="129"/>
      <c r="J75" s="129"/>
      <c r="K75" s="509">
        <f t="shared" si="159"/>
        <v>0</v>
      </c>
      <c r="L75" s="129"/>
      <c r="M75" s="129"/>
      <c r="N75" s="129"/>
      <c r="O75" s="509">
        <f t="shared" si="160"/>
        <v>0</v>
      </c>
      <c r="P75" s="129"/>
      <c r="Q75" s="129"/>
      <c r="R75" s="129"/>
      <c r="S75" s="509">
        <f t="shared" si="161"/>
        <v>0</v>
      </c>
      <c r="T75" s="129"/>
      <c r="U75" s="129"/>
      <c r="V75" s="129">
        <f t="shared" si="162"/>
        <v>0</v>
      </c>
      <c r="W75" s="509">
        <f t="shared" si="163"/>
        <v>0</v>
      </c>
      <c r="X75" s="129"/>
      <c r="Y75" s="129"/>
      <c r="Z75" s="129"/>
      <c r="AA75" s="509">
        <f t="shared" si="164"/>
        <v>0</v>
      </c>
      <c r="AB75" s="129"/>
      <c r="AC75" s="129"/>
      <c r="AD75" s="129"/>
      <c r="AE75" s="509">
        <f t="shared" si="165"/>
        <v>0</v>
      </c>
      <c r="AF75" s="129"/>
      <c r="AG75" s="129"/>
      <c r="AH75" s="129"/>
      <c r="AI75" s="509">
        <f t="shared" si="166"/>
        <v>0</v>
      </c>
      <c r="AJ75" s="129"/>
      <c r="AK75" s="129"/>
      <c r="AL75" s="129"/>
      <c r="AM75" s="509">
        <f t="shared" si="167"/>
        <v>0</v>
      </c>
      <c r="AN75" s="129"/>
      <c r="AO75" s="129"/>
      <c r="AP75" s="129"/>
      <c r="AQ75" s="509">
        <f t="shared" si="168"/>
        <v>0</v>
      </c>
      <c r="AR75" s="129"/>
      <c r="AS75" s="129"/>
      <c r="AT75" s="129"/>
      <c r="AU75" s="509">
        <f t="shared" si="169"/>
        <v>0</v>
      </c>
      <c r="AV75" s="129"/>
      <c r="AW75" s="129"/>
      <c r="AX75" s="129"/>
      <c r="AY75" s="509">
        <f t="shared" si="170"/>
        <v>0</v>
      </c>
      <c r="AZ75" s="23">
        <f t="shared" si="171"/>
        <v>0</v>
      </c>
      <c r="BA75" s="23">
        <f t="shared" si="171"/>
        <v>0</v>
      </c>
      <c r="BB75" s="509">
        <f t="shared" si="172"/>
        <v>0</v>
      </c>
      <c r="BC75" s="23">
        <f t="shared" si="173"/>
        <v>0</v>
      </c>
      <c r="BD75" s="257">
        <f t="shared" si="173"/>
        <v>0</v>
      </c>
      <c r="BE75" s="257">
        <f t="shared" si="174"/>
        <v>0</v>
      </c>
      <c r="BF75" s="257">
        <f t="shared" si="175"/>
        <v>0</v>
      </c>
      <c r="BG75" s="23">
        <f t="shared" si="175"/>
        <v>0</v>
      </c>
      <c r="BH75" s="257">
        <f t="shared" si="176"/>
        <v>0</v>
      </c>
      <c r="BI75" s="23">
        <f t="shared" si="177"/>
        <v>0</v>
      </c>
      <c r="BJ75" s="23">
        <f t="shared" si="177"/>
        <v>0</v>
      </c>
      <c r="BK75" s="257">
        <f t="shared" si="178"/>
        <v>0</v>
      </c>
      <c r="BL75" s="23">
        <f t="shared" si="179"/>
        <v>0</v>
      </c>
      <c r="BM75" s="23">
        <f t="shared" si="179"/>
        <v>0</v>
      </c>
      <c r="BN75" s="257">
        <f t="shared" si="179"/>
        <v>0</v>
      </c>
      <c r="BO75" s="466">
        <f t="shared" si="180"/>
        <v>0</v>
      </c>
      <c r="BP75" s="472"/>
      <c r="BQ75" s="23">
        <f t="shared" si="181"/>
        <v>0</v>
      </c>
      <c r="BR75" s="23">
        <f t="shared" si="181"/>
        <v>0</v>
      </c>
      <c r="BS75" s="466">
        <f t="shared" si="155"/>
        <v>0</v>
      </c>
      <c r="BT75" s="509">
        <f t="shared" si="182"/>
        <v>0</v>
      </c>
      <c r="BU75" s="466">
        <f t="shared" si="138"/>
        <v>0</v>
      </c>
    </row>
    <row r="76" spans="1:73" ht="12.6" customHeight="1">
      <c r="A76" s="254" t="s">
        <v>121</v>
      </c>
      <c r="B76" s="129">
        <f t="shared" si="157"/>
        <v>0</v>
      </c>
      <c r="C76" s="257"/>
      <c r="D76" s="129"/>
      <c r="E76" s="129"/>
      <c r="F76" s="129"/>
      <c r="G76" s="509">
        <f t="shared" si="158"/>
        <v>0</v>
      </c>
      <c r="H76" s="129"/>
      <c r="I76" s="129"/>
      <c r="J76" s="129"/>
      <c r="K76" s="509">
        <f t="shared" si="159"/>
        <v>0</v>
      </c>
      <c r="L76" s="129"/>
      <c r="M76" s="129"/>
      <c r="N76" s="129"/>
      <c r="O76" s="509">
        <f t="shared" si="160"/>
        <v>0</v>
      </c>
      <c r="P76" s="129"/>
      <c r="Q76" s="129">
        <v>196</v>
      </c>
      <c r="R76" s="129">
        <v>1960</v>
      </c>
      <c r="S76" s="509">
        <f t="shared" si="161"/>
        <v>2.5846284800000001</v>
      </c>
      <c r="T76" s="129"/>
      <c r="U76" s="129">
        <v>139</v>
      </c>
      <c r="V76" s="129">
        <v>1783</v>
      </c>
      <c r="W76" s="509">
        <f t="shared" si="163"/>
        <v>1.6587730410000001</v>
      </c>
      <c r="X76" s="129"/>
      <c r="Y76" s="129">
        <v>297</v>
      </c>
      <c r="Z76" s="129">
        <v>1969</v>
      </c>
      <c r="AA76" s="509">
        <f t="shared" si="164"/>
        <v>3.918697893</v>
      </c>
      <c r="AB76" s="129"/>
      <c r="AC76" s="129">
        <v>158</v>
      </c>
      <c r="AD76" s="129">
        <v>1972</v>
      </c>
      <c r="AE76" s="509">
        <f t="shared" si="165"/>
        <v>2.079146648</v>
      </c>
      <c r="AF76" s="129"/>
      <c r="AG76" s="129">
        <v>371</v>
      </c>
      <c r="AH76" s="129">
        <v>1743</v>
      </c>
      <c r="AI76" s="509">
        <f t="shared" si="166"/>
        <v>4.3700809740000004</v>
      </c>
      <c r="AJ76" s="129"/>
      <c r="AK76" s="129">
        <v>332</v>
      </c>
      <c r="AL76" s="129">
        <v>1777</v>
      </c>
      <c r="AM76" s="509">
        <f t="shared" si="167"/>
        <v>3.9533487640000002</v>
      </c>
      <c r="AN76" s="129"/>
      <c r="AO76" s="129">
        <v>200</v>
      </c>
      <c r="AP76" s="129">
        <v>1779</v>
      </c>
      <c r="AQ76" s="509">
        <f t="shared" si="168"/>
        <v>2.4162801883415042</v>
      </c>
      <c r="AR76" s="129"/>
      <c r="AS76" s="129">
        <v>198</v>
      </c>
      <c r="AT76" s="129">
        <v>1810</v>
      </c>
      <c r="AU76" s="509">
        <f t="shared" si="169"/>
        <v>2.3993035232467474</v>
      </c>
      <c r="AV76" s="129"/>
      <c r="AW76" s="129"/>
      <c r="AX76" s="129"/>
      <c r="AY76" s="509">
        <f t="shared" si="170"/>
        <v>0</v>
      </c>
      <c r="AZ76" s="23">
        <f t="shared" si="171"/>
        <v>0</v>
      </c>
      <c r="BA76" s="23">
        <f t="shared" si="171"/>
        <v>0</v>
      </c>
      <c r="BB76" s="509">
        <f t="shared" si="172"/>
        <v>0</v>
      </c>
      <c r="BC76" s="23">
        <f t="shared" si="173"/>
        <v>0</v>
      </c>
      <c r="BD76" s="257">
        <f t="shared" si="173"/>
        <v>632</v>
      </c>
      <c r="BE76" s="257">
        <f t="shared" si="174"/>
        <v>8.1620994140000001</v>
      </c>
      <c r="BF76" s="257">
        <f t="shared" si="175"/>
        <v>0</v>
      </c>
      <c r="BG76" s="23">
        <f t="shared" si="175"/>
        <v>861</v>
      </c>
      <c r="BH76" s="257">
        <f t="shared" si="176"/>
        <v>10.402576386</v>
      </c>
      <c r="BI76" s="23">
        <f t="shared" si="177"/>
        <v>0</v>
      </c>
      <c r="BJ76" s="23">
        <f t="shared" si="177"/>
        <v>398</v>
      </c>
      <c r="BK76" s="257">
        <f t="shared" si="178"/>
        <v>4.8155837115882516</v>
      </c>
      <c r="BL76" s="23">
        <f t="shared" si="179"/>
        <v>0</v>
      </c>
      <c r="BM76" s="23">
        <f t="shared" si="179"/>
        <v>1891</v>
      </c>
      <c r="BN76" s="257">
        <f t="shared" si="179"/>
        <v>23.38025951158825</v>
      </c>
      <c r="BO76" s="466">
        <f t="shared" si="180"/>
        <v>0</v>
      </c>
      <c r="BP76" s="472"/>
      <c r="BQ76" s="23">
        <f t="shared" si="181"/>
        <v>0</v>
      </c>
      <c r="BR76" s="23">
        <f t="shared" si="181"/>
        <v>632</v>
      </c>
      <c r="BS76" s="466">
        <f t="shared" si="155"/>
        <v>0</v>
      </c>
      <c r="BT76" s="509">
        <f t="shared" si="182"/>
        <v>8.1620994140000001</v>
      </c>
      <c r="BU76" s="466">
        <f t="shared" si="138"/>
        <v>0</v>
      </c>
    </row>
    <row r="77" spans="1:73" ht="12.6" customHeight="1">
      <c r="A77" s="254" t="s">
        <v>122</v>
      </c>
      <c r="B77" s="129">
        <f t="shared" si="157"/>
        <v>0</v>
      </c>
      <c r="C77" s="257"/>
      <c r="D77" s="129"/>
      <c r="E77" s="129"/>
      <c r="F77" s="129"/>
      <c r="G77" s="509">
        <f t="shared" si="158"/>
        <v>0</v>
      </c>
      <c r="H77" s="129"/>
      <c r="I77" s="129"/>
      <c r="J77" s="129"/>
      <c r="K77" s="509">
        <f t="shared" si="159"/>
        <v>0</v>
      </c>
      <c r="L77" s="129"/>
      <c r="M77" s="129"/>
      <c r="N77" s="129"/>
      <c r="O77" s="509">
        <f t="shared" si="160"/>
        <v>0</v>
      </c>
      <c r="P77" s="129"/>
      <c r="Q77" s="129"/>
      <c r="R77" s="129"/>
      <c r="S77" s="509">
        <f t="shared" si="161"/>
        <v>0</v>
      </c>
      <c r="T77" s="129"/>
      <c r="U77" s="129"/>
      <c r="V77" s="129">
        <f t="shared" si="162"/>
        <v>0</v>
      </c>
      <c r="W77" s="509">
        <f t="shared" si="163"/>
        <v>0</v>
      </c>
      <c r="X77" s="129"/>
      <c r="Y77" s="129"/>
      <c r="Z77" s="129"/>
      <c r="AA77" s="509">
        <f t="shared" si="164"/>
        <v>0</v>
      </c>
      <c r="AB77" s="129"/>
      <c r="AC77" s="129"/>
      <c r="AD77" s="129"/>
      <c r="AE77" s="509">
        <f t="shared" si="165"/>
        <v>0</v>
      </c>
      <c r="AF77" s="129"/>
      <c r="AG77" s="129"/>
      <c r="AH77" s="129"/>
      <c r="AI77" s="509">
        <f t="shared" si="166"/>
        <v>0</v>
      </c>
      <c r="AJ77" s="129"/>
      <c r="AK77" s="129"/>
      <c r="AL77" s="129"/>
      <c r="AM77" s="509">
        <f t="shared" si="167"/>
        <v>0</v>
      </c>
      <c r="AN77" s="129"/>
      <c r="AO77" s="129"/>
      <c r="AP77" s="129"/>
      <c r="AQ77" s="509">
        <f t="shared" si="168"/>
        <v>0</v>
      </c>
      <c r="AR77" s="129"/>
      <c r="AS77" s="129"/>
      <c r="AT77" s="129"/>
      <c r="AU77" s="509">
        <f t="shared" si="169"/>
        <v>0</v>
      </c>
      <c r="AV77" s="129"/>
      <c r="AW77" s="129"/>
      <c r="AX77" s="129"/>
      <c r="AY77" s="509">
        <f t="shared" si="170"/>
        <v>0</v>
      </c>
      <c r="AZ77" s="23">
        <f t="shared" si="171"/>
        <v>0</v>
      </c>
      <c r="BA77" s="23">
        <f t="shared" si="171"/>
        <v>0</v>
      </c>
      <c r="BB77" s="509">
        <f t="shared" si="172"/>
        <v>0</v>
      </c>
      <c r="BC77" s="23">
        <f t="shared" si="173"/>
        <v>0</v>
      </c>
      <c r="BD77" s="257">
        <f t="shared" si="173"/>
        <v>0</v>
      </c>
      <c r="BE77" s="257">
        <f t="shared" si="174"/>
        <v>0</v>
      </c>
      <c r="BF77" s="257">
        <f t="shared" si="175"/>
        <v>0</v>
      </c>
      <c r="BG77" s="23">
        <f t="shared" si="175"/>
        <v>0</v>
      </c>
      <c r="BH77" s="257">
        <f t="shared" si="176"/>
        <v>0</v>
      </c>
      <c r="BI77" s="23">
        <f t="shared" si="177"/>
        <v>0</v>
      </c>
      <c r="BJ77" s="23">
        <f t="shared" si="177"/>
        <v>0</v>
      </c>
      <c r="BK77" s="257">
        <f t="shared" si="178"/>
        <v>0</v>
      </c>
      <c r="BL77" s="23">
        <f t="shared" si="179"/>
        <v>0</v>
      </c>
      <c r="BM77" s="23">
        <f t="shared" si="179"/>
        <v>0</v>
      </c>
      <c r="BN77" s="257">
        <f t="shared" si="179"/>
        <v>0</v>
      </c>
      <c r="BO77" s="466">
        <f t="shared" si="180"/>
        <v>0</v>
      </c>
      <c r="BP77" s="472"/>
      <c r="BQ77" s="23">
        <f t="shared" si="181"/>
        <v>0</v>
      </c>
      <c r="BR77" s="23">
        <f t="shared" si="181"/>
        <v>0</v>
      </c>
      <c r="BS77" s="466">
        <f t="shared" si="155"/>
        <v>0</v>
      </c>
      <c r="BT77" s="509">
        <f t="shared" si="182"/>
        <v>0</v>
      </c>
      <c r="BU77" s="466">
        <f t="shared" si="138"/>
        <v>0</v>
      </c>
    </row>
    <row r="78" spans="1:73" ht="12.6" customHeight="1">
      <c r="A78" s="503" t="s">
        <v>123</v>
      </c>
      <c r="B78" s="129">
        <f t="shared" si="157"/>
        <v>0</v>
      </c>
      <c r="C78" s="257"/>
      <c r="D78" s="129"/>
      <c r="E78" s="129"/>
      <c r="F78" s="129"/>
      <c r="G78" s="509">
        <f t="shared" si="158"/>
        <v>0</v>
      </c>
      <c r="H78" s="129"/>
      <c r="I78" s="129"/>
      <c r="J78" s="129"/>
      <c r="K78" s="509">
        <f t="shared" si="159"/>
        <v>0</v>
      </c>
      <c r="L78" s="129"/>
      <c r="M78" s="129"/>
      <c r="N78" s="129"/>
      <c r="O78" s="509">
        <f t="shared" si="160"/>
        <v>0</v>
      </c>
      <c r="P78" s="129"/>
      <c r="Q78" s="129"/>
      <c r="R78" s="129"/>
      <c r="S78" s="509">
        <f t="shared" si="161"/>
        <v>0</v>
      </c>
      <c r="T78" s="129"/>
      <c r="U78" s="129"/>
      <c r="V78" s="129">
        <f t="shared" si="162"/>
        <v>0</v>
      </c>
      <c r="W78" s="509">
        <f t="shared" si="163"/>
        <v>0</v>
      </c>
      <c r="X78" s="129"/>
      <c r="Y78" s="129"/>
      <c r="Z78" s="129"/>
      <c r="AA78" s="509">
        <f t="shared" si="164"/>
        <v>0</v>
      </c>
      <c r="AB78" s="129"/>
      <c r="AC78" s="129"/>
      <c r="AD78" s="129"/>
      <c r="AE78" s="509">
        <f t="shared" si="165"/>
        <v>0</v>
      </c>
      <c r="AF78" s="129"/>
      <c r="AG78" s="129"/>
      <c r="AH78" s="129"/>
      <c r="AI78" s="509">
        <f t="shared" si="166"/>
        <v>0</v>
      </c>
      <c r="AJ78" s="129"/>
      <c r="AK78" s="129"/>
      <c r="AL78" s="129"/>
      <c r="AM78" s="509">
        <f t="shared" si="167"/>
        <v>0</v>
      </c>
      <c r="AN78" s="129"/>
      <c r="AO78" s="129"/>
      <c r="AP78" s="129"/>
      <c r="AQ78" s="509">
        <f t="shared" si="168"/>
        <v>0</v>
      </c>
      <c r="AR78" s="129"/>
      <c r="AS78" s="129"/>
      <c r="AT78" s="129"/>
      <c r="AU78" s="509">
        <f t="shared" si="169"/>
        <v>0</v>
      </c>
      <c r="AV78" s="129"/>
      <c r="AW78" s="129"/>
      <c r="AX78" s="129"/>
      <c r="AY78" s="509">
        <f t="shared" si="170"/>
        <v>0</v>
      </c>
      <c r="AZ78" s="23">
        <f t="shared" si="171"/>
        <v>0</v>
      </c>
      <c r="BA78" s="23">
        <f t="shared" si="171"/>
        <v>0</v>
      </c>
      <c r="BB78" s="509">
        <f t="shared" si="172"/>
        <v>0</v>
      </c>
      <c r="BC78" s="23">
        <f t="shared" si="173"/>
        <v>0</v>
      </c>
      <c r="BD78" s="257">
        <f t="shared" si="173"/>
        <v>0</v>
      </c>
      <c r="BE78" s="257">
        <f t="shared" si="174"/>
        <v>0</v>
      </c>
      <c r="BF78" s="257">
        <f t="shared" si="175"/>
        <v>0</v>
      </c>
      <c r="BG78" s="23">
        <f t="shared" si="175"/>
        <v>0</v>
      </c>
      <c r="BH78" s="257">
        <f t="shared" si="176"/>
        <v>0</v>
      </c>
      <c r="BI78" s="23">
        <f t="shared" si="177"/>
        <v>0</v>
      </c>
      <c r="BJ78" s="23">
        <f t="shared" si="177"/>
        <v>0</v>
      </c>
      <c r="BK78" s="257">
        <f t="shared" si="178"/>
        <v>0</v>
      </c>
      <c r="BL78" s="23">
        <f t="shared" si="179"/>
        <v>0</v>
      </c>
      <c r="BM78" s="23">
        <f t="shared" si="179"/>
        <v>0</v>
      </c>
      <c r="BN78" s="257">
        <f t="shared" si="179"/>
        <v>0</v>
      </c>
      <c r="BO78" s="466">
        <f t="shared" si="180"/>
        <v>0</v>
      </c>
      <c r="BP78" s="472"/>
      <c r="BQ78" s="23">
        <f t="shared" si="181"/>
        <v>0</v>
      </c>
      <c r="BR78" s="23">
        <f t="shared" si="181"/>
        <v>0</v>
      </c>
      <c r="BS78" s="466">
        <f t="shared" si="155"/>
        <v>0</v>
      </c>
      <c r="BT78" s="509">
        <f t="shared" si="182"/>
        <v>0</v>
      </c>
      <c r="BU78" s="466">
        <f t="shared" si="138"/>
        <v>0</v>
      </c>
    </row>
    <row r="79" spans="1:73" ht="12.6" customHeight="1">
      <c r="A79" s="482" t="s">
        <v>108</v>
      </c>
      <c r="B79" s="457">
        <f>SUM(B73:B78)</f>
        <v>120</v>
      </c>
      <c r="C79" s="458"/>
      <c r="D79" s="457">
        <f>SUM(D73:D78)</f>
        <v>10</v>
      </c>
      <c r="E79" s="457">
        <f>SUM(E73:E78)</f>
        <v>0</v>
      </c>
      <c r="F79" s="457"/>
      <c r="G79" s="511">
        <f>SUM(G73:G78)</f>
        <v>0</v>
      </c>
      <c r="H79" s="457">
        <f>SUM(H73:H78)</f>
        <v>10</v>
      </c>
      <c r="I79" s="457"/>
      <c r="J79" s="457"/>
      <c r="K79" s="511">
        <f>SUM(K73:K78)</f>
        <v>1.7236016E-2</v>
      </c>
      <c r="L79" s="457">
        <f>SUM(L73:L78)</f>
        <v>10</v>
      </c>
      <c r="M79" s="457">
        <f>SUM(M73:M78)</f>
        <v>0</v>
      </c>
      <c r="N79" s="457"/>
      <c r="O79" s="511">
        <f>SUM(O73:O78)</f>
        <v>0</v>
      </c>
      <c r="P79" s="457">
        <f>SUM(P73:P78)</f>
        <v>10</v>
      </c>
      <c r="Q79" s="457">
        <f>SUM(Q73:Q78)</f>
        <v>196</v>
      </c>
      <c r="R79" s="457"/>
      <c r="S79" s="511">
        <f>SUM(S73:S78)</f>
        <v>2.5846284800000001</v>
      </c>
      <c r="T79" s="457">
        <f>SUM(T73:T78)</f>
        <v>10</v>
      </c>
      <c r="U79" s="457">
        <f>SUM(U73:U78)</f>
        <v>139</v>
      </c>
      <c r="V79" s="457"/>
      <c r="W79" s="511">
        <f>SUM(W73:W78)</f>
        <v>1.6587730410000001</v>
      </c>
      <c r="X79" s="457">
        <f>SUM(X73:X78)</f>
        <v>10</v>
      </c>
      <c r="Y79" s="457">
        <f>SUM(Y73:Y78)</f>
        <v>297</v>
      </c>
      <c r="Z79" s="457">
        <f>IF(ISERROR(#REF!/X79*1000000),0,(#REF!/X79*1000000))</f>
        <v>0</v>
      </c>
      <c r="AA79" s="511">
        <f>SUM(AA73:AA78)</f>
        <v>3.918697893</v>
      </c>
      <c r="AB79" s="457">
        <f>SUM(AB73:AB78)</f>
        <v>10</v>
      </c>
      <c r="AC79" s="457">
        <f>SUM(AC73:AC78)</f>
        <v>158</v>
      </c>
      <c r="AD79" s="457">
        <f>IF(ISERROR(#REF!/AB79*1000000),0,(#REF!/AB79*1000000))</f>
        <v>0</v>
      </c>
      <c r="AE79" s="511">
        <f>SUM(AE73:AE78)</f>
        <v>2.079146648</v>
      </c>
      <c r="AF79" s="457">
        <f>SUM(AF73:AF78)</f>
        <v>10</v>
      </c>
      <c r="AG79" s="457">
        <f>SUM(AG73:AG78)</f>
        <v>387</v>
      </c>
      <c r="AH79" s="457">
        <f>IF(ISERROR(#REF!/AF79*1000000),0,(#REF!/AF79*1000000))</f>
        <v>0</v>
      </c>
      <c r="AI79" s="511">
        <f>SUM(AI73:AI78)</f>
        <v>4.5828750143040624</v>
      </c>
      <c r="AJ79" s="457">
        <f>SUM(AJ73:AJ78)</f>
        <v>10</v>
      </c>
      <c r="AK79" s="457">
        <f>SUM(AK73:AK78)</f>
        <v>332</v>
      </c>
      <c r="AL79" s="457">
        <f>IF(ISERROR(#REF!/AJ79*1000000),0,(#REF!/AJ79*1000000))</f>
        <v>0</v>
      </c>
      <c r="AM79" s="511">
        <f>SUM(AM73:AM78)</f>
        <v>3.9533487640000002</v>
      </c>
      <c r="AN79" s="457">
        <f>SUM(AN73:AN78)</f>
        <v>10</v>
      </c>
      <c r="AO79" s="457">
        <f>SUM(AO73:AO78)</f>
        <v>200</v>
      </c>
      <c r="AP79" s="457">
        <f>IF(ISERROR(#REF!/AN79*1000000),0,(#REF!/AN79*1000000))</f>
        <v>0</v>
      </c>
      <c r="AQ79" s="511">
        <f>SUM(AQ73:AQ78)</f>
        <v>2.4162801883415042</v>
      </c>
      <c r="AR79" s="457">
        <f>SUM(AR73:AR78)</f>
        <v>10</v>
      </c>
      <c r="AS79" s="457">
        <f>SUM(AS73:AS78)</f>
        <v>198</v>
      </c>
      <c r="AT79" s="457">
        <f>IF(ISERROR(#REF!/AR79*1000000),0,(#REF!/AR79*1000000))</f>
        <v>0</v>
      </c>
      <c r="AU79" s="511">
        <f>SUM(AU73:AU78)</f>
        <v>2.3993035232467474</v>
      </c>
      <c r="AV79" s="457">
        <f>SUM(AV73:AV78)</f>
        <v>10</v>
      </c>
      <c r="AW79" s="457">
        <f>SUM(AW73:AW78)</f>
        <v>0</v>
      </c>
      <c r="AX79" s="457">
        <f>IF(ISERROR(#REF!/AV79*1000000),0,(#REF!/AV79*1000000))</f>
        <v>0</v>
      </c>
      <c r="AY79" s="511">
        <f>SUM(AY73:AY78)</f>
        <v>0</v>
      </c>
      <c r="AZ79" s="457">
        <f t="shared" ref="AZ79:BN79" si="183">SUM(AZ73:AZ78)</f>
        <v>30</v>
      </c>
      <c r="BA79" s="458">
        <f t="shared" si="183"/>
        <v>1</v>
      </c>
      <c r="BB79" s="511">
        <f t="shared" si="183"/>
        <v>1.7236016E-2</v>
      </c>
      <c r="BC79" s="457">
        <f t="shared" si="183"/>
        <v>30</v>
      </c>
      <c r="BD79" s="458">
        <f t="shared" si="183"/>
        <v>632</v>
      </c>
      <c r="BE79" s="457">
        <f t="shared" si="183"/>
        <v>8.1620994140000001</v>
      </c>
      <c r="BF79" s="457">
        <f t="shared" si="183"/>
        <v>30</v>
      </c>
      <c r="BG79" s="457">
        <f t="shared" si="183"/>
        <v>877</v>
      </c>
      <c r="BH79" s="458">
        <f t="shared" si="183"/>
        <v>10.615370426304061</v>
      </c>
      <c r="BI79" s="457">
        <f t="shared" si="183"/>
        <v>30</v>
      </c>
      <c r="BJ79" s="457">
        <f t="shared" si="183"/>
        <v>398</v>
      </c>
      <c r="BK79" s="458">
        <f t="shared" si="183"/>
        <v>4.8155837115882516</v>
      </c>
      <c r="BL79" s="458">
        <f t="shared" si="183"/>
        <v>120</v>
      </c>
      <c r="BM79" s="457">
        <f t="shared" si="183"/>
        <v>1908</v>
      </c>
      <c r="BN79" s="457">
        <f t="shared" si="183"/>
        <v>23.610289567892313</v>
      </c>
      <c r="BO79" s="525">
        <f>IFERROR(BM79/BL79,0)</f>
        <v>15.9</v>
      </c>
      <c r="BP79" s="472"/>
      <c r="BQ79" s="457">
        <f t="shared" ref="BQ79:BR79" si="184">SUM(BQ73:BQ78)</f>
        <v>60</v>
      </c>
      <c r="BR79" s="458">
        <f t="shared" si="184"/>
        <v>633</v>
      </c>
      <c r="BS79" s="467">
        <f t="shared" si="155"/>
        <v>10.55</v>
      </c>
      <c r="BT79" s="530">
        <f t="shared" ref="BT79" si="185">SUM(BT73:BT78)</f>
        <v>8.1793354300000001</v>
      </c>
      <c r="BU79" s="525">
        <f t="shared" si="138"/>
        <v>5.2750000000000004</v>
      </c>
    </row>
    <row r="80" spans="1:73" ht="12.6" customHeight="1">
      <c r="A80" s="474"/>
      <c r="B80" s="502"/>
      <c r="C80" s="502"/>
      <c r="D80" s="474"/>
      <c r="E80" s="474"/>
      <c r="F80" s="474"/>
      <c r="G80" s="516"/>
      <c r="H80" s="474"/>
      <c r="I80" s="474"/>
      <c r="J80" s="474"/>
      <c r="K80" s="516"/>
      <c r="L80" s="474"/>
      <c r="M80" s="474"/>
      <c r="N80" s="474"/>
      <c r="O80" s="516"/>
      <c r="P80" s="474"/>
      <c r="Q80" s="474"/>
      <c r="R80" s="474"/>
      <c r="S80" s="516"/>
      <c r="T80" s="474"/>
      <c r="U80" s="474"/>
      <c r="V80" s="474"/>
      <c r="W80" s="516"/>
      <c r="X80" s="474"/>
      <c r="Y80" s="474"/>
      <c r="Z80" s="474"/>
      <c r="AA80" s="516"/>
      <c r="AB80" s="474"/>
      <c r="AC80" s="474"/>
      <c r="AD80" s="474"/>
      <c r="AE80" s="516"/>
      <c r="AF80" s="474"/>
      <c r="AG80" s="474"/>
      <c r="AH80" s="474"/>
      <c r="AI80" s="516"/>
      <c r="AJ80" s="474"/>
      <c r="AK80" s="474"/>
      <c r="AL80" s="474"/>
      <c r="AM80" s="516"/>
      <c r="AN80" s="474"/>
      <c r="AO80" s="474"/>
      <c r="AP80" s="474"/>
      <c r="AQ80" s="516"/>
      <c r="AR80" s="474"/>
      <c r="AS80" s="474"/>
      <c r="AT80" s="474"/>
      <c r="AU80" s="516"/>
      <c r="AV80" s="474"/>
      <c r="AW80" s="474"/>
      <c r="AX80" s="474"/>
      <c r="AY80" s="516"/>
      <c r="AZ80" s="474"/>
      <c r="BA80" s="474"/>
      <c r="BB80" s="516"/>
      <c r="BC80" s="474"/>
      <c r="BD80" s="474"/>
      <c r="BE80" s="474"/>
      <c r="BF80" s="474"/>
      <c r="BG80" s="474"/>
      <c r="BH80" s="474"/>
      <c r="BI80" s="474"/>
      <c r="BJ80" s="474"/>
      <c r="BK80" s="474"/>
      <c r="BL80" s="474"/>
      <c r="BM80" s="474"/>
      <c r="BN80" s="474"/>
      <c r="BO80" s="527">
        <f t="shared" si="38"/>
        <v>0</v>
      </c>
      <c r="BP80" s="472"/>
      <c r="BQ80" s="464"/>
      <c r="BR80" s="465"/>
      <c r="BS80" s="470">
        <f t="shared" si="155"/>
        <v>0</v>
      </c>
      <c r="BT80" s="532"/>
      <c r="BU80" s="527">
        <f t="shared" si="138"/>
        <v>0</v>
      </c>
    </row>
    <row r="81" spans="1:73" ht="12.6" customHeight="1">
      <c r="A81" s="482" t="s">
        <v>233</v>
      </c>
      <c r="B81" s="457">
        <f>B71+B79</f>
        <v>17820</v>
      </c>
      <c r="C81" s="457"/>
      <c r="D81" s="457">
        <f t="shared" ref="D81:E81" si="186">D24+D54+D61+D65+D79</f>
        <v>554</v>
      </c>
      <c r="E81" s="457">
        <f t="shared" si="186"/>
        <v>577</v>
      </c>
      <c r="F81" s="483"/>
      <c r="G81" s="511">
        <f t="shared" ref="G81" si="187">G24+G54+G61+G65+G79</f>
        <v>1.4296088426</v>
      </c>
      <c r="H81" s="457">
        <f t="shared" ref="H81:BR81" si="188">H24+H54+H61+H65+H79</f>
        <v>1088</v>
      </c>
      <c r="I81" s="457">
        <f t="shared" si="188"/>
        <v>1120</v>
      </c>
      <c r="J81" s="457"/>
      <c r="K81" s="511">
        <f t="shared" si="188"/>
        <v>4.6546258844571424</v>
      </c>
      <c r="L81" s="457">
        <f t="shared" si="188"/>
        <v>1248</v>
      </c>
      <c r="M81" s="457">
        <f t="shared" si="188"/>
        <v>591</v>
      </c>
      <c r="N81" s="457"/>
      <c r="O81" s="511">
        <f t="shared" si="188"/>
        <v>2.9772853248000004</v>
      </c>
      <c r="P81" s="457">
        <f t="shared" si="188"/>
        <v>1645</v>
      </c>
      <c r="Q81" s="457">
        <f t="shared" ref="Q81" si="189">Q24+Q54+Q61+Q65+Q79</f>
        <v>851</v>
      </c>
      <c r="R81" s="457"/>
      <c r="S81" s="511">
        <f t="shared" ref="S81" si="190">S24+S54+S61+S65+S79</f>
        <v>5.6318839475428568</v>
      </c>
      <c r="T81" s="457">
        <f t="shared" si="188"/>
        <v>1692</v>
      </c>
      <c r="U81" s="457">
        <f t="shared" ref="U81" si="191">U24+U54+U61+U65+U79</f>
        <v>642</v>
      </c>
      <c r="V81" s="457">
        <f t="shared" si="188"/>
        <v>0</v>
      </c>
      <c r="W81" s="511">
        <f t="shared" si="188"/>
        <v>4.2153550458857145</v>
      </c>
      <c r="X81" s="457">
        <f t="shared" si="188"/>
        <v>1820</v>
      </c>
      <c r="Y81" s="457">
        <f t="shared" si="188"/>
        <v>1255</v>
      </c>
      <c r="Z81" s="457">
        <f t="shared" si="188"/>
        <v>0</v>
      </c>
      <c r="AA81" s="511">
        <f t="shared" ref="AA81" si="192">AA24+AA54+AA61+AA65+AA79</f>
        <v>8.5424549029999994</v>
      </c>
      <c r="AB81" s="457">
        <f t="shared" si="188"/>
        <v>1791</v>
      </c>
      <c r="AC81" s="457">
        <f t="shared" ref="AC81:AE81" si="193">AC24+AC54+AC61+AC65+AC79</f>
        <v>1512</v>
      </c>
      <c r="AD81" s="457">
        <f t="shared" si="193"/>
        <v>0</v>
      </c>
      <c r="AE81" s="511">
        <f t="shared" si="193"/>
        <v>7.4102462517265826</v>
      </c>
      <c r="AF81" s="457">
        <f t="shared" si="188"/>
        <v>1691</v>
      </c>
      <c r="AG81" s="457">
        <f t="shared" si="188"/>
        <v>981</v>
      </c>
      <c r="AH81" s="457">
        <f t="shared" si="188"/>
        <v>0</v>
      </c>
      <c r="AI81" s="511">
        <f t="shared" si="188"/>
        <v>6.9400328943543803</v>
      </c>
      <c r="AJ81" s="457">
        <f t="shared" si="188"/>
        <v>1812</v>
      </c>
      <c r="AK81" s="457">
        <f t="shared" ref="AK81:AM81" si="194">AK24+AK54+AK61+AK65+AK79</f>
        <v>1721</v>
      </c>
      <c r="AL81" s="457">
        <f t="shared" si="194"/>
        <v>0</v>
      </c>
      <c r="AM81" s="511">
        <f t="shared" si="194"/>
        <v>8.7650921021234112</v>
      </c>
      <c r="AN81" s="457">
        <f t="shared" si="188"/>
        <v>1569</v>
      </c>
      <c r="AO81" s="457">
        <f t="shared" si="188"/>
        <v>1020</v>
      </c>
      <c r="AP81" s="457">
        <f t="shared" si="188"/>
        <v>0</v>
      </c>
      <c r="AQ81" s="511">
        <f t="shared" si="188"/>
        <v>4.1885648962614965</v>
      </c>
      <c r="AR81" s="457">
        <f t="shared" si="188"/>
        <v>1851</v>
      </c>
      <c r="AS81" s="457">
        <f t="shared" ref="AS81:AU81" si="195">AS24+AS54+AS61+AS65+AS79</f>
        <v>1260</v>
      </c>
      <c r="AT81" s="457">
        <f t="shared" si="195"/>
        <v>0</v>
      </c>
      <c r="AU81" s="511">
        <f t="shared" si="195"/>
        <v>4.7155769067628066</v>
      </c>
      <c r="AV81" s="457">
        <f t="shared" si="188"/>
        <v>1059</v>
      </c>
      <c r="AW81" s="457">
        <f t="shared" si="188"/>
        <v>0</v>
      </c>
      <c r="AX81" s="457">
        <f t="shared" si="188"/>
        <v>0</v>
      </c>
      <c r="AY81" s="511">
        <f t="shared" si="188"/>
        <v>0</v>
      </c>
      <c r="AZ81" s="458">
        <f t="shared" ref="AZ81:BA81" si="196">+D81+H81+L81</f>
        <v>2890</v>
      </c>
      <c r="BA81" s="458">
        <f t="shared" si="196"/>
        <v>2288</v>
      </c>
      <c r="BB81" s="511">
        <f>+G81+K81+O81</f>
        <v>9.0615200518571424</v>
      </c>
      <c r="BC81" s="458">
        <f>+P81+T81+X81</f>
        <v>5157</v>
      </c>
      <c r="BD81" s="458">
        <f>+Q81+U81+Y81</f>
        <v>2748</v>
      </c>
      <c r="BE81" s="458">
        <f>S81+W81+AA81</f>
        <v>18.389693896428572</v>
      </c>
      <c r="BF81" s="458">
        <f>AB81+AF81+AJ81</f>
        <v>5294</v>
      </c>
      <c r="BG81" s="458">
        <f>AC81+AG81+AK81</f>
        <v>4214</v>
      </c>
      <c r="BH81" s="458">
        <f>AE81+AI81+AM81</f>
        <v>23.115371248204376</v>
      </c>
      <c r="BI81" s="458">
        <f>+AN81+AR81+AV81</f>
        <v>4479</v>
      </c>
      <c r="BJ81" s="458">
        <f>+AO81+AS81+AW81</f>
        <v>2280</v>
      </c>
      <c r="BK81" s="458">
        <f>AQ81+AU81+AY81</f>
        <v>8.9041418030243022</v>
      </c>
      <c r="BL81" s="458">
        <f>AZ81+BC81+BF81+BI81</f>
        <v>17820</v>
      </c>
      <c r="BM81" s="458">
        <f t="shared" ref="BM81:BN81" si="197">BA81+BD81+BG81+BJ81</f>
        <v>11530</v>
      </c>
      <c r="BN81" s="458">
        <f t="shared" si="197"/>
        <v>59.47072699951439</v>
      </c>
      <c r="BO81" s="525">
        <f>IFERROR(BM81/BL81,0)</f>
        <v>0.64702581369248036</v>
      </c>
      <c r="BP81" s="458">
        <f t="shared" si="188"/>
        <v>0</v>
      </c>
      <c r="BQ81" s="457">
        <f t="shared" si="188"/>
        <v>8047</v>
      </c>
      <c r="BR81" s="457">
        <f t="shared" si="188"/>
        <v>5037</v>
      </c>
      <c r="BS81" s="467">
        <f t="shared" si="155"/>
        <v>0.62594755809618496</v>
      </c>
      <c r="BT81" s="530">
        <f t="shared" ref="BT81" si="198">BT24+BT54+BT61+BT65+BT79</f>
        <v>27.451213948285719</v>
      </c>
      <c r="BU81" s="525">
        <f t="shared" si="138"/>
        <v>0.28265993265993267</v>
      </c>
    </row>
    <row r="82" spans="1:73" ht="12.6" customHeight="1">
      <c r="BJ82" s="21"/>
      <c r="BK82" s="21"/>
      <c r="BL82" s="21"/>
      <c r="BM82" s="21"/>
      <c r="BN82" s="21"/>
    </row>
    <row r="83" spans="1:73" ht="12.6" customHeight="1">
      <c r="A83" s="482" t="s">
        <v>241</v>
      </c>
      <c r="B83" s="457"/>
      <c r="C83" s="457"/>
      <c r="D83" s="457"/>
      <c r="E83" s="457"/>
      <c r="F83" s="457"/>
      <c r="G83" s="511">
        <f>SUM(G6:G14)+SUM(G16:G20)+G31+G33+G39+G40+G47+G41</f>
        <v>0.84343783000000006</v>
      </c>
      <c r="H83" s="457"/>
      <c r="I83" s="457"/>
      <c r="J83" s="457"/>
      <c r="K83" s="511">
        <f>SUM(K6:K14)+SUM(K16:K20)+K31+K33+K39+K40+K47+K41</f>
        <v>3.4559115364999999</v>
      </c>
      <c r="L83" s="457"/>
      <c r="M83" s="457"/>
      <c r="N83" s="457"/>
      <c r="O83" s="511">
        <f>SUM(O6:O14)+SUM(O16:O20)+O31+O33+O39+O40+O47+O41</f>
        <v>1.01759318</v>
      </c>
      <c r="P83" s="457"/>
      <c r="Q83" s="457"/>
      <c r="R83" s="457"/>
      <c r="S83" s="511">
        <f>SUM(S6:S14)+SUM(S16:S20)+S31+S33+S39+S40+S47+S41</f>
        <v>1.0527570719999999</v>
      </c>
      <c r="T83" s="457"/>
      <c r="U83" s="457"/>
      <c r="V83" s="457"/>
      <c r="W83" s="511">
        <f>SUM(W6:W14)+SUM(W16:W20)+W31+W33+W39+W40+W47+W41</f>
        <v>2.2129534410000002</v>
      </c>
      <c r="X83" s="457"/>
      <c r="Y83" s="457"/>
      <c r="Z83" s="457"/>
      <c r="AA83" s="511">
        <f>SUM(AA6:AA14)+SUM(AA16:AA20)+AA31+AA33+AA39+AA40+AA47+AA41</f>
        <v>2.7682367079999999</v>
      </c>
      <c r="AB83" s="457"/>
      <c r="AC83" s="457"/>
      <c r="AD83" s="457"/>
      <c r="AE83" s="511">
        <f>SUM(AE6:AE14)+SUM(AE16:AE20)+AE31+AE33+AE39+AE40+AE47+AE41</f>
        <v>3.7933467570058079</v>
      </c>
      <c r="AF83" s="458"/>
      <c r="AG83" s="457"/>
      <c r="AH83" s="457"/>
      <c r="AI83" s="511">
        <f>SUM(AI6:AI14)+SUM(AI16:AI20)+AI31+AI33+AI39+AI40+AI47+AI41</f>
        <v>1.7496664739999999</v>
      </c>
      <c r="AJ83" s="458"/>
      <c r="AK83" s="457"/>
      <c r="AL83" s="457"/>
      <c r="AM83" s="511">
        <f>SUM(AM6:AM14)+SUM(AM16:AM20)+AM31+AM33+AM39+AM40+AM47+AM41</f>
        <v>3.4653685419999998</v>
      </c>
      <c r="AN83" s="458"/>
      <c r="AO83" s="457"/>
      <c r="AP83" s="457"/>
      <c r="AQ83" s="511">
        <f>SUM(AQ6:AQ14)+SUM(AQ16:AQ20)+AQ31+AQ33+AQ39+AQ40+AQ47+AQ41</f>
        <v>1.3370418306729341</v>
      </c>
      <c r="AR83" s="458">
        <f t="shared" ref="AR83:AV85" si="199">AR26+AR56+AR63+AR67+AR81</f>
        <v>3692</v>
      </c>
      <c r="AS83" s="457"/>
      <c r="AT83" s="457"/>
      <c r="AU83" s="511">
        <f>SUM(AU6:AU14)+SUM(AU16:AU20)+AU31+AU33+AU39+AU40+AU47+AU41</f>
        <v>1.2464127229115742</v>
      </c>
      <c r="AV83" s="458">
        <f t="shared" si="199"/>
        <v>2108</v>
      </c>
      <c r="AW83" s="457"/>
      <c r="AX83" s="457"/>
      <c r="AY83" s="511">
        <f>SUM(AY6:AY14)+SUM(AY16:AY20)+AY31+AY33+AY39+AY40+AY47+AY41</f>
        <v>0</v>
      </c>
      <c r="AZ83" s="458">
        <f t="shared" ref="AZ83:BA85" si="200">+D83+H83+L83</f>
        <v>0</v>
      </c>
      <c r="BA83" s="458">
        <f t="shared" si="200"/>
        <v>0</v>
      </c>
      <c r="BB83" s="511">
        <f t="shared" ref="BB83:BB85" si="201">+G83+K83+O83</f>
        <v>5.3169425465</v>
      </c>
      <c r="BC83" s="458">
        <f t="shared" ref="BC83:BD85" si="202">+P83+T83+X83</f>
        <v>0</v>
      </c>
      <c r="BD83" s="458">
        <f t="shared" si="202"/>
        <v>0</v>
      </c>
      <c r="BE83" s="458">
        <f t="shared" ref="BE83:BE85" si="203">S83+W83+AA83</f>
        <v>6.033947221</v>
      </c>
      <c r="BF83" s="458">
        <f t="shared" ref="BF83:BG85" si="204">AB83+AF83+AJ83</f>
        <v>0</v>
      </c>
      <c r="BG83" s="458">
        <f t="shared" si="204"/>
        <v>0</v>
      </c>
      <c r="BH83" s="458">
        <f t="shared" ref="BH83:BH85" si="205">AE83+AI83+AM83</f>
        <v>9.0083817730058069</v>
      </c>
      <c r="BI83" s="458">
        <f t="shared" ref="BI83:BJ85" si="206">+AN83+AR83+AV83</f>
        <v>5800</v>
      </c>
      <c r="BJ83" s="458">
        <f t="shared" si="206"/>
        <v>0</v>
      </c>
      <c r="BK83" s="458">
        <f t="shared" ref="BK83:BK85" si="207">AQ83+AU83+AY83</f>
        <v>2.5834545535845086</v>
      </c>
      <c r="BL83" s="458">
        <f t="shared" ref="BL83:BN85" si="208">AZ83+BC83+BF83+BI83</f>
        <v>5800</v>
      </c>
      <c r="BM83" s="458">
        <f t="shared" si="208"/>
        <v>0</v>
      </c>
      <c r="BN83" s="458">
        <f t="shared" si="208"/>
        <v>22.942726094090318</v>
      </c>
      <c r="BO83" s="525">
        <f t="shared" ref="BO83:BO85" si="209">IFERROR(BM83/BL83,0)</f>
        <v>0</v>
      </c>
      <c r="BQ83" s="457"/>
      <c r="BR83" s="457"/>
      <c r="BS83" s="525"/>
      <c r="BT83" s="511">
        <f>SUM(BT6:BT14)+SUM(BT16:BT20)+BT31+BT33+BT39+BT40+BT47+BT41</f>
        <v>11.3508897675</v>
      </c>
      <c r="BU83" s="525"/>
    </row>
    <row r="84" spans="1:73" ht="12.6" customHeight="1">
      <c r="AF84" s="21"/>
      <c r="AJ84" s="21"/>
      <c r="AN84" s="21"/>
      <c r="BJ84" s="21"/>
      <c r="BK84" s="21"/>
      <c r="BL84" s="21"/>
      <c r="BM84" s="21"/>
      <c r="BN84" s="21"/>
    </row>
    <row r="85" spans="1:73" ht="12.6" customHeight="1">
      <c r="A85" s="482" t="s">
        <v>242</v>
      </c>
      <c r="B85" s="457"/>
      <c r="C85" s="457"/>
      <c r="D85" s="457"/>
      <c r="E85" s="457"/>
      <c r="F85" s="457"/>
      <c r="G85" s="530">
        <f>G81-G83</f>
        <v>0.58617101259999993</v>
      </c>
      <c r="H85" s="457"/>
      <c r="I85" s="457"/>
      <c r="J85" s="457"/>
      <c r="K85" s="530">
        <f>K81-K83</f>
        <v>1.1987143479571425</v>
      </c>
      <c r="L85" s="457"/>
      <c r="M85" s="457"/>
      <c r="N85" s="457"/>
      <c r="O85" s="530">
        <f>O81-O83</f>
        <v>1.9596921448000004</v>
      </c>
      <c r="P85" s="457"/>
      <c r="Q85" s="457"/>
      <c r="R85" s="457"/>
      <c r="S85" s="530">
        <f>S81-S83</f>
        <v>4.5791268755428565</v>
      </c>
      <c r="T85" s="457"/>
      <c r="U85" s="457"/>
      <c r="V85" s="457"/>
      <c r="W85" s="530">
        <f>W81-W83</f>
        <v>2.0024016048857143</v>
      </c>
      <c r="X85" s="457"/>
      <c r="Y85" s="457"/>
      <c r="Z85" s="457"/>
      <c r="AA85" s="530">
        <f>AA81-AA83</f>
        <v>5.7742181949999996</v>
      </c>
      <c r="AB85" s="457"/>
      <c r="AC85" s="457"/>
      <c r="AD85" s="457"/>
      <c r="AE85" s="530">
        <f>AE81-AE83</f>
        <v>3.6168994947207747</v>
      </c>
      <c r="AF85" s="458"/>
      <c r="AG85" s="457"/>
      <c r="AH85" s="457"/>
      <c r="AI85" s="530">
        <f>AI81-AI83</f>
        <v>5.1903664203543807</v>
      </c>
      <c r="AJ85" s="458"/>
      <c r="AK85" s="457"/>
      <c r="AL85" s="457"/>
      <c r="AM85" s="530">
        <f>AM81-AM83</f>
        <v>5.2997235601234109</v>
      </c>
      <c r="AN85" s="458"/>
      <c r="AO85" s="457"/>
      <c r="AP85" s="457"/>
      <c r="AQ85" s="530">
        <f>AQ81-AQ83</f>
        <v>2.8515230655885624</v>
      </c>
      <c r="AR85" s="458">
        <f t="shared" si="199"/>
        <v>3692</v>
      </c>
      <c r="AS85" s="457"/>
      <c r="AT85" s="457"/>
      <c r="AU85" s="530">
        <f>AU81-AU83</f>
        <v>3.4691641838512322</v>
      </c>
      <c r="AV85" s="458">
        <f t="shared" si="199"/>
        <v>2108</v>
      </c>
      <c r="AW85" s="457"/>
      <c r="AX85" s="457"/>
      <c r="AY85" s="530">
        <f>AY81-AY83</f>
        <v>0</v>
      </c>
      <c r="AZ85" s="458">
        <f t="shared" si="200"/>
        <v>0</v>
      </c>
      <c r="BA85" s="458">
        <f t="shared" si="200"/>
        <v>0</v>
      </c>
      <c r="BB85" s="511">
        <f t="shared" si="201"/>
        <v>3.7445775053571428</v>
      </c>
      <c r="BC85" s="458">
        <f t="shared" si="202"/>
        <v>0</v>
      </c>
      <c r="BD85" s="458">
        <f t="shared" si="202"/>
        <v>0</v>
      </c>
      <c r="BE85" s="458">
        <f t="shared" si="203"/>
        <v>12.35574667542857</v>
      </c>
      <c r="BF85" s="458">
        <f t="shared" si="204"/>
        <v>0</v>
      </c>
      <c r="BG85" s="458">
        <f t="shared" si="204"/>
        <v>0</v>
      </c>
      <c r="BH85" s="458">
        <f t="shared" si="205"/>
        <v>14.106989475198567</v>
      </c>
      <c r="BI85" s="458">
        <f t="shared" si="206"/>
        <v>5800</v>
      </c>
      <c r="BJ85" s="458">
        <f t="shared" si="206"/>
        <v>0</v>
      </c>
      <c r="BK85" s="458">
        <f t="shared" si="207"/>
        <v>6.3206872494397945</v>
      </c>
      <c r="BL85" s="458">
        <f t="shared" si="208"/>
        <v>5800</v>
      </c>
      <c r="BM85" s="458">
        <f t="shared" si="208"/>
        <v>0</v>
      </c>
      <c r="BN85" s="458">
        <f t="shared" si="208"/>
        <v>36.528000905424072</v>
      </c>
      <c r="BO85" s="525">
        <f t="shared" si="209"/>
        <v>0</v>
      </c>
      <c r="BQ85" s="457"/>
      <c r="BR85" s="457"/>
      <c r="BS85" s="525"/>
      <c r="BT85" s="530">
        <f>BT81-BT83</f>
        <v>16.100324180785719</v>
      </c>
      <c r="BU85" s="525"/>
    </row>
  </sheetData>
  <mergeCells count="19">
    <mergeCell ref="BL4:BO4"/>
    <mergeCell ref="X4:AA4"/>
    <mergeCell ref="AB4:AE4"/>
    <mergeCell ref="AZ4:BB4"/>
    <mergeCell ref="BC4:BE4"/>
    <mergeCell ref="BF4:BH4"/>
    <mergeCell ref="BQ4:BT4"/>
    <mergeCell ref="A4:A5"/>
    <mergeCell ref="D4:G4"/>
    <mergeCell ref="H4:K4"/>
    <mergeCell ref="P4:S4"/>
    <mergeCell ref="L4:O4"/>
    <mergeCell ref="T4:W4"/>
    <mergeCell ref="AV4:AY4"/>
    <mergeCell ref="AF4:AI4"/>
    <mergeCell ref="AJ4:AM4"/>
    <mergeCell ref="AN4:AQ4"/>
    <mergeCell ref="AR4:AU4"/>
    <mergeCell ref="BI4:BK4"/>
  </mergeCells>
  <phoneticPr fontId="7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85"/>
  <sheetViews>
    <sheetView workbookViewId="0">
      <pane xSplit="2" ySplit="5" topLeftCell="AN60" activePane="bottomRight" state="frozen"/>
      <selection activeCell="BR24" sqref="BR24"/>
      <selection pane="topRight" activeCell="BR24" sqref="BR24"/>
      <selection pane="bottomLeft" activeCell="BR24" sqref="BR24"/>
      <selection pane="bottomRight" activeCell="AN81" sqref="AN81"/>
    </sheetView>
  </sheetViews>
  <sheetFormatPr defaultRowHeight="12.6" customHeight="1"/>
  <cols>
    <col min="1" max="1" width="20.42578125" customWidth="1"/>
    <col min="2" max="2" width="12.42578125" customWidth="1"/>
    <col min="3" max="3" width="9.42578125" customWidth="1"/>
    <col min="4" max="7" width="10.7109375" customWidth="1"/>
    <col min="8" max="11" width="9.28515625" customWidth="1"/>
    <col min="12" max="51" width="9.140625" customWidth="1"/>
    <col min="52" max="61" width="9.140625" style="21" customWidth="1"/>
    <col min="62" max="67" width="9.140625" customWidth="1"/>
    <col min="68" max="68" width="3.85546875" customWidth="1"/>
    <col min="71" max="72" width="9.7109375" customWidth="1"/>
  </cols>
  <sheetData>
    <row r="1" spans="1:73" s="21" customFormat="1" ht="12.6" customHeight="1">
      <c r="A1" s="28" t="s">
        <v>102</v>
      </c>
    </row>
    <row r="2" spans="1:73" ht="15.75" customHeight="1">
      <c r="A2" s="85" t="s">
        <v>139</v>
      </c>
      <c r="C2" s="53"/>
      <c r="H2" s="21"/>
      <c r="I2" s="21"/>
      <c r="J2" s="21"/>
      <c r="K2" s="21"/>
      <c r="L2" s="53"/>
      <c r="M2" s="53"/>
      <c r="N2" s="53"/>
      <c r="O2" s="53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</row>
    <row r="3" spans="1:73" ht="12.6" customHeight="1">
      <c r="A3" s="20"/>
      <c r="B3" s="53"/>
      <c r="C3" s="53"/>
      <c r="D3" s="53"/>
      <c r="E3" s="53"/>
      <c r="F3" s="53"/>
      <c r="G3" s="53"/>
      <c r="L3" s="53"/>
      <c r="M3" s="53"/>
      <c r="N3" s="53"/>
      <c r="O3" s="53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</row>
    <row r="4" spans="1:73" s="1" customFormat="1" ht="12.6" customHeight="1">
      <c r="A4" s="545" t="s">
        <v>10</v>
      </c>
      <c r="B4" s="490" t="s">
        <v>134</v>
      </c>
      <c r="C4" s="490"/>
      <c r="D4" s="544">
        <v>42461</v>
      </c>
      <c r="E4" s="544"/>
      <c r="F4" s="544"/>
      <c r="G4" s="544"/>
      <c r="H4" s="544">
        <f>D4+31</f>
        <v>42492</v>
      </c>
      <c r="I4" s="544"/>
      <c r="J4" s="544"/>
      <c r="K4" s="544"/>
      <c r="L4" s="544">
        <f>H4+31</f>
        <v>42523</v>
      </c>
      <c r="M4" s="544"/>
      <c r="N4" s="544"/>
      <c r="O4" s="544"/>
      <c r="P4" s="544">
        <f>L4+31</f>
        <v>42554</v>
      </c>
      <c r="Q4" s="544"/>
      <c r="R4" s="544"/>
      <c r="S4" s="544"/>
      <c r="T4" s="544">
        <f>P4+31</f>
        <v>42585</v>
      </c>
      <c r="U4" s="544"/>
      <c r="V4" s="544"/>
      <c r="W4" s="544"/>
      <c r="X4" s="544">
        <f>T4+31</f>
        <v>42616</v>
      </c>
      <c r="Y4" s="544"/>
      <c r="Z4" s="544"/>
      <c r="AA4" s="544"/>
      <c r="AB4" s="541">
        <f>X4+31</f>
        <v>42647</v>
      </c>
      <c r="AC4" s="542"/>
      <c r="AD4" s="542"/>
      <c r="AE4" s="543"/>
      <c r="AF4" s="541">
        <f>AB4+31</f>
        <v>42678</v>
      </c>
      <c r="AG4" s="542"/>
      <c r="AH4" s="542"/>
      <c r="AI4" s="543"/>
      <c r="AJ4" s="541">
        <f>AF4+31</f>
        <v>42709</v>
      </c>
      <c r="AK4" s="542"/>
      <c r="AL4" s="542"/>
      <c r="AM4" s="543"/>
      <c r="AN4" s="541">
        <f>AJ4+31</f>
        <v>42740</v>
      </c>
      <c r="AO4" s="542"/>
      <c r="AP4" s="542"/>
      <c r="AQ4" s="543"/>
      <c r="AR4" s="541">
        <f>AN4+31</f>
        <v>42771</v>
      </c>
      <c r="AS4" s="542"/>
      <c r="AT4" s="542"/>
      <c r="AU4" s="543"/>
      <c r="AV4" s="541">
        <f>AR4+31</f>
        <v>42802</v>
      </c>
      <c r="AW4" s="542"/>
      <c r="AX4" s="542"/>
      <c r="AY4" s="543"/>
      <c r="AZ4" s="541" t="s">
        <v>19</v>
      </c>
      <c r="BA4" s="542"/>
      <c r="BB4" s="543"/>
      <c r="BC4" s="541" t="s">
        <v>20</v>
      </c>
      <c r="BD4" s="542"/>
      <c r="BE4" s="543"/>
      <c r="BF4" s="541" t="s">
        <v>21</v>
      </c>
      <c r="BG4" s="542"/>
      <c r="BH4" s="543"/>
      <c r="BI4" s="544" t="s">
        <v>22</v>
      </c>
      <c r="BJ4" s="544"/>
      <c r="BK4" s="544"/>
      <c r="BL4" s="541" t="s">
        <v>246</v>
      </c>
      <c r="BM4" s="542"/>
      <c r="BN4" s="542"/>
      <c r="BO4" s="543"/>
      <c r="BP4" s="471"/>
      <c r="BQ4" s="541" t="s">
        <v>244</v>
      </c>
      <c r="BR4" s="542"/>
      <c r="BS4" s="542"/>
      <c r="BT4" s="543"/>
      <c r="BU4" s="524"/>
    </row>
    <row r="5" spans="1:73" s="1" customFormat="1" ht="36" customHeight="1">
      <c r="A5" s="545"/>
      <c r="B5" s="456" t="s">
        <v>68</v>
      </c>
      <c r="C5" s="456" t="s">
        <v>225</v>
      </c>
      <c r="D5" s="456" t="s">
        <v>229</v>
      </c>
      <c r="E5" s="456" t="s">
        <v>212</v>
      </c>
      <c r="F5" s="456" t="s">
        <v>213</v>
      </c>
      <c r="G5" s="456" t="s">
        <v>234</v>
      </c>
      <c r="H5" s="456" t="s">
        <v>229</v>
      </c>
      <c r="I5" s="456" t="s">
        <v>212</v>
      </c>
      <c r="J5" s="456" t="s">
        <v>213</v>
      </c>
      <c r="K5" s="456" t="s">
        <v>234</v>
      </c>
      <c r="L5" s="456" t="s">
        <v>229</v>
      </c>
      <c r="M5" s="456" t="s">
        <v>212</v>
      </c>
      <c r="N5" s="456" t="s">
        <v>213</v>
      </c>
      <c r="O5" s="456" t="s">
        <v>234</v>
      </c>
      <c r="P5" s="456" t="s">
        <v>229</v>
      </c>
      <c r="Q5" s="456" t="s">
        <v>212</v>
      </c>
      <c r="R5" s="456" t="s">
        <v>213</v>
      </c>
      <c r="S5" s="456" t="s">
        <v>234</v>
      </c>
      <c r="T5" s="456" t="s">
        <v>229</v>
      </c>
      <c r="U5" s="456" t="s">
        <v>212</v>
      </c>
      <c r="V5" s="456" t="s">
        <v>213</v>
      </c>
      <c r="W5" s="456" t="s">
        <v>234</v>
      </c>
      <c r="X5" s="456" t="s">
        <v>229</v>
      </c>
      <c r="Y5" s="456" t="s">
        <v>212</v>
      </c>
      <c r="Z5" s="456" t="s">
        <v>213</v>
      </c>
      <c r="AA5" s="456" t="s">
        <v>234</v>
      </c>
      <c r="AB5" s="456" t="s">
        <v>229</v>
      </c>
      <c r="AC5" s="456" t="s">
        <v>212</v>
      </c>
      <c r="AD5" s="456" t="s">
        <v>213</v>
      </c>
      <c r="AE5" s="456" t="s">
        <v>234</v>
      </c>
      <c r="AF5" s="456" t="s">
        <v>229</v>
      </c>
      <c r="AG5" s="456" t="s">
        <v>212</v>
      </c>
      <c r="AH5" s="456" t="s">
        <v>213</v>
      </c>
      <c r="AI5" s="456" t="s">
        <v>234</v>
      </c>
      <c r="AJ5" s="456" t="s">
        <v>229</v>
      </c>
      <c r="AK5" s="456" t="s">
        <v>212</v>
      </c>
      <c r="AL5" s="456" t="s">
        <v>213</v>
      </c>
      <c r="AM5" s="456" t="s">
        <v>234</v>
      </c>
      <c r="AN5" s="456" t="s">
        <v>229</v>
      </c>
      <c r="AO5" s="456" t="s">
        <v>212</v>
      </c>
      <c r="AP5" s="456" t="s">
        <v>213</v>
      </c>
      <c r="AQ5" s="456" t="s">
        <v>234</v>
      </c>
      <c r="AR5" s="456" t="s">
        <v>229</v>
      </c>
      <c r="AS5" s="456" t="s">
        <v>212</v>
      </c>
      <c r="AT5" s="456" t="s">
        <v>213</v>
      </c>
      <c r="AU5" s="456" t="s">
        <v>234</v>
      </c>
      <c r="AV5" s="456" t="s">
        <v>229</v>
      </c>
      <c r="AW5" s="456" t="s">
        <v>212</v>
      </c>
      <c r="AX5" s="456" t="s">
        <v>213</v>
      </c>
      <c r="AY5" s="456" t="s">
        <v>234</v>
      </c>
      <c r="AZ5" s="456" t="s">
        <v>229</v>
      </c>
      <c r="BA5" s="456" t="s">
        <v>228</v>
      </c>
      <c r="BB5" s="456" t="s">
        <v>234</v>
      </c>
      <c r="BC5" s="456" t="s">
        <v>229</v>
      </c>
      <c r="BD5" s="456" t="s">
        <v>228</v>
      </c>
      <c r="BE5" s="456" t="s">
        <v>234</v>
      </c>
      <c r="BF5" s="456" t="s">
        <v>229</v>
      </c>
      <c r="BG5" s="456" t="s">
        <v>228</v>
      </c>
      <c r="BH5" s="456" t="s">
        <v>234</v>
      </c>
      <c r="BI5" s="456" t="s">
        <v>229</v>
      </c>
      <c r="BJ5" s="456" t="s">
        <v>228</v>
      </c>
      <c r="BK5" s="456" t="s">
        <v>234</v>
      </c>
      <c r="BL5" s="456" t="s">
        <v>229</v>
      </c>
      <c r="BM5" s="456" t="s">
        <v>228</v>
      </c>
      <c r="BN5" s="456" t="s">
        <v>234</v>
      </c>
      <c r="BO5" s="456" t="s">
        <v>232</v>
      </c>
      <c r="BP5" s="471"/>
      <c r="BQ5" s="456" t="s">
        <v>229</v>
      </c>
      <c r="BR5" s="456" t="s">
        <v>212</v>
      </c>
      <c r="BS5" s="456" t="s">
        <v>232</v>
      </c>
      <c r="BT5" s="456" t="s">
        <v>234</v>
      </c>
      <c r="BU5" s="456" t="s">
        <v>240</v>
      </c>
    </row>
    <row r="6" spans="1:73" ht="12.6" customHeight="1">
      <c r="A6" s="254" t="s">
        <v>43</v>
      </c>
      <c r="B6" s="129">
        <f t="shared" ref="B6:B23" si="0">D6+H6+L6+P6+T6+X6+AB6+AF6+AJ6+AN6+AR6+AV6</f>
        <v>0</v>
      </c>
      <c r="C6" s="257"/>
      <c r="D6" s="129"/>
      <c r="E6" s="129"/>
      <c r="F6" s="129"/>
      <c r="G6" s="509">
        <f t="shared" ref="G6:G23" si="1">E6*(F6-C6)*66.47/10^7</f>
        <v>0</v>
      </c>
      <c r="H6" s="129"/>
      <c r="I6" s="129"/>
      <c r="J6" s="129"/>
      <c r="K6" s="509">
        <f t="shared" ref="K6:K23" si="2">I6*(J6-C6)*66.91/10^7</f>
        <v>0</v>
      </c>
      <c r="L6" s="129"/>
      <c r="M6" s="129"/>
      <c r="N6" s="129"/>
      <c r="O6" s="509">
        <f t="shared" ref="O6:O23" si="3">M6*(N6-C6)*67.28/10^7</f>
        <v>0</v>
      </c>
      <c r="P6" s="129"/>
      <c r="Q6" s="129"/>
      <c r="R6" s="129"/>
      <c r="S6" s="509">
        <f>Q6*(R6-C6)*67.2/10^7</f>
        <v>0</v>
      </c>
      <c r="T6" s="129"/>
      <c r="U6" s="129"/>
      <c r="V6" s="129">
        <f>(T6*U6)/10^6</f>
        <v>0</v>
      </c>
      <c r="W6" s="509">
        <f>U6*(V6-C6)*66.93/10^7</f>
        <v>0</v>
      </c>
      <c r="X6" s="129"/>
      <c r="Y6" s="129"/>
      <c r="Z6" s="129"/>
      <c r="AA6" s="509">
        <f>Y6*(Z6-C6)*66.69/10^7</f>
        <v>0</v>
      </c>
      <c r="AB6" s="129"/>
      <c r="AC6" s="129"/>
      <c r="AD6" s="129"/>
      <c r="AE6" s="509">
        <f>AC6*(AD6-G6)*66.73/10^7</f>
        <v>0</v>
      </c>
      <c r="AF6" s="129"/>
      <c r="AG6" s="129"/>
      <c r="AH6" s="129"/>
      <c r="AI6" s="509">
        <f>AG6*(AH6-K6)*67.58/10^7</f>
        <v>0</v>
      </c>
      <c r="AJ6" s="129"/>
      <c r="AK6" s="129"/>
      <c r="AL6" s="129"/>
      <c r="AM6" s="509">
        <f>AK6*(AL6-O6)*67.91/10^7</f>
        <v>0</v>
      </c>
      <c r="AN6" s="129"/>
      <c r="AO6" s="129"/>
      <c r="AP6" s="129"/>
      <c r="AQ6" s="509">
        <f>AO6*(AP6-S6)*68.01/10^7</f>
        <v>0</v>
      </c>
      <c r="AR6" s="129"/>
      <c r="AS6" s="129"/>
      <c r="AT6" s="129"/>
      <c r="AU6" s="509">
        <f>AS6*(AT6-W6)*67.01/10^7</f>
        <v>0</v>
      </c>
      <c r="AV6" s="129"/>
      <c r="AW6" s="129"/>
      <c r="AX6" s="129"/>
      <c r="AY6" s="509">
        <f>AW6*(AX6-AA6)*66.69/10^7</f>
        <v>0</v>
      </c>
      <c r="AZ6" s="23">
        <f t="shared" ref="AZ6:BA23" si="4">+D6+H6+L6</f>
        <v>0</v>
      </c>
      <c r="BA6" s="23">
        <f t="shared" si="4"/>
        <v>0</v>
      </c>
      <c r="BB6" s="509">
        <f>+G6+K6+O6</f>
        <v>0</v>
      </c>
      <c r="BC6" s="23">
        <f>+P6+T6+X6</f>
        <v>0</v>
      </c>
      <c r="BD6" s="23">
        <f>+Q6+U6+Y6</f>
        <v>0</v>
      </c>
      <c r="BE6" s="257">
        <f>S6+W6+AA6</f>
        <v>0</v>
      </c>
      <c r="BF6" s="23">
        <f>AB6+AF6+AJ6</f>
        <v>0</v>
      </c>
      <c r="BG6" s="23">
        <f>AC6+AG6+AK6</f>
        <v>0</v>
      </c>
      <c r="BH6" s="257">
        <f>AE6+AI6+AM6</f>
        <v>0</v>
      </c>
      <c r="BI6" s="23">
        <f>+AN6+AR6+AV6</f>
        <v>0</v>
      </c>
      <c r="BJ6" s="23">
        <f>+AO6+AS6+AW6</f>
        <v>0</v>
      </c>
      <c r="BK6" s="257">
        <f>AQ6+AU6+AY6</f>
        <v>0</v>
      </c>
      <c r="BL6" s="23">
        <f>AZ6+BC6+BF6+BI6</f>
        <v>0</v>
      </c>
      <c r="BM6" s="23">
        <f t="shared" ref="BM6:BN21" si="5">BA6+BD6+BG6+BJ6</f>
        <v>0</v>
      </c>
      <c r="BN6" s="23">
        <f t="shared" si="5"/>
        <v>0</v>
      </c>
      <c r="BO6" s="466">
        <f>IFERROR(BM6/BL6,0)</f>
        <v>0</v>
      </c>
      <c r="BP6" s="472"/>
      <c r="BQ6" s="23">
        <f t="shared" ref="BQ6:BQ23" si="6">D6+H6+L6+P6+T6+X6+AB6</f>
        <v>0</v>
      </c>
      <c r="BR6" s="23" t="e">
        <f>E6+I6+M6+Q6+U6+Y6+#REF!</f>
        <v>#REF!</v>
      </c>
      <c r="BS6" s="466">
        <f t="shared" ref="BS6:BS23" si="7">IFERROR(BR6/BQ6,0)</f>
        <v>0</v>
      </c>
      <c r="BT6" s="509">
        <f t="shared" ref="BT6:BT23" si="8">G6+K6+O6+S6+W6+AA6</f>
        <v>0</v>
      </c>
      <c r="BU6" s="466">
        <f t="shared" ref="BU6:BU37" si="9">IFERROR(BR6/B6,0)</f>
        <v>0</v>
      </c>
    </row>
    <row r="7" spans="1:73" ht="12.6" customHeight="1">
      <c r="A7" s="254" t="s">
        <v>129</v>
      </c>
      <c r="B7" s="129">
        <f t="shared" si="0"/>
        <v>0</v>
      </c>
      <c r="C7" s="257"/>
      <c r="D7" s="129"/>
      <c r="E7" s="129"/>
      <c r="F7" s="129"/>
      <c r="G7" s="509">
        <f t="shared" si="1"/>
        <v>0</v>
      </c>
      <c r="H7" s="129"/>
      <c r="I7" s="129"/>
      <c r="J7" s="129"/>
      <c r="K7" s="509">
        <f t="shared" si="2"/>
        <v>0</v>
      </c>
      <c r="L7" s="129"/>
      <c r="M7" s="129"/>
      <c r="N7" s="129"/>
      <c r="O7" s="509">
        <f t="shared" si="3"/>
        <v>0</v>
      </c>
      <c r="P7" s="129"/>
      <c r="Q7" s="129"/>
      <c r="R7" s="129"/>
      <c r="S7" s="509">
        <f t="shared" ref="S7:S23" si="10">Q7*(R7-C7)*67.2/10^7</f>
        <v>0</v>
      </c>
      <c r="T7" s="129"/>
      <c r="U7" s="129"/>
      <c r="V7" s="129">
        <f t="shared" ref="V7:V20" si="11">(T7*U7)/10^6</f>
        <v>0</v>
      </c>
      <c r="W7" s="509">
        <f t="shared" ref="W7:W23" si="12">U7*(V7-C7)*66.93/10^7</f>
        <v>0</v>
      </c>
      <c r="X7" s="129"/>
      <c r="Y7" s="129"/>
      <c r="Z7" s="129"/>
      <c r="AA7" s="509">
        <f t="shared" ref="AA7:AA23" si="13">Y7*(Z7-C7)*66.69/10^7</f>
        <v>0</v>
      </c>
      <c r="AB7" s="129"/>
      <c r="AC7" s="129"/>
      <c r="AD7" s="129"/>
      <c r="AE7" s="509">
        <f>AC7*(AD7-G7)*66.73/10^7</f>
        <v>0</v>
      </c>
      <c r="AF7" s="129"/>
      <c r="AG7" s="129"/>
      <c r="AH7" s="129"/>
      <c r="AI7" s="509">
        <f>AG7*(AH7-K7)*67.58/10^7</f>
        <v>0</v>
      </c>
      <c r="AJ7" s="129"/>
      <c r="AK7" s="129"/>
      <c r="AL7" s="129"/>
      <c r="AM7" s="509">
        <f>AK7*(AL7-O7)*67.91/10^7</f>
        <v>0</v>
      </c>
      <c r="AN7" s="129"/>
      <c r="AO7" s="129"/>
      <c r="AP7" s="129"/>
      <c r="AQ7" s="509">
        <f>AO7*(AP7-S7)*68.01/10^7</f>
        <v>0</v>
      </c>
      <c r="AR7" s="129"/>
      <c r="AS7" s="129"/>
      <c r="AT7" s="129"/>
      <c r="AU7" s="509">
        <f>AS7*(AT7-W7)*67.01/10^7</f>
        <v>0</v>
      </c>
      <c r="AV7" s="129"/>
      <c r="AW7" s="129"/>
      <c r="AX7" s="129"/>
      <c r="AY7" s="509">
        <f t="shared" ref="AY7:AY9" si="14">AW7*(AX7-AA7)*66.69/10^7</f>
        <v>0</v>
      </c>
      <c r="AZ7" s="23">
        <f t="shared" si="4"/>
        <v>0</v>
      </c>
      <c r="BA7" s="23">
        <f t="shared" si="4"/>
        <v>0</v>
      </c>
      <c r="BB7" s="509">
        <f t="shared" ref="BB7:BB23" si="15">+G7+K7+O7</f>
        <v>0</v>
      </c>
      <c r="BC7" s="23">
        <f t="shared" ref="BC7:BD23" si="16">+P7+T7+X7</f>
        <v>0</v>
      </c>
      <c r="BD7" s="257">
        <f t="shared" si="16"/>
        <v>0</v>
      </c>
      <c r="BE7" s="257">
        <f t="shared" ref="BE7:BE23" si="17">S7+W7+AA7</f>
        <v>0</v>
      </c>
      <c r="BF7" s="257">
        <f t="shared" ref="BF7:BG23" si="18">AB7+AF7+AJ7</f>
        <v>0</v>
      </c>
      <c r="BG7" s="23">
        <f t="shared" si="18"/>
        <v>0</v>
      </c>
      <c r="BH7" s="257">
        <f t="shared" ref="BH7:BH23" si="19">AE7+AI7+AM7</f>
        <v>0</v>
      </c>
      <c r="BI7" s="23">
        <f t="shared" ref="BI7:BJ23" si="20">+AN7+AR7+AV7</f>
        <v>0</v>
      </c>
      <c r="BJ7" s="23">
        <f t="shared" si="20"/>
        <v>0</v>
      </c>
      <c r="BK7" s="257">
        <f t="shared" ref="BK7:BK23" si="21">AQ7+AU7+AY7</f>
        <v>0</v>
      </c>
      <c r="BL7" s="23">
        <f t="shared" ref="BL7:BN23" si="22">AZ7+BC7+BF7+BI7</f>
        <v>0</v>
      </c>
      <c r="BM7" s="23">
        <f t="shared" si="5"/>
        <v>0</v>
      </c>
      <c r="BN7" s="257">
        <f t="shared" si="5"/>
        <v>0</v>
      </c>
      <c r="BO7" s="466">
        <f t="shared" ref="BO7:BO23" si="23">IFERROR(BM7/BL7,0)</f>
        <v>0</v>
      </c>
      <c r="BP7" s="472"/>
      <c r="BQ7" s="23">
        <f t="shared" si="6"/>
        <v>0</v>
      </c>
      <c r="BR7" s="23" t="e">
        <f>E7+I7+M7+Q7+U7+Y7+#REF!</f>
        <v>#REF!</v>
      </c>
      <c r="BS7" s="466">
        <f t="shared" si="7"/>
        <v>0</v>
      </c>
      <c r="BT7" s="509">
        <f t="shared" si="8"/>
        <v>0</v>
      </c>
      <c r="BU7" s="466">
        <f t="shared" si="9"/>
        <v>0</v>
      </c>
    </row>
    <row r="8" spans="1:73" ht="12.6" customHeight="1">
      <c r="A8" s="254" t="s">
        <v>44</v>
      </c>
      <c r="B8" s="129">
        <f t="shared" si="0"/>
        <v>0</v>
      </c>
      <c r="C8" s="257"/>
      <c r="D8" s="129">
        <v>0</v>
      </c>
      <c r="E8" s="129"/>
      <c r="F8" s="129"/>
      <c r="G8" s="509">
        <f t="shared" si="1"/>
        <v>0</v>
      </c>
      <c r="H8" s="129"/>
      <c r="I8" s="129"/>
      <c r="J8" s="129"/>
      <c r="K8" s="509">
        <f t="shared" si="2"/>
        <v>0</v>
      </c>
      <c r="L8" s="129"/>
      <c r="M8" s="129"/>
      <c r="N8" s="129"/>
      <c r="O8" s="509">
        <f t="shared" si="3"/>
        <v>0</v>
      </c>
      <c r="P8" s="129"/>
      <c r="Q8" s="129"/>
      <c r="R8" s="129"/>
      <c r="S8" s="509">
        <f t="shared" si="10"/>
        <v>0</v>
      </c>
      <c r="T8" s="129"/>
      <c r="U8" s="129"/>
      <c r="V8" s="129">
        <f t="shared" si="11"/>
        <v>0</v>
      </c>
      <c r="W8" s="509">
        <f t="shared" si="12"/>
        <v>0</v>
      </c>
      <c r="X8" s="129"/>
      <c r="Y8" s="129"/>
      <c r="Z8" s="129"/>
      <c r="AA8" s="509">
        <f t="shared" si="13"/>
        <v>0</v>
      </c>
      <c r="AB8" s="129"/>
      <c r="AC8" s="129"/>
      <c r="AD8" s="129"/>
      <c r="AE8" s="509">
        <f>AC8*(AD8-G8)*66.73/10^7</f>
        <v>0</v>
      </c>
      <c r="AF8" s="129"/>
      <c r="AG8" s="129"/>
      <c r="AH8" s="129"/>
      <c r="AI8" s="509">
        <f>AG8*(AH8-K8)*67.58/10^7</f>
        <v>0</v>
      </c>
      <c r="AJ8" s="129"/>
      <c r="AK8" s="129"/>
      <c r="AL8" s="129"/>
      <c r="AM8" s="509">
        <f>AK8*(AL8-O8)*67.91/10^7</f>
        <v>0</v>
      </c>
      <c r="AN8" s="129"/>
      <c r="AO8" s="129"/>
      <c r="AP8" s="129"/>
      <c r="AQ8" s="509">
        <f>AO8*(AP8-S8)*68.01/10^7</f>
        <v>0</v>
      </c>
      <c r="AR8" s="129"/>
      <c r="AS8" s="129"/>
      <c r="AT8" s="129"/>
      <c r="AU8" s="509">
        <f>AS8*(AT8-W8)*67.01/10^7</f>
        <v>0</v>
      </c>
      <c r="AV8" s="129"/>
      <c r="AW8" s="129"/>
      <c r="AX8" s="129"/>
      <c r="AY8" s="509">
        <f t="shared" si="14"/>
        <v>0</v>
      </c>
      <c r="AZ8" s="23">
        <f t="shared" si="4"/>
        <v>0</v>
      </c>
      <c r="BA8" s="23">
        <f t="shared" si="4"/>
        <v>0</v>
      </c>
      <c r="BB8" s="509">
        <f t="shared" si="15"/>
        <v>0</v>
      </c>
      <c r="BC8" s="23">
        <f t="shared" si="16"/>
        <v>0</v>
      </c>
      <c r="BD8" s="257">
        <f t="shared" si="16"/>
        <v>0</v>
      </c>
      <c r="BE8" s="257">
        <f t="shared" si="17"/>
        <v>0</v>
      </c>
      <c r="BF8" s="257">
        <f t="shared" si="18"/>
        <v>0</v>
      </c>
      <c r="BG8" s="23">
        <f t="shared" si="18"/>
        <v>0</v>
      </c>
      <c r="BH8" s="257">
        <f t="shared" si="19"/>
        <v>0</v>
      </c>
      <c r="BI8" s="23">
        <f t="shared" si="20"/>
        <v>0</v>
      </c>
      <c r="BJ8" s="23">
        <f t="shared" si="20"/>
        <v>0</v>
      </c>
      <c r="BK8" s="257">
        <f t="shared" si="21"/>
        <v>0</v>
      </c>
      <c r="BL8" s="23">
        <f t="shared" si="22"/>
        <v>0</v>
      </c>
      <c r="BM8" s="23">
        <f t="shared" si="5"/>
        <v>0</v>
      </c>
      <c r="BN8" s="257">
        <f t="shared" si="5"/>
        <v>0</v>
      </c>
      <c r="BO8" s="466">
        <f t="shared" si="23"/>
        <v>0</v>
      </c>
      <c r="BP8" s="472"/>
      <c r="BQ8" s="23">
        <f t="shared" si="6"/>
        <v>0</v>
      </c>
      <c r="BR8" s="23" t="e">
        <f>E8+I8+M8+Q8+U8+Y8+#REF!</f>
        <v>#REF!</v>
      </c>
      <c r="BS8" s="466">
        <f t="shared" si="7"/>
        <v>0</v>
      </c>
      <c r="BT8" s="509">
        <f t="shared" si="8"/>
        <v>0</v>
      </c>
      <c r="BU8" s="466">
        <f t="shared" si="9"/>
        <v>0</v>
      </c>
    </row>
    <row r="9" spans="1:73" ht="12.6" customHeight="1">
      <c r="A9" s="254" t="s">
        <v>45</v>
      </c>
      <c r="B9" s="129">
        <f t="shared" si="0"/>
        <v>0</v>
      </c>
      <c r="C9" s="257"/>
      <c r="D9" s="497"/>
      <c r="E9" s="497"/>
      <c r="F9" s="497"/>
      <c r="G9" s="509">
        <f t="shared" si="1"/>
        <v>0</v>
      </c>
      <c r="H9" s="497"/>
      <c r="I9" s="497"/>
      <c r="J9" s="497"/>
      <c r="K9" s="509">
        <f t="shared" si="2"/>
        <v>0</v>
      </c>
      <c r="L9" s="497"/>
      <c r="M9" s="497"/>
      <c r="N9" s="497"/>
      <c r="O9" s="509">
        <f t="shared" si="3"/>
        <v>0</v>
      </c>
      <c r="P9" s="497"/>
      <c r="Q9" s="497"/>
      <c r="R9" s="497"/>
      <c r="S9" s="509">
        <f t="shared" si="10"/>
        <v>0</v>
      </c>
      <c r="T9" s="497"/>
      <c r="U9" s="497"/>
      <c r="V9" s="497">
        <f t="shared" si="11"/>
        <v>0</v>
      </c>
      <c r="W9" s="509">
        <f t="shared" si="12"/>
        <v>0</v>
      </c>
      <c r="X9" s="497"/>
      <c r="Y9" s="497"/>
      <c r="Z9" s="497"/>
      <c r="AA9" s="509">
        <f t="shared" si="13"/>
        <v>0</v>
      </c>
      <c r="AB9" s="497"/>
      <c r="AC9" s="497"/>
      <c r="AD9" s="497"/>
      <c r="AE9" s="509">
        <f>AC9*(AD9-G9)*66.73/10^7</f>
        <v>0</v>
      </c>
      <c r="AF9" s="497"/>
      <c r="AG9" s="497"/>
      <c r="AH9" s="497"/>
      <c r="AI9" s="509">
        <f>AG9*(AH9-K9)*67.58/10^7</f>
        <v>0</v>
      </c>
      <c r="AJ9" s="497"/>
      <c r="AK9" s="497"/>
      <c r="AL9" s="497"/>
      <c r="AM9" s="509">
        <f>AK9*(AL9-O9)*67.91/10^7</f>
        <v>0</v>
      </c>
      <c r="AN9" s="497"/>
      <c r="AO9" s="497"/>
      <c r="AP9" s="497"/>
      <c r="AQ9" s="509">
        <f>AO9*(AP9-S9)*68.01/10^7</f>
        <v>0</v>
      </c>
      <c r="AR9" s="497"/>
      <c r="AS9" s="497"/>
      <c r="AT9" s="497"/>
      <c r="AU9" s="509">
        <f>AS9*(AT9-W9)*67.01/10^7</f>
        <v>0</v>
      </c>
      <c r="AV9" s="497"/>
      <c r="AW9" s="497"/>
      <c r="AX9" s="497"/>
      <c r="AY9" s="509">
        <f t="shared" si="14"/>
        <v>0</v>
      </c>
      <c r="AZ9" s="23">
        <f t="shared" si="4"/>
        <v>0</v>
      </c>
      <c r="BA9" s="23">
        <f t="shared" si="4"/>
        <v>0</v>
      </c>
      <c r="BB9" s="509">
        <f t="shared" si="15"/>
        <v>0</v>
      </c>
      <c r="BC9" s="23">
        <f t="shared" si="16"/>
        <v>0</v>
      </c>
      <c r="BD9" s="257">
        <f t="shared" si="16"/>
        <v>0</v>
      </c>
      <c r="BE9" s="257">
        <f t="shared" si="17"/>
        <v>0</v>
      </c>
      <c r="BF9" s="257">
        <f t="shared" si="18"/>
        <v>0</v>
      </c>
      <c r="BG9" s="23">
        <f t="shared" si="18"/>
        <v>0</v>
      </c>
      <c r="BH9" s="257">
        <f t="shared" si="19"/>
        <v>0</v>
      </c>
      <c r="BI9" s="23">
        <f t="shared" si="20"/>
        <v>0</v>
      </c>
      <c r="BJ9" s="23">
        <f t="shared" si="20"/>
        <v>0</v>
      </c>
      <c r="BK9" s="257">
        <f t="shared" si="21"/>
        <v>0</v>
      </c>
      <c r="BL9" s="23">
        <f t="shared" si="22"/>
        <v>0</v>
      </c>
      <c r="BM9" s="23">
        <f t="shared" si="5"/>
        <v>0</v>
      </c>
      <c r="BN9" s="257">
        <f t="shared" si="5"/>
        <v>0</v>
      </c>
      <c r="BO9" s="466">
        <f t="shared" si="23"/>
        <v>0</v>
      </c>
      <c r="BP9" s="472"/>
      <c r="BQ9" s="23">
        <f t="shared" si="6"/>
        <v>0</v>
      </c>
      <c r="BR9" s="23" t="e">
        <f>E9+I9+M9+Q9+U9+Y9+#REF!</f>
        <v>#REF!</v>
      </c>
      <c r="BS9" s="466">
        <f t="shared" si="7"/>
        <v>0</v>
      </c>
      <c r="BT9" s="509">
        <f t="shared" si="8"/>
        <v>0</v>
      </c>
      <c r="BU9" s="466">
        <f t="shared" si="9"/>
        <v>0</v>
      </c>
    </row>
    <row r="10" spans="1:73" ht="12.6" customHeight="1">
      <c r="A10" s="254" t="s">
        <v>46</v>
      </c>
      <c r="B10" s="129">
        <f t="shared" si="0"/>
        <v>5418</v>
      </c>
      <c r="C10" s="257"/>
      <c r="D10" s="129">
        <v>40</v>
      </c>
      <c r="E10" s="129">
        <v>37</v>
      </c>
      <c r="F10" s="129">
        <v>1207.5</v>
      </c>
      <c r="G10" s="509">
        <f>E10*(F10-493)*66.47/10^7</f>
        <v>0.17572341550000001</v>
      </c>
      <c r="H10" s="129">
        <v>1040</v>
      </c>
      <c r="I10" s="129">
        <v>1040</v>
      </c>
      <c r="J10" s="129">
        <v>1277.5</v>
      </c>
      <c r="K10" s="509">
        <f>I10*(J10-898)*66.91/10^7</f>
        <v>2.6408038799999995</v>
      </c>
      <c r="L10" s="129">
        <v>38</v>
      </c>
      <c r="M10" s="129"/>
      <c r="N10" s="129"/>
      <c r="O10" s="509">
        <f t="shared" si="3"/>
        <v>0</v>
      </c>
      <c r="P10" s="129">
        <v>1040</v>
      </c>
      <c r="Q10" s="129">
        <f>178-Q23</f>
        <v>124</v>
      </c>
      <c r="R10" s="129">
        <v>1336</v>
      </c>
      <c r="S10" s="509">
        <f>124*(R10-880)*67.2/10^7</f>
        <v>0.37997568000000004</v>
      </c>
      <c r="T10" s="129">
        <v>80</v>
      </c>
      <c r="U10" s="129">
        <v>363</v>
      </c>
      <c r="V10" s="129">
        <v>1264</v>
      </c>
      <c r="W10" s="509">
        <f>U10*(V10-904)*66.93/10^7</f>
        <v>0.87464123999999999</v>
      </c>
      <c r="X10" s="129">
        <v>1040</v>
      </c>
      <c r="Y10" s="129">
        <f>40-Y23</f>
        <v>13</v>
      </c>
      <c r="Z10" s="129">
        <v>1327</v>
      </c>
      <c r="AA10" s="509">
        <f>Y10*(Z10-998)*66.69/10^7</f>
        <v>2.8523313000000002E-2</v>
      </c>
      <c r="AB10" s="129">
        <v>40</v>
      </c>
      <c r="AC10" s="129">
        <v>20</v>
      </c>
      <c r="AD10" s="129">
        <v>1323</v>
      </c>
      <c r="AE10" s="509">
        <f>AC10*(AD10-765)*66.73/10^7</f>
        <v>7.4470680000000011E-2</v>
      </c>
      <c r="AF10" s="129">
        <v>1000</v>
      </c>
      <c r="AG10" s="129">
        <v>76</v>
      </c>
      <c r="AH10" s="129">
        <v>1344</v>
      </c>
      <c r="AI10" s="509">
        <f>AG10*(AH10-932)*67.58/10^7</f>
        <v>0.21160649600000001</v>
      </c>
      <c r="AJ10" s="129">
        <v>60</v>
      </c>
      <c r="AK10" s="129"/>
      <c r="AL10" s="129"/>
      <c r="AM10" s="509">
        <f>AK10*(AL10-998)*67.91/10^7</f>
        <v>0</v>
      </c>
      <c r="AN10" s="129">
        <v>20</v>
      </c>
      <c r="AO10" s="129">
        <v>49</v>
      </c>
      <c r="AP10" s="129">
        <v>1356</v>
      </c>
      <c r="AQ10" s="509">
        <f>AO10*(AP10-1021)*68.01/10^7</f>
        <v>0.11163841500000002</v>
      </c>
      <c r="AR10" s="129">
        <v>1000</v>
      </c>
      <c r="AS10" s="129">
        <v>99</v>
      </c>
      <c r="AT10" s="129">
        <v>1346</v>
      </c>
      <c r="AU10" s="509">
        <f>AS10*(AT10-1106)*67.01/10^7</f>
        <v>0.15921576000000001</v>
      </c>
      <c r="AV10" s="129">
        <v>20</v>
      </c>
      <c r="AW10" s="129"/>
      <c r="AX10" s="129"/>
      <c r="AY10" s="509">
        <f>AW10*(AX10-998)*66.69/10^7</f>
        <v>0</v>
      </c>
      <c r="AZ10" s="23">
        <f t="shared" si="4"/>
        <v>1118</v>
      </c>
      <c r="BA10" s="23">
        <f t="shared" si="4"/>
        <v>1077</v>
      </c>
      <c r="BB10" s="509">
        <f t="shared" si="15"/>
        <v>2.8165272954999994</v>
      </c>
      <c r="BC10" s="23">
        <f t="shared" si="16"/>
        <v>2160</v>
      </c>
      <c r="BD10" s="257">
        <f t="shared" si="16"/>
        <v>500</v>
      </c>
      <c r="BE10" s="257">
        <f t="shared" si="17"/>
        <v>1.2831402330000001</v>
      </c>
      <c r="BF10" s="257">
        <f t="shared" si="18"/>
        <v>1100</v>
      </c>
      <c r="BG10" s="23">
        <f t="shared" si="18"/>
        <v>96</v>
      </c>
      <c r="BH10" s="257">
        <f t="shared" si="19"/>
        <v>0.28607717600000004</v>
      </c>
      <c r="BI10" s="23">
        <f t="shared" si="20"/>
        <v>1040</v>
      </c>
      <c r="BJ10" s="23">
        <f t="shared" si="20"/>
        <v>148</v>
      </c>
      <c r="BK10" s="257">
        <f t="shared" si="21"/>
        <v>0.27085417500000003</v>
      </c>
      <c r="BL10" s="23">
        <f t="shared" si="22"/>
        <v>5418</v>
      </c>
      <c r="BM10" s="23">
        <f t="shared" si="5"/>
        <v>1821</v>
      </c>
      <c r="BN10" s="257">
        <f t="shared" si="5"/>
        <v>4.6565988794999997</v>
      </c>
      <c r="BO10" s="466">
        <f t="shared" si="23"/>
        <v>0.33610188261351054</v>
      </c>
      <c r="BP10" s="472"/>
      <c r="BQ10" s="23">
        <f t="shared" si="6"/>
        <v>3318</v>
      </c>
      <c r="BR10" s="23" t="e">
        <f>E10+I10+M10+Q10+U10+Y10+#REF!</f>
        <v>#REF!</v>
      </c>
      <c r="BS10" s="466">
        <f t="shared" si="7"/>
        <v>0</v>
      </c>
      <c r="BT10" s="509">
        <f t="shared" si="8"/>
        <v>4.0996675284999995</v>
      </c>
      <c r="BU10" s="466">
        <f t="shared" si="9"/>
        <v>0</v>
      </c>
    </row>
    <row r="11" spans="1:73" ht="12.6" customHeight="1">
      <c r="A11" s="254" t="s">
        <v>130</v>
      </c>
      <c r="B11" s="129">
        <f t="shared" si="0"/>
        <v>0</v>
      </c>
      <c r="C11" s="257"/>
      <c r="D11" s="129"/>
      <c r="E11" s="129"/>
      <c r="F11" s="129"/>
      <c r="G11" s="509">
        <f t="shared" si="1"/>
        <v>0</v>
      </c>
      <c r="H11" s="129"/>
      <c r="I11" s="129"/>
      <c r="J11" s="129"/>
      <c r="K11" s="509">
        <f t="shared" si="2"/>
        <v>0</v>
      </c>
      <c r="L11" s="129"/>
      <c r="M11" s="129"/>
      <c r="N11" s="129"/>
      <c r="O11" s="509">
        <f t="shared" si="3"/>
        <v>0</v>
      </c>
      <c r="P11" s="129"/>
      <c r="Q11" s="129"/>
      <c r="R11" s="129"/>
      <c r="S11" s="509">
        <f t="shared" si="10"/>
        <v>0</v>
      </c>
      <c r="T11" s="129"/>
      <c r="U11" s="129"/>
      <c r="V11" s="129">
        <f t="shared" si="11"/>
        <v>0</v>
      </c>
      <c r="W11" s="509">
        <f t="shared" si="12"/>
        <v>0</v>
      </c>
      <c r="X11" s="129"/>
      <c r="Y11" s="129"/>
      <c r="Z11" s="129"/>
      <c r="AA11" s="509">
        <f t="shared" si="13"/>
        <v>0</v>
      </c>
      <c r="AB11" s="129"/>
      <c r="AC11" s="129"/>
      <c r="AD11" s="129"/>
      <c r="AE11" s="509">
        <f t="shared" ref="AE11:AE18" si="24">AC11*(AD11-G11)*66.73/10^7</f>
        <v>0</v>
      </c>
      <c r="AF11" s="129"/>
      <c r="AG11" s="129"/>
      <c r="AH11" s="129"/>
      <c r="AI11" s="509">
        <f t="shared" ref="AI11:AI18" si="25">AG11*(AH11-K11)*67.58/10^7</f>
        <v>0</v>
      </c>
      <c r="AJ11" s="129"/>
      <c r="AK11" s="129"/>
      <c r="AL11" s="129"/>
      <c r="AM11" s="509">
        <f t="shared" ref="AM11:AM18" si="26">AK11*(AL11-O11)*67.91/10^7</f>
        <v>0</v>
      </c>
      <c r="AN11" s="129"/>
      <c r="AO11" s="129"/>
      <c r="AP11" s="129"/>
      <c r="AQ11" s="509">
        <f t="shared" ref="AQ11:AQ18" si="27">AO11*(AP11-S11)*68.01/10^7</f>
        <v>0</v>
      </c>
      <c r="AR11" s="129"/>
      <c r="AS11" s="129"/>
      <c r="AT11" s="129"/>
      <c r="AU11" s="509">
        <f t="shared" ref="AU11:AU18" si="28">AS11*(AT11-W11)*67.01/10^7</f>
        <v>0</v>
      </c>
      <c r="AV11" s="129"/>
      <c r="AW11" s="129"/>
      <c r="AX11" s="129"/>
      <c r="AY11" s="509">
        <f t="shared" ref="AY11:AY18" si="29">AW11*(AX11-AA11)*66.69/10^7</f>
        <v>0</v>
      </c>
      <c r="AZ11" s="23">
        <f t="shared" si="4"/>
        <v>0</v>
      </c>
      <c r="BA11" s="23">
        <f t="shared" si="4"/>
        <v>0</v>
      </c>
      <c r="BB11" s="509">
        <f t="shared" si="15"/>
        <v>0</v>
      </c>
      <c r="BC11" s="23">
        <f t="shared" si="16"/>
        <v>0</v>
      </c>
      <c r="BD11" s="257">
        <f t="shared" si="16"/>
        <v>0</v>
      </c>
      <c r="BE11" s="257">
        <f t="shared" si="17"/>
        <v>0</v>
      </c>
      <c r="BF11" s="257">
        <f t="shared" si="18"/>
        <v>0</v>
      </c>
      <c r="BG11" s="23">
        <f t="shared" si="18"/>
        <v>0</v>
      </c>
      <c r="BH11" s="257">
        <f t="shared" si="19"/>
        <v>0</v>
      </c>
      <c r="BI11" s="23">
        <f t="shared" si="20"/>
        <v>0</v>
      </c>
      <c r="BJ11" s="23">
        <f t="shared" si="20"/>
        <v>0</v>
      </c>
      <c r="BK11" s="257">
        <f t="shared" si="21"/>
        <v>0</v>
      </c>
      <c r="BL11" s="23">
        <f t="shared" si="22"/>
        <v>0</v>
      </c>
      <c r="BM11" s="23">
        <f t="shared" si="5"/>
        <v>0</v>
      </c>
      <c r="BN11" s="257">
        <f t="shared" si="5"/>
        <v>0</v>
      </c>
      <c r="BO11" s="466">
        <f t="shared" si="23"/>
        <v>0</v>
      </c>
      <c r="BP11" s="472"/>
      <c r="BQ11" s="23">
        <f t="shared" si="6"/>
        <v>0</v>
      </c>
      <c r="BR11" s="23" t="e">
        <f>E11+I11+M11+Q11+U11+Y11+#REF!</f>
        <v>#REF!</v>
      </c>
      <c r="BS11" s="466">
        <f t="shared" si="7"/>
        <v>0</v>
      </c>
      <c r="BT11" s="509">
        <f t="shared" si="8"/>
        <v>0</v>
      </c>
      <c r="BU11" s="466">
        <f t="shared" si="9"/>
        <v>0</v>
      </c>
    </row>
    <row r="12" spans="1:73" ht="12.6" customHeight="1">
      <c r="A12" s="254" t="s">
        <v>131</v>
      </c>
      <c r="B12" s="129">
        <f t="shared" si="0"/>
        <v>0</v>
      </c>
      <c r="C12" s="257">
        <v>143.1</v>
      </c>
      <c r="D12" s="507"/>
      <c r="E12" s="507"/>
      <c r="F12" s="507"/>
      <c r="G12" s="509">
        <f t="shared" si="1"/>
        <v>0</v>
      </c>
      <c r="H12" s="507"/>
      <c r="I12" s="507"/>
      <c r="J12" s="507"/>
      <c r="K12" s="509">
        <f t="shared" si="2"/>
        <v>0</v>
      </c>
      <c r="L12" s="507"/>
      <c r="M12" s="507"/>
      <c r="N12" s="507"/>
      <c r="O12" s="509">
        <f t="shared" si="3"/>
        <v>0</v>
      </c>
      <c r="P12" s="507"/>
      <c r="Q12" s="507"/>
      <c r="R12" s="507"/>
      <c r="S12" s="509">
        <f t="shared" si="10"/>
        <v>0</v>
      </c>
      <c r="T12" s="507"/>
      <c r="U12" s="507"/>
      <c r="V12" s="507">
        <f t="shared" si="11"/>
        <v>0</v>
      </c>
      <c r="W12" s="509">
        <f t="shared" si="12"/>
        <v>0</v>
      </c>
      <c r="X12" s="507"/>
      <c r="Y12" s="507"/>
      <c r="Z12" s="507"/>
      <c r="AA12" s="509">
        <f t="shared" si="13"/>
        <v>0</v>
      </c>
      <c r="AB12" s="507"/>
      <c r="AC12" s="507"/>
      <c r="AD12" s="507"/>
      <c r="AE12" s="509">
        <f t="shared" si="24"/>
        <v>0</v>
      </c>
      <c r="AF12" s="507"/>
      <c r="AG12" s="507"/>
      <c r="AH12" s="507"/>
      <c r="AI12" s="509">
        <f t="shared" si="25"/>
        <v>0</v>
      </c>
      <c r="AJ12" s="507"/>
      <c r="AK12" s="507"/>
      <c r="AL12" s="507"/>
      <c r="AM12" s="509">
        <f t="shared" si="26"/>
        <v>0</v>
      </c>
      <c r="AN12" s="507"/>
      <c r="AO12" s="507"/>
      <c r="AP12" s="507"/>
      <c r="AQ12" s="509">
        <f t="shared" si="27"/>
        <v>0</v>
      </c>
      <c r="AR12" s="507"/>
      <c r="AS12" s="507"/>
      <c r="AT12" s="507"/>
      <c r="AU12" s="509">
        <f t="shared" si="28"/>
        <v>0</v>
      </c>
      <c r="AV12" s="507"/>
      <c r="AW12" s="507"/>
      <c r="AX12" s="507"/>
      <c r="AY12" s="509">
        <f t="shared" si="29"/>
        <v>0</v>
      </c>
      <c r="AZ12" s="23">
        <f t="shared" si="4"/>
        <v>0</v>
      </c>
      <c r="BA12" s="23">
        <f t="shared" si="4"/>
        <v>0</v>
      </c>
      <c r="BB12" s="509">
        <f t="shared" si="15"/>
        <v>0</v>
      </c>
      <c r="BC12" s="23">
        <f t="shared" si="16"/>
        <v>0</v>
      </c>
      <c r="BD12" s="257">
        <f t="shared" si="16"/>
        <v>0</v>
      </c>
      <c r="BE12" s="257">
        <f t="shared" si="17"/>
        <v>0</v>
      </c>
      <c r="BF12" s="257">
        <f t="shared" si="18"/>
        <v>0</v>
      </c>
      <c r="BG12" s="23">
        <f t="shared" si="18"/>
        <v>0</v>
      </c>
      <c r="BH12" s="257">
        <f t="shared" si="19"/>
        <v>0</v>
      </c>
      <c r="BI12" s="23">
        <f t="shared" si="20"/>
        <v>0</v>
      </c>
      <c r="BJ12" s="23">
        <f t="shared" si="20"/>
        <v>0</v>
      </c>
      <c r="BK12" s="257">
        <f t="shared" si="21"/>
        <v>0</v>
      </c>
      <c r="BL12" s="23">
        <f t="shared" si="22"/>
        <v>0</v>
      </c>
      <c r="BM12" s="23">
        <f t="shared" si="5"/>
        <v>0</v>
      </c>
      <c r="BN12" s="257">
        <f t="shared" si="5"/>
        <v>0</v>
      </c>
      <c r="BO12" s="466">
        <f t="shared" si="23"/>
        <v>0</v>
      </c>
      <c r="BP12" s="472"/>
      <c r="BQ12" s="23">
        <f t="shared" si="6"/>
        <v>0</v>
      </c>
      <c r="BR12" s="23" t="e">
        <f>E12+I12+M12+Q12+U12+Y12+#REF!</f>
        <v>#REF!</v>
      </c>
      <c r="BS12" s="466">
        <f t="shared" si="7"/>
        <v>0</v>
      </c>
      <c r="BT12" s="509">
        <f t="shared" si="8"/>
        <v>0</v>
      </c>
      <c r="BU12" s="466">
        <f t="shared" si="9"/>
        <v>0</v>
      </c>
    </row>
    <row r="13" spans="1:73" ht="12.6" customHeight="1">
      <c r="A13" s="254" t="s">
        <v>48</v>
      </c>
      <c r="B13" s="129">
        <f t="shared" si="0"/>
        <v>840</v>
      </c>
      <c r="C13" s="257"/>
      <c r="D13" s="507">
        <v>40</v>
      </c>
      <c r="E13" s="507">
        <v>63</v>
      </c>
      <c r="F13" s="507">
        <v>1323.3</v>
      </c>
      <c r="G13" s="509">
        <f>E13*(F13-652)*66.47/10^7</f>
        <v>0.28111425929999995</v>
      </c>
      <c r="H13" s="507">
        <v>100</v>
      </c>
      <c r="I13" s="507">
        <v>113</v>
      </c>
      <c r="J13" s="507">
        <v>1325.1</v>
      </c>
      <c r="K13" s="509">
        <f>I13*(J13-943)*66.91/10^7</f>
        <v>0.28889931429999993</v>
      </c>
      <c r="L13" s="507">
        <v>40</v>
      </c>
      <c r="M13" s="507">
        <v>27</v>
      </c>
      <c r="N13" s="507">
        <v>1218.0999999999999</v>
      </c>
      <c r="O13" s="509">
        <f>M13*(N13-937)*67.28/10^7</f>
        <v>5.1063501599999984E-2</v>
      </c>
      <c r="P13" s="507">
        <v>100</v>
      </c>
      <c r="Q13" s="507">
        <v>55</v>
      </c>
      <c r="R13" s="507">
        <v>1326</v>
      </c>
      <c r="S13" s="509">
        <f>Q13*(R13-996)*67.2/10^7</f>
        <v>0.12196799999999999</v>
      </c>
      <c r="T13" s="507">
        <v>60</v>
      </c>
      <c r="U13" s="507">
        <v>73</v>
      </c>
      <c r="V13" s="507">
        <v>1385</v>
      </c>
      <c r="W13" s="509">
        <f>U13*(V13-1046)*66.93/10^7</f>
        <v>0.16563167100000001</v>
      </c>
      <c r="X13" s="507">
        <v>100</v>
      </c>
      <c r="Y13" s="507"/>
      <c r="Z13" s="507"/>
      <c r="AA13" s="509">
        <f t="shared" si="13"/>
        <v>0</v>
      </c>
      <c r="AB13" s="507">
        <v>40</v>
      </c>
      <c r="AC13" s="507">
        <v>36</v>
      </c>
      <c r="AD13" s="507">
        <v>1322</v>
      </c>
      <c r="AE13" s="509">
        <f>AC13*(AD13-1040)*66.73/10^7</f>
        <v>6.7744296000000009E-2</v>
      </c>
      <c r="AF13" s="507">
        <v>80</v>
      </c>
      <c r="AG13" s="507">
        <v>99</v>
      </c>
      <c r="AH13" s="507">
        <v>1378</v>
      </c>
      <c r="AI13" s="509">
        <f>AG13*(AH13-1032)*67.58/10^7</f>
        <v>0.231488532</v>
      </c>
      <c r="AJ13" s="507">
        <v>60</v>
      </c>
      <c r="AK13" s="507">
        <v>75</v>
      </c>
      <c r="AL13" s="507">
        <v>1343</v>
      </c>
      <c r="AM13" s="509">
        <f>AK13*(AL13-1041)*67.91/10^7</f>
        <v>0.15381615000000001</v>
      </c>
      <c r="AN13" s="507">
        <v>100</v>
      </c>
      <c r="AO13" s="507">
        <v>40</v>
      </c>
      <c r="AP13" s="507">
        <v>1364</v>
      </c>
      <c r="AQ13" s="509">
        <f>AO13*(AP13-1060)*68.01/10^7</f>
        <v>8.2700160000000009E-2</v>
      </c>
      <c r="AR13" s="507">
        <v>60</v>
      </c>
      <c r="AS13" s="507">
        <v>270</v>
      </c>
      <c r="AT13" s="507">
        <v>1358</v>
      </c>
      <c r="AU13" s="509">
        <f>AS13*(AT13-1147)*67.01/10^7</f>
        <v>0.38175597</v>
      </c>
      <c r="AV13" s="507">
        <v>60</v>
      </c>
      <c r="AW13" s="507"/>
      <c r="AX13" s="507"/>
      <c r="AY13" s="509">
        <f t="shared" si="29"/>
        <v>0</v>
      </c>
      <c r="AZ13" s="23">
        <f t="shared" si="4"/>
        <v>180</v>
      </c>
      <c r="BA13" s="23">
        <f t="shared" si="4"/>
        <v>203</v>
      </c>
      <c r="BB13" s="509">
        <f t="shared" si="15"/>
        <v>0.62107707519999977</v>
      </c>
      <c r="BC13" s="23">
        <f t="shared" si="16"/>
        <v>260</v>
      </c>
      <c r="BD13" s="257">
        <f t="shared" si="16"/>
        <v>128</v>
      </c>
      <c r="BE13" s="257">
        <f t="shared" si="17"/>
        <v>0.287599671</v>
      </c>
      <c r="BF13" s="257">
        <f t="shared" si="18"/>
        <v>180</v>
      </c>
      <c r="BG13" s="23">
        <f t="shared" si="18"/>
        <v>210</v>
      </c>
      <c r="BH13" s="257">
        <f t="shared" si="19"/>
        <v>0.45304897799999999</v>
      </c>
      <c r="BI13" s="23">
        <f t="shared" si="20"/>
        <v>220</v>
      </c>
      <c r="BJ13" s="23">
        <f t="shared" si="20"/>
        <v>310</v>
      </c>
      <c r="BK13" s="257">
        <f t="shared" si="21"/>
        <v>0.46445613000000002</v>
      </c>
      <c r="BL13" s="23">
        <f t="shared" si="22"/>
        <v>840</v>
      </c>
      <c r="BM13" s="23">
        <f t="shared" si="5"/>
        <v>851</v>
      </c>
      <c r="BN13" s="257">
        <f t="shared" si="5"/>
        <v>1.8261818541999999</v>
      </c>
      <c r="BO13" s="466">
        <f t="shared" si="23"/>
        <v>1.013095238095238</v>
      </c>
      <c r="BP13" s="472"/>
      <c r="BQ13" s="23">
        <f t="shared" si="6"/>
        <v>480</v>
      </c>
      <c r="BR13" s="23" t="e">
        <f>E13+I13+M13+Q13+U13+Y13+#REF!</f>
        <v>#REF!</v>
      </c>
      <c r="BS13" s="466">
        <f t="shared" si="7"/>
        <v>0</v>
      </c>
      <c r="BT13" s="509">
        <f t="shared" si="8"/>
        <v>0.90867674619999972</v>
      </c>
      <c r="BU13" s="466">
        <f t="shared" si="9"/>
        <v>0</v>
      </c>
    </row>
    <row r="14" spans="1:73" ht="12.6" customHeight="1">
      <c r="A14" s="254" t="s">
        <v>49</v>
      </c>
      <c r="B14" s="129">
        <f t="shared" si="0"/>
        <v>0</v>
      </c>
      <c r="C14" s="257"/>
      <c r="D14" s="129"/>
      <c r="E14" s="129"/>
      <c r="F14" s="129"/>
      <c r="G14" s="509">
        <f t="shared" si="1"/>
        <v>0</v>
      </c>
      <c r="H14" s="129"/>
      <c r="I14" s="129"/>
      <c r="J14" s="129"/>
      <c r="K14" s="509">
        <f t="shared" si="2"/>
        <v>0</v>
      </c>
      <c r="L14" s="129"/>
      <c r="M14" s="129"/>
      <c r="N14" s="129"/>
      <c r="O14" s="509">
        <f t="shared" si="3"/>
        <v>0</v>
      </c>
      <c r="P14" s="129"/>
      <c r="Q14" s="129"/>
      <c r="R14" s="129"/>
      <c r="S14" s="509">
        <f t="shared" si="10"/>
        <v>0</v>
      </c>
      <c r="T14" s="129"/>
      <c r="U14" s="129"/>
      <c r="V14" s="129">
        <f t="shared" si="11"/>
        <v>0</v>
      </c>
      <c r="W14" s="509">
        <f t="shared" si="12"/>
        <v>0</v>
      </c>
      <c r="X14" s="129"/>
      <c r="Y14" s="129"/>
      <c r="Z14" s="129"/>
      <c r="AA14" s="509">
        <f t="shared" si="13"/>
        <v>0</v>
      </c>
      <c r="AB14" s="129"/>
      <c r="AC14" s="129"/>
      <c r="AD14" s="129"/>
      <c r="AE14" s="509">
        <f t="shared" si="24"/>
        <v>0</v>
      </c>
      <c r="AF14" s="129"/>
      <c r="AG14" s="129"/>
      <c r="AH14" s="129"/>
      <c r="AI14" s="509">
        <f t="shared" si="25"/>
        <v>0</v>
      </c>
      <c r="AJ14" s="129"/>
      <c r="AK14" s="129"/>
      <c r="AL14" s="129"/>
      <c r="AM14" s="509">
        <f t="shared" si="26"/>
        <v>0</v>
      </c>
      <c r="AN14" s="129"/>
      <c r="AO14" s="129"/>
      <c r="AP14" s="129"/>
      <c r="AQ14" s="509">
        <f t="shared" si="27"/>
        <v>0</v>
      </c>
      <c r="AR14" s="129"/>
      <c r="AS14" s="129"/>
      <c r="AT14" s="129"/>
      <c r="AU14" s="509">
        <f t="shared" si="28"/>
        <v>0</v>
      </c>
      <c r="AV14" s="129"/>
      <c r="AW14" s="129"/>
      <c r="AX14" s="129"/>
      <c r="AY14" s="509">
        <f t="shared" si="29"/>
        <v>0</v>
      </c>
      <c r="AZ14" s="23">
        <f t="shared" si="4"/>
        <v>0</v>
      </c>
      <c r="BA14" s="23">
        <f t="shared" si="4"/>
        <v>0</v>
      </c>
      <c r="BB14" s="509">
        <f t="shared" si="15"/>
        <v>0</v>
      </c>
      <c r="BC14" s="23">
        <f t="shared" si="16"/>
        <v>0</v>
      </c>
      <c r="BD14" s="257">
        <f t="shared" si="16"/>
        <v>0</v>
      </c>
      <c r="BE14" s="257">
        <f t="shared" si="17"/>
        <v>0</v>
      </c>
      <c r="BF14" s="257">
        <f t="shared" si="18"/>
        <v>0</v>
      </c>
      <c r="BG14" s="23">
        <f t="shared" si="18"/>
        <v>0</v>
      </c>
      <c r="BH14" s="257">
        <f t="shared" si="19"/>
        <v>0</v>
      </c>
      <c r="BI14" s="23">
        <f t="shared" si="20"/>
        <v>0</v>
      </c>
      <c r="BJ14" s="23">
        <f t="shared" si="20"/>
        <v>0</v>
      </c>
      <c r="BK14" s="257">
        <f t="shared" si="21"/>
        <v>0</v>
      </c>
      <c r="BL14" s="23">
        <f t="shared" si="22"/>
        <v>0</v>
      </c>
      <c r="BM14" s="23">
        <f t="shared" si="5"/>
        <v>0</v>
      </c>
      <c r="BN14" s="257">
        <f t="shared" si="5"/>
        <v>0</v>
      </c>
      <c r="BO14" s="466">
        <f t="shared" si="23"/>
        <v>0</v>
      </c>
      <c r="BP14" s="472"/>
      <c r="BQ14" s="23">
        <f t="shared" si="6"/>
        <v>0</v>
      </c>
      <c r="BR14" s="23" t="e">
        <f>E14+I14+M14+Q14+U14+Y14+#REF!</f>
        <v>#REF!</v>
      </c>
      <c r="BS14" s="466">
        <f t="shared" si="7"/>
        <v>0</v>
      </c>
      <c r="BT14" s="509">
        <f t="shared" si="8"/>
        <v>0</v>
      </c>
      <c r="BU14" s="466">
        <f t="shared" si="9"/>
        <v>0</v>
      </c>
    </row>
    <row r="15" spans="1:73" ht="12.6" customHeight="1">
      <c r="A15" s="254" t="s">
        <v>47</v>
      </c>
      <c r="B15" s="129">
        <f t="shared" si="0"/>
        <v>2325</v>
      </c>
      <c r="C15" s="257">
        <v>149.1</v>
      </c>
      <c r="D15" s="129">
        <v>220</v>
      </c>
      <c r="E15" s="129">
        <v>223</v>
      </c>
      <c r="F15" s="129">
        <v>1253.3</v>
      </c>
      <c r="G15" s="509">
        <f t="shared" si="1"/>
        <v>1.6367346802</v>
      </c>
      <c r="H15" s="129">
        <v>180</v>
      </c>
      <c r="I15" s="129">
        <v>133</v>
      </c>
      <c r="J15" s="129">
        <v>1308.3</v>
      </c>
      <c r="K15" s="509">
        <f t="shared" si="2"/>
        <v>1.0315755575999999</v>
      </c>
      <c r="L15" s="129">
        <v>200</v>
      </c>
      <c r="M15" s="129">
        <v>146</v>
      </c>
      <c r="N15" s="129">
        <v>1455.6</v>
      </c>
      <c r="O15" s="509">
        <f t="shared" si="3"/>
        <v>1.283359272</v>
      </c>
      <c r="P15" s="129">
        <v>180</v>
      </c>
      <c r="Q15" s="129">
        <v>96</v>
      </c>
      <c r="R15" s="129">
        <v>1384</v>
      </c>
      <c r="S15" s="509">
        <f t="shared" si="10"/>
        <v>0.79665868800000006</v>
      </c>
      <c r="T15" s="129">
        <v>200</v>
      </c>
      <c r="U15" s="129">
        <v>74</v>
      </c>
      <c r="V15" s="129">
        <v>1289</v>
      </c>
      <c r="W15" s="509">
        <f t="shared" si="12"/>
        <v>0.56457195180000008</v>
      </c>
      <c r="X15" s="129">
        <v>200</v>
      </c>
      <c r="Y15" s="129">
        <v>469</v>
      </c>
      <c r="Z15" s="129">
        <v>1302</v>
      </c>
      <c r="AA15" s="509">
        <f t="shared" si="13"/>
        <v>3.6059956569000007</v>
      </c>
      <c r="AB15" s="129">
        <v>180</v>
      </c>
      <c r="AC15" s="129">
        <v>118</v>
      </c>
      <c r="AD15" s="129">
        <v>1332</v>
      </c>
      <c r="AE15" s="509">
        <f t="shared" si="24"/>
        <v>1.047546660198525</v>
      </c>
      <c r="AF15" s="129">
        <v>200</v>
      </c>
      <c r="AG15" s="129">
        <v>62</v>
      </c>
      <c r="AH15" s="129">
        <v>1362</v>
      </c>
      <c r="AI15" s="509">
        <f t="shared" si="25"/>
        <v>0.57024032596766783</v>
      </c>
      <c r="AJ15" s="129">
        <v>180</v>
      </c>
      <c r="AK15" s="129">
        <v>196</v>
      </c>
      <c r="AL15" s="129">
        <v>1378</v>
      </c>
      <c r="AM15" s="509">
        <f t="shared" si="26"/>
        <v>1.8324594106080339</v>
      </c>
      <c r="AN15" s="129">
        <v>200</v>
      </c>
      <c r="AO15" s="129">
        <v>497</v>
      </c>
      <c r="AP15" s="129">
        <v>1362</v>
      </c>
      <c r="AQ15" s="509">
        <f t="shared" si="27"/>
        <v>4.6009993303586674</v>
      </c>
      <c r="AR15" s="129">
        <v>180</v>
      </c>
      <c r="AS15" s="129">
        <v>38</v>
      </c>
      <c r="AT15" s="129">
        <v>1490</v>
      </c>
      <c r="AU15" s="509">
        <f t="shared" si="28"/>
        <v>0.3792668585273376</v>
      </c>
      <c r="AV15" s="129">
        <v>205</v>
      </c>
      <c r="AW15" s="129"/>
      <c r="AX15" s="129"/>
      <c r="AY15" s="509">
        <f t="shared" si="29"/>
        <v>0</v>
      </c>
      <c r="AZ15" s="23">
        <f t="shared" si="4"/>
        <v>600</v>
      </c>
      <c r="BA15" s="23">
        <f t="shared" si="4"/>
        <v>502</v>
      </c>
      <c r="BB15" s="509">
        <f t="shared" si="15"/>
        <v>3.9516695098000003</v>
      </c>
      <c r="BC15" s="23">
        <f t="shared" si="16"/>
        <v>580</v>
      </c>
      <c r="BD15" s="257">
        <f t="shared" si="16"/>
        <v>639</v>
      </c>
      <c r="BE15" s="257">
        <f t="shared" si="17"/>
        <v>4.9672262967000007</v>
      </c>
      <c r="BF15" s="257">
        <f t="shared" si="18"/>
        <v>560</v>
      </c>
      <c r="BG15" s="23">
        <f t="shared" si="18"/>
        <v>376</v>
      </c>
      <c r="BH15" s="257">
        <f t="shared" si="19"/>
        <v>3.4502463967742267</v>
      </c>
      <c r="BI15" s="23">
        <f t="shared" si="20"/>
        <v>585</v>
      </c>
      <c r="BJ15" s="23">
        <f t="shared" si="20"/>
        <v>535</v>
      </c>
      <c r="BK15" s="257">
        <f t="shared" si="21"/>
        <v>4.9802661888860049</v>
      </c>
      <c r="BL15" s="23">
        <f t="shared" si="22"/>
        <v>2325</v>
      </c>
      <c r="BM15" s="23">
        <f t="shared" si="5"/>
        <v>2052</v>
      </c>
      <c r="BN15" s="257">
        <f t="shared" si="5"/>
        <v>17.349408392160232</v>
      </c>
      <c r="BO15" s="466">
        <f t="shared" si="23"/>
        <v>0.88258064516129031</v>
      </c>
      <c r="BP15" s="472"/>
      <c r="BQ15" s="23">
        <f t="shared" si="6"/>
        <v>1360</v>
      </c>
      <c r="BR15" s="23" t="e">
        <f>E15+I15+M15+Q15+U15+Y15+#REF!</f>
        <v>#REF!</v>
      </c>
      <c r="BS15" s="466">
        <f t="shared" si="7"/>
        <v>0</v>
      </c>
      <c r="BT15" s="509">
        <f t="shared" si="8"/>
        <v>8.9188958065000019</v>
      </c>
      <c r="BU15" s="466">
        <f t="shared" si="9"/>
        <v>0</v>
      </c>
    </row>
    <row r="16" spans="1:73" ht="12.6" customHeight="1">
      <c r="A16" s="254" t="s">
        <v>51</v>
      </c>
      <c r="B16" s="129">
        <f t="shared" si="0"/>
        <v>4202</v>
      </c>
      <c r="C16" s="257"/>
      <c r="D16" s="129"/>
      <c r="E16" s="129"/>
      <c r="F16" s="129"/>
      <c r="G16" s="509">
        <f t="shared" si="1"/>
        <v>0</v>
      </c>
      <c r="H16" s="129">
        <v>202</v>
      </c>
      <c r="I16" s="129"/>
      <c r="J16" s="129"/>
      <c r="K16" s="509">
        <f t="shared" si="2"/>
        <v>0</v>
      </c>
      <c r="L16" s="129">
        <v>400</v>
      </c>
      <c r="M16" s="129">
        <v>82</v>
      </c>
      <c r="N16" s="129">
        <v>1523.4</v>
      </c>
      <c r="O16" s="509">
        <f>M16*(N16-1436)*67.28/10^7</f>
        <v>4.8218230400000055E-2</v>
      </c>
      <c r="P16" s="129">
        <v>400</v>
      </c>
      <c r="Q16" s="129">
        <v>20</v>
      </c>
      <c r="R16" s="129">
        <v>1567</v>
      </c>
      <c r="S16" s="509">
        <f>Q16*(R16-1436)*67.2/10^7</f>
        <v>1.7606400000000001E-2</v>
      </c>
      <c r="T16" s="129">
        <v>400</v>
      </c>
      <c r="U16" s="129">
        <v>521</v>
      </c>
      <c r="V16" s="129">
        <v>1353</v>
      </c>
      <c r="W16" s="509">
        <f t="shared" si="12"/>
        <v>4.7179827090000002</v>
      </c>
      <c r="X16" s="129">
        <v>400</v>
      </c>
      <c r="Y16" s="129">
        <v>5</v>
      </c>
      <c r="Z16" s="129">
        <v>1457</v>
      </c>
      <c r="AA16" s="509">
        <f t="shared" si="13"/>
        <v>4.8583664999999998E-2</v>
      </c>
      <c r="AB16" s="129">
        <v>400</v>
      </c>
      <c r="AC16" s="129"/>
      <c r="AD16" s="129"/>
      <c r="AE16" s="509">
        <f t="shared" si="24"/>
        <v>0</v>
      </c>
      <c r="AF16" s="129">
        <v>400</v>
      </c>
      <c r="AG16" s="129">
        <v>17</v>
      </c>
      <c r="AH16" s="129">
        <v>1571</v>
      </c>
      <c r="AI16" s="509">
        <f t="shared" si="25"/>
        <v>0.180485906</v>
      </c>
      <c r="AJ16" s="129">
        <v>400</v>
      </c>
      <c r="AK16" s="129">
        <v>20</v>
      </c>
      <c r="AL16" s="129">
        <v>1521</v>
      </c>
      <c r="AM16" s="509">
        <f t="shared" si="26"/>
        <v>0.20657567099994706</v>
      </c>
      <c r="AN16" s="129">
        <v>400</v>
      </c>
      <c r="AO16" s="129">
        <v>20</v>
      </c>
      <c r="AP16" s="129">
        <v>1479</v>
      </c>
      <c r="AQ16" s="509">
        <f t="shared" si="27"/>
        <v>0.20117118517747201</v>
      </c>
      <c r="AR16" s="129">
        <v>400</v>
      </c>
      <c r="AS16" s="129"/>
      <c r="AT16" s="129"/>
      <c r="AU16" s="509">
        <f t="shared" si="28"/>
        <v>0</v>
      </c>
      <c r="AV16" s="129">
        <v>400</v>
      </c>
      <c r="AW16" s="129"/>
      <c r="AX16" s="129"/>
      <c r="AY16" s="509">
        <f t="shared" si="29"/>
        <v>0</v>
      </c>
      <c r="AZ16" s="23">
        <f t="shared" si="4"/>
        <v>602</v>
      </c>
      <c r="BA16" s="23">
        <f t="shared" si="4"/>
        <v>82</v>
      </c>
      <c r="BB16" s="509">
        <f t="shared" si="15"/>
        <v>4.8218230400000055E-2</v>
      </c>
      <c r="BC16" s="23">
        <f t="shared" si="16"/>
        <v>1200</v>
      </c>
      <c r="BD16" s="257">
        <f t="shared" si="16"/>
        <v>546</v>
      </c>
      <c r="BE16" s="257">
        <f t="shared" si="17"/>
        <v>4.784172774</v>
      </c>
      <c r="BF16" s="257">
        <f t="shared" si="18"/>
        <v>1200</v>
      </c>
      <c r="BG16" s="23">
        <f t="shared" si="18"/>
        <v>37</v>
      </c>
      <c r="BH16" s="257">
        <f t="shared" si="19"/>
        <v>0.38706157699994703</v>
      </c>
      <c r="BI16" s="23">
        <f t="shared" si="20"/>
        <v>1200</v>
      </c>
      <c r="BJ16" s="23">
        <f t="shared" si="20"/>
        <v>20</v>
      </c>
      <c r="BK16" s="257">
        <f t="shared" si="21"/>
        <v>0.20117118517747201</v>
      </c>
      <c r="BL16" s="23">
        <f t="shared" si="22"/>
        <v>4202</v>
      </c>
      <c r="BM16" s="23">
        <f t="shared" si="5"/>
        <v>685</v>
      </c>
      <c r="BN16" s="257">
        <f t="shared" si="5"/>
        <v>5.4206237665774193</v>
      </c>
      <c r="BO16" s="466">
        <f t="shared" si="23"/>
        <v>0.16301761066158971</v>
      </c>
      <c r="BP16" s="472"/>
      <c r="BQ16" s="23">
        <f t="shared" si="6"/>
        <v>2202</v>
      </c>
      <c r="BR16" s="23" t="e">
        <f>E16+I16+M16+Q16+U16+Y16+#REF!</f>
        <v>#REF!</v>
      </c>
      <c r="BS16" s="466">
        <f t="shared" si="7"/>
        <v>0</v>
      </c>
      <c r="BT16" s="509">
        <f t="shared" si="8"/>
        <v>4.8323910043999998</v>
      </c>
      <c r="BU16" s="466">
        <f t="shared" si="9"/>
        <v>0</v>
      </c>
    </row>
    <row r="17" spans="1:73" ht="12.6" customHeight="1">
      <c r="A17" s="254" t="s">
        <v>54</v>
      </c>
      <c r="B17" s="129">
        <f t="shared" si="0"/>
        <v>350</v>
      </c>
      <c r="C17" s="257"/>
      <c r="D17" s="129">
        <v>40</v>
      </c>
      <c r="E17" s="129">
        <v>0</v>
      </c>
      <c r="F17" s="129"/>
      <c r="G17" s="509">
        <f t="shared" si="1"/>
        <v>0</v>
      </c>
      <c r="H17" s="129">
        <v>20</v>
      </c>
      <c r="I17" s="129">
        <v>40</v>
      </c>
      <c r="J17" s="129">
        <v>3755.3</v>
      </c>
      <c r="K17" s="509">
        <f>I17*(J17-2432)*66.91/10^7</f>
        <v>0.35416801200000003</v>
      </c>
      <c r="L17" s="129">
        <v>40</v>
      </c>
      <c r="M17" s="129">
        <v>20</v>
      </c>
      <c r="N17" s="129">
        <v>3728.8</v>
      </c>
      <c r="O17" s="509">
        <f>M17*(N17-2422)*67.28/10^7</f>
        <v>0.17584300800000002</v>
      </c>
      <c r="P17" s="129">
        <v>40</v>
      </c>
      <c r="Q17" s="129"/>
      <c r="R17" s="129"/>
      <c r="S17" s="509">
        <f t="shared" si="10"/>
        <v>0</v>
      </c>
      <c r="T17" s="129">
        <v>20</v>
      </c>
      <c r="U17" s="129">
        <v>92</v>
      </c>
      <c r="V17" s="129">
        <v>3759</v>
      </c>
      <c r="W17" s="509">
        <f>84*(V17-2429)*66.93/10^7</f>
        <v>0.74774196000000004</v>
      </c>
      <c r="X17" s="129">
        <v>40</v>
      </c>
      <c r="Y17" s="129"/>
      <c r="Z17" s="129"/>
      <c r="AA17" s="509">
        <f t="shared" si="13"/>
        <v>0</v>
      </c>
      <c r="AB17" s="129">
        <v>40</v>
      </c>
      <c r="AC17" s="129">
        <v>92</v>
      </c>
      <c r="AD17" s="129">
        <v>3730</v>
      </c>
      <c r="AE17" s="509">
        <f>AC17*(AD17-2659)*66.73/10^7</f>
        <v>0.65750403600000007</v>
      </c>
      <c r="AF17" s="129">
        <v>20</v>
      </c>
      <c r="AG17" s="129">
        <v>1</v>
      </c>
      <c r="AH17" s="129">
        <v>3771</v>
      </c>
      <c r="AI17" s="509">
        <f>AG17*(AH17-2606)*67.58/10^7</f>
        <v>7.8730699999999994E-3</v>
      </c>
      <c r="AJ17" s="129">
        <v>20</v>
      </c>
      <c r="AK17" s="129"/>
      <c r="AL17" s="129"/>
      <c r="AM17" s="509">
        <f t="shared" si="26"/>
        <v>0</v>
      </c>
      <c r="AN17" s="129">
        <v>20</v>
      </c>
      <c r="AO17" s="129">
        <v>168</v>
      </c>
      <c r="AP17" s="129">
        <v>3739</v>
      </c>
      <c r="AQ17" s="509">
        <f>AO17*(AP17-2543)*68.01/10^7</f>
        <v>1.3665113280000001</v>
      </c>
      <c r="AR17" s="129">
        <v>40</v>
      </c>
      <c r="AS17" s="129"/>
      <c r="AT17" s="129"/>
      <c r="AU17" s="509">
        <f t="shared" si="28"/>
        <v>0</v>
      </c>
      <c r="AV17" s="129">
        <v>10</v>
      </c>
      <c r="AW17" s="129"/>
      <c r="AX17" s="129"/>
      <c r="AY17" s="509">
        <f t="shared" si="29"/>
        <v>0</v>
      </c>
      <c r="AZ17" s="23">
        <f t="shared" si="4"/>
        <v>100</v>
      </c>
      <c r="BA17" s="23">
        <f t="shared" si="4"/>
        <v>60</v>
      </c>
      <c r="BB17" s="509">
        <f t="shared" si="15"/>
        <v>0.53001102000000011</v>
      </c>
      <c r="BC17" s="23">
        <f t="shared" si="16"/>
        <v>100</v>
      </c>
      <c r="BD17" s="257">
        <f t="shared" si="16"/>
        <v>92</v>
      </c>
      <c r="BE17" s="257">
        <f t="shared" si="17"/>
        <v>0.74774196000000004</v>
      </c>
      <c r="BF17" s="257">
        <f t="shared" si="18"/>
        <v>80</v>
      </c>
      <c r="BG17" s="23">
        <f t="shared" si="18"/>
        <v>93</v>
      </c>
      <c r="BH17" s="257">
        <f t="shared" si="19"/>
        <v>0.66537710600000011</v>
      </c>
      <c r="BI17" s="23">
        <f t="shared" si="20"/>
        <v>70</v>
      </c>
      <c r="BJ17" s="23">
        <f t="shared" si="20"/>
        <v>168</v>
      </c>
      <c r="BK17" s="257">
        <f t="shared" si="21"/>
        <v>1.3665113280000001</v>
      </c>
      <c r="BL17" s="23">
        <f t="shared" si="22"/>
        <v>350</v>
      </c>
      <c r="BM17" s="23">
        <f t="shared" si="5"/>
        <v>413</v>
      </c>
      <c r="BN17" s="257">
        <f t="shared" si="5"/>
        <v>3.3096414140000006</v>
      </c>
      <c r="BO17" s="466">
        <f t="shared" si="23"/>
        <v>1.18</v>
      </c>
      <c r="BP17" s="472"/>
      <c r="BQ17" s="23">
        <f t="shared" si="6"/>
        <v>240</v>
      </c>
      <c r="BR17" s="23" t="e">
        <f>E17+I17+M17+Q17+U17+Y17+#REF!</f>
        <v>#REF!</v>
      </c>
      <c r="BS17" s="466">
        <f t="shared" si="7"/>
        <v>0</v>
      </c>
      <c r="BT17" s="509">
        <f t="shared" si="8"/>
        <v>1.2777529800000003</v>
      </c>
      <c r="BU17" s="466">
        <f t="shared" si="9"/>
        <v>0</v>
      </c>
    </row>
    <row r="18" spans="1:73" ht="12.6" customHeight="1">
      <c r="A18" s="254" t="s">
        <v>55</v>
      </c>
      <c r="B18" s="129">
        <f t="shared" si="0"/>
        <v>0</v>
      </c>
      <c r="C18" s="257"/>
      <c r="D18" s="129"/>
      <c r="E18" s="129"/>
      <c r="F18" s="129"/>
      <c r="G18" s="509">
        <f t="shared" si="1"/>
        <v>0</v>
      </c>
      <c r="H18" s="129"/>
      <c r="I18" s="129"/>
      <c r="J18" s="129"/>
      <c r="K18" s="509">
        <f t="shared" si="2"/>
        <v>0</v>
      </c>
      <c r="L18" s="129"/>
      <c r="M18" s="129"/>
      <c r="N18" s="129"/>
      <c r="O18" s="509">
        <f t="shared" si="3"/>
        <v>0</v>
      </c>
      <c r="P18" s="129"/>
      <c r="Q18" s="129"/>
      <c r="R18" s="129"/>
      <c r="S18" s="509">
        <f t="shared" si="10"/>
        <v>0</v>
      </c>
      <c r="T18" s="129"/>
      <c r="U18" s="129"/>
      <c r="V18" s="129">
        <f t="shared" si="11"/>
        <v>0</v>
      </c>
      <c r="W18" s="509">
        <f t="shared" si="12"/>
        <v>0</v>
      </c>
      <c r="X18" s="129"/>
      <c r="Y18" s="129"/>
      <c r="Z18" s="129"/>
      <c r="AA18" s="509">
        <f t="shared" si="13"/>
        <v>0</v>
      </c>
      <c r="AB18" s="129"/>
      <c r="AC18" s="129"/>
      <c r="AD18" s="129"/>
      <c r="AE18" s="509">
        <f t="shared" si="24"/>
        <v>0</v>
      </c>
      <c r="AF18" s="129"/>
      <c r="AG18" s="129"/>
      <c r="AH18" s="129"/>
      <c r="AI18" s="509">
        <f t="shared" si="25"/>
        <v>0</v>
      </c>
      <c r="AJ18" s="129"/>
      <c r="AK18" s="129"/>
      <c r="AL18" s="129"/>
      <c r="AM18" s="509">
        <f t="shared" si="26"/>
        <v>0</v>
      </c>
      <c r="AN18" s="129"/>
      <c r="AO18" s="129"/>
      <c r="AP18" s="129"/>
      <c r="AQ18" s="509">
        <f t="shared" si="27"/>
        <v>0</v>
      </c>
      <c r="AR18" s="129"/>
      <c r="AS18" s="129"/>
      <c r="AT18" s="129"/>
      <c r="AU18" s="509">
        <f t="shared" si="28"/>
        <v>0</v>
      </c>
      <c r="AV18" s="129"/>
      <c r="AW18" s="129"/>
      <c r="AX18" s="129"/>
      <c r="AY18" s="509">
        <f t="shared" si="29"/>
        <v>0</v>
      </c>
      <c r="AZ18" s="23">
        <f t="shared" si="4"/>
        <v>0</v>
      </c>
      <c r="BA18" s="23">
        <f t="shared" si="4"/>
        <v>0</v>
      </c>
      <c r="BB18" s="509">
        <f t="shared" si="15"/>
        <v>0</v>
      </c>
      <c r="BC18" s="23">
        <f t="shared" si="16"/>
        <v>0</v>
      </c>
      <c r="BD18" s="257">
        <f t="shared" si="16"/>
        <v>0</v>
      </c>
      <c r="BE18" s="257">
        <f t="shared" si="17"/>
        <v>0</v>
      </c>
      <c r="BF18" s="257">
        <f t="shared" si="18"/>
        <v>0</v>
      </c>
      <c r="BG18" s="23">
        <f t="shared" si="18"/>
        <v>0</v>
      </c>
      <c r="BH18" s="257">
        <f t="shared" si="19"/>
        <v>0</v>
      </c>
      <c r="BI18" s="23">
        <f t="shared" si="20"/>
        <v>0</v>
      </c>
      <c r="BJ18" s="23">
        <f t="shared" si="20"/>
        <v>0</v>
      </c>
      <c r="BK18" s="257">
        <f t="shared" si="21"/>
        <v>0</v>
      </c>
      <c r="BL18" s="23">
        <f t="shared" si="22"/>
        <v>0</v>
      </c>
      <c r="BM18" s="23">
        <f t="shared" si="5"/>
        <v>0</v>
      </c>
      <c r="BN18" s="257">
        <f t="shared" si="5"/>
        <v>0</v>
      </c>
      <c r="BO18" s="466">
        <f t="shared" si="23"/>
        <v>0</v>
      </c>
      <c r="BP18" s="472"/>
      <c r="BQ18" s="23">
        <f t="shared" si="6"/>
        <v>0</v>
      </c>
      <c r="BR18" s="23" t="e">
        <f>E18+I18+M18+Q18+U18+Y18+#REF!</f>
        <v>#REF!</v>
      </c>
      <c r="BS18" s="466">
        <f t="shared" si="7"/>
        <v>0</v>
      </c>
      <c r="BT18" s="509">
        <f t="shared" si="8"/>
        <v>0</v>
      </c>
      <c r="BU18" s="466">
        <f t="shared" si="9"/>
        <v>0</v>
      </c>
    </row>
    <row r="19" spans="1:73" ht="12.6" customHeight="1">
      <c r="A19" s="254" t="s">
        <v>50</v>
      </c>
      <c r="B19" s="129">
        <f t="shared" si="0"/>
        <v>60</v>
      </c>
      <c r="C19" s="257"/>
      <c r="D19" s="129"/>
      <c r="E19" s="129"/>
      <c r="F19" s="129"/>
      <c r="G19" s="509">
        <f t="shared" si="1"/>
        <v>0</v>
      </c>
      <c r="H19" s="129"/>
      <c r="I19" s="129"/>
      <c r="J19" s="129"/>
      <c r="K19" s="509">
        <f t="shared" si="2"/>
        <v>0</v>
      </c>
      <c r="L19" s="129"/>
      <c r="M19" s="129"/>
      <c r="N19" s="129"/>
      <c r="O19" s="509">
        <f t="shared" si="3"/>
        <v>0</v>
      </c>
      <c r="P19" s="129"/>
      <c r="Q19" s="129"/>
      <c r="R19" s="129"/>
      <c r="S19" s="509">
        <f t="shared" si="10"/>
        <v>0</v>
      </c>
      <c r="T19" s="129"/>
      <c r="U19" s="129">
        <v>40</v>
      </c>
      <c r="V19" s="129">
        <v>3445</v>
      </c>
      <c r="W19" s="509">
        <f>U19*(V19-1881)*66.93/10^7</f>
        <v>0.41871408000000004</v>
      </c>
      <c r="X19" s="129">
        <v>20</v>
      </c>
      <c r="Y19" s="129">
        <v>20</v>
      </c>
      <c r="Z19" s="129">
        <v>3432</v>
      </c>
      <c r="AA19" s="509">
        <f>Y19*(Z19-1954)*66.69/10^7</f>
        <v>0.19713564</v>
      </c>
      <c r="AB19" s="129"/>
      <c r="AC19" s="129"/>
      <c r="AD19" s="129"/>
      <c r="AE19" s="509">
        <f>AC19*(AD19-1954)*66.73/10^7</f>
        <v>0</v>
      </c>
      <c r="AF19" s="129">
        <v>20</v>
      </c>
      <c r="AG19" s="129"/>
      <c r="AH19" s="129"/>
      <c r="AI19" s="509">
        <f>AG19*(AH19-1954)*67.58/10^7</f>
        <v>0</v>
      </c>
      <c r="AJ19" s="129"/>
      <c r="AK19" s="129"/>
      <c r="AL19" s="129"/>
      <c r="AM19" s="509">
        <f>AK19*(AL19-1954)*67.91/10^7</f>
        <v>0</v>
      </c>
      <c r="AN19" s="129">
        <v>20</v>
      </c>
      <c r="AO19" s="129">
        <v>60</v>
      </c>
      <c r="AP19" s="129">
        <v>3412</v>
      </c>
      <c r="AQ19" s="509">
        <f>AO19*(AP19-2012)*68.01/10^7</f>
        <v>0.57128400000000001</v>
      </c>
      <c r="AR19" s="129"/>
      <c r="AS19" s="129">
        <v>60</v>
      </c>
      <c r="AT19" s="129">
        <v>3260</v>
      </c>
      <c r="AU19" s="509">
        <f>AS19*(AT19-2047)*67.01/10^7</f>
        <v>0.48769878000000005</v>
      </c>
      <c r="AV19" s="129"/>
      <c r="AW19" s="129"/>
      <c r="AX19" s="129"/>
      <c r="AY19" s="509">
        <f>AW19*(AX19-1954)*66.69/10^7</f>
        <v>0</v>
      </c>
      <c r="AZ19" s="23">
        <f t="shared" si="4"/>
        <v>0</v>
      </c>
      <c r="BA19" s="23">
        <f t="shared" si="4"/>
        <v>0</v>
      </c>
      <c r="BB19" s="509">
        <f t="shared" si="15"/>
        <v>0</v>
      </c>
      <c r="BC19" s="23">
        <f t="shared" si="16"/>
        <v>20</v>
      </c>
      <c r="BD19" s="257">
        <f t="shared" si="16"/>
        <v>60</v>
      </c>
      <c r="BE19" s="257">
        <f t="shared" si="17"/>
        <v>0.61584972000000004</v>
      </c>
      <c r="BF19" s="257">
        <f t="shared" si="18"/>
        <v>20</v>
      </c>
      <c r="BG19" s="23">
        <f t="shared" si="18"/>
        <v>0</v>
      </c>
      <c r="BH19" s="257">
        <f t="shared" si="19"/>
        <v>0</v>
      </c>
      <c r="BI19" s="23">
        <f t="shared" si="20"/>
        <v>20</v>
      </c>
      <c r="BJ19" s="23">
        <f t="shared" si="20"/>
        <v>120</v>
      </c>
      <c r="BK19" s="257">
        <f t="shared" si="21"/>
        <v>1.05898278</v>
      </c>
      <c r="BL19" s="23">
        <f t="shared" si="22"/>
        <v>60</v>
      </c>
      <c r="BM19" s="23">
        <f t="shared" si="5"/>
        <v>180</v>
      </c>
      <c r="BN19" s="257">
        <f t="shared" si="5"/>
        <v>1.6748324999999999</v>
      </c>
      <c r="BO19" s="466">
        <f t="shared" si="23"/>
        <v>3</v>
      </c>
      <c r="BP19" s="472"/>
      <c r="BQ19" s="23">
        <f t="shared" si="6"/>
        <v>20</v>
      </c>
      <c r="BR19" s="23" t="e">
        <f>E19+I19+M19+Q19+U19+Y19+#REF!</f>
        <v>#REF!</v>
      </c>
      <c r="BS19" s="466">
        <f t="shared" si="7"/>
        <v>0</v>
      </c>
      <c r="BT19" s="509">
        <f t="shared" si="8"/>
        <v>0.61584972000000004</v>
      </c>
      <c r="BU19" s="466">
        <f t="shared" si="9"/>
        <v>0</v>
      </c>
    </row>
    <row r="20" spans="1:73" ht="12.6" customHeight="1">
      <c r="A20" s="503" t="s">
        <v>84</v>
      </c>
      <c r="B20" s="129">
        <f t="shared" si="0"/>
        <v>0</v>
      </c>
      <c r="C20" s="257"/>
      <c r="D20" s="129"/>
      <c r="E20" s="129"/>
      <c r="F20" s="129"/>
      <c r="G20" s="509">
        <f t="shared" si="1"/>
        <v>0</v>
      </c>
      <c r="H20" s="129"/>
      <c r="I20" s="129"/>
      <c r="J20" s="129"/>
      <c r="K20" s="509">
        <f t="shared" si="2"/>
        <v>0</v>
      </c>
      <c r="L20" s="129"/>
      <c r="M20" s="129"/>
      <c r="N20" s="129"/>
      <c r="O20" s="509">
        <f t="shared" si="3"/>
        <v>0</v>
      </c>
      <c r="P20" s="129"/>
      <c r="Q20" s="129"/>
      <c r="R20" s="129"/>
      <c r="S20" s="509">
        <f t="shared" si="10"/>
        <v>0</v>
      </c>
      <c r="T20" s="129"/>
      <c r="U20" s="129"/>
      <c r="V20" s="129">
        <f t="shared" si="11"/>
        <v>0</v>
      </c>
      <c r="W20" s="509">
        <f t="shared" si="12"/>
        <v>0</v>
      </c>
      <c r="X20" s="129"/>
      <c r="Y20" s="129"/>
      <c r="Z20" s="129"/>
      <c r="AA20" s="509">
        <f t="shared" si="13"/>
        <v>0</v>
      </c>
      <c r="AB20" s="129"/>
      <c r="AC20" s="129"/>
      <c r="AD20" s="129"/>
      <c r="AE20" s="509">
        <f>AC20*(AD20-G20)*66.73/10^7</f>
        <v>0</v>
      </c>
      <c r="AF20" s="129"/>
      <c r="AG20" s="129"/>
      <c r="AH20" s="129"/>
      <c r="AI20" s="509">
        <f>AG20*(AH20-K20)*67.58/10^7</f>
        <v>0</v>
      </c>
      <c r="AJ20" s="129"/>
      <c r="AK20" s="129"/>
      <c r="AL20" s="129"/>
      <c r="AM20" s="509">
        <f>AK20*(AL20-O20)*67.91/10^7</f>
        <v>0</v>
      </c>
      <c r="AN20" s="129"/>
      <c r="AO20" s="129"/>
      <c r="AP20" s="129"/>
      <c r="AQ20" s="509">
        <f>AO20*(AP20-S20)*68.01/10^7</f>
        <v>0</v>
      </c>
      <c r="AR20" s="129"/>
      <c r="AS20" s="129"/>
      <c r="AT20" s="129"/>
      <c r="AU20" s="509">
        <f>AS20*(AT20-W20)*67.01/10^7</f>
        <v>0</v>
      </c>
      <c r="AV20" s="129"/>
      <c r="AW20" s="129"/>
      <c r="AX20" s="129"/>
      <c r="AY20" s="509">
        <f t="shared" ref="AY20" si="30">AW20*(AX20-AA20)*66.69/10^7</f>
        <v>0</v>
      </c>
      <c r="AZ20" s="23">
        <f t="shared" si="4"/>
        <v>0</v>
      </c>
      <c r="BA20" s="23">
        <f t="shared" si="4"/>
        <v>0</v>
      </c>
      <c r="BB20" s="509">
        <f t="shared" si="15"/>
        <v>0</v>
      </c>
      <c r="BC20" s="23">
        <f t="shared" si="16"/>
        <v>0</v>
      </c>
      <c r="BD20" s="257">
        <f t="shared" si="16"/>
        <v>0</v>
      </c>
      <c r="BE20" s="257">
        <f t="shared" si="17"/>
        <v>0</v>
      </c>
      <c r="BF20" s="257">
        <f t="shared" si="18"/>
        <v>0</v>
      </c>
      <c r="BG20" s="23">
        <f t="shared" si="18"/>
        <v>0</v>
      </c>
      <c r="BH20" s="257">
        <f t="shared" si="19"/>
        <v>0</v>
      </c>
      <c r="BI20" s="23">
        <f t="shared" si="20"/>
        <v>0</v>
      </c>
      <c r="BJ20" s="23">
        <f t="shared" si="20"/>
        <v>0</v>
      </c>
      <c r="BK20" s="257">
        <f t="shared" si="21"/>
        <v>0</v>
      </c>
      <c r="BL20" s="23">
        <f t="shared" si="22"/>
        <v>0</v>
      </c>
      <c r="BM20" s="23">
        <f t="shared" si="5"/>
        <v>0</v>
      </c>
      <c r="BN20" s="257">
        <f t="shared" si="5"/>
        <v>0</v>
      </c>
      <c r="BO20" s="466">
        <f t="shared" si="23"/>
        <v>0</v>
      </c>
      <c r="BP20" s="472"/>
      <c r="BQ20" s="23">
        <f t="shared" si="6"/>
        <v>0</v>
      </c>
      <c r="BR20" s="23" t="e">
        <f>E20+I20+M20+Q20+U20+Y20+#REF!</f>
        <v>#REF!</v>
      </c>
      <c r="BS20" s="466">
        <f t="shared" si="7"/>
        <v>0</v>
      </c>
      <c r="BT20" s="509">
        <f t="shared" si="8"/>
        <v>0</v>
      </c>
      <c r="BU20" s="466">
        <f t="shared" si="9"/>
        <v>0</v>
      </c>
    </row>
    <row r="21" spans="1:73" ht="12.6" customHeight="1">
      <c r="A21" s="254" t="s">
        <v>111</v>
      </c>
      <c r="B21" s="129">
        <f t="shared" si="0"/>
        <v>420</v>
      </c>
      <c r="C21" s="257"/>
      <c r="D21" s="129">
        <v>20</v>
      </c>
      <c r="E21" s="129">
        <v>18</v>
      </c>
      <c r="F21" s="129">
        <v>1628</v>
      </c>
      <c r="G21" s="509">
        <f>E21*(F21-1409)*66.47/10^7</f>
        <v>2.6202474E-2</v>
      </c>
      <c r="H21" s="129">
        <v>38</v>
      </c>
      <c r="I21" s="129"/>
      <c r="J21" s="129"/>
      <c r="K21" s="509">
        <f t="shared" si="2"/>
        <v>0</v>
      </c>
      <c r="L21" s="129">
        <v>38</v>
      </c>
      <c r="M21" s="129">
        <v>55</v>
      </c>
      <c r="N21" s="129">
        <v>1641.9</v>
      </c>
      <c r="O21" s="509">
        <f>M21*(N21-1535)*67.28/10^7</f>
        <v>3.9557276000000037E-2</v>
      </c>
      <c r="P21" s="129">
        <v>38</v>
      </c>
      <c r="Q21" s="129"/>
      <c r="R21" s="129"/>
      <c r="S21" s="509">
        <f t="shared" si="10"/>
        <v>0</v>
      </c>
      <c r="T21" s="129">
        <v>20</v>
      </c>
      <c r="U21" s="129">
        <v>55</v>
      </c>
      <c r="V21" s="129">
        <v>1672</v>
      </c>
      <c r="W21" s="509">
        <f>U21*(V21-1381)*66.93/10^7</f>
        <v>0.10712146500000001</v>
      </c>
      <c r="X21" s="129">
        <v>38</v>
      </c>
      <c r="Y21" s="129">
        <v>18</v>
      </c>
      <c r="Z21" s="129">
        <v>1631</v>
      </c>
      <c r="AA21" s="509">
        <f>Y21*(Z21-1465)*66.69/10^7</f>
        <v>1.9926972000000001E-2</v>
      </c>
      <c r="AB21" s="129">
        <v>38</v>
      </c>
      <c r="AC21" s="129">
        <v>38</v>
      </c>
      <c r="AD21" s="129">
        <v>1675</v>
      </c>
      <c r="AE21" s="509">
        <f>AC21*(AD21-1477)*66.73/10^7</f>
        <v>5.0207651999999998E-2</v>
      </c>
      <c r="AF21" s="129">
        <v>38</v>
      </c>
      <c r="AG21" s="129">
        <v>40</v>
      </c>
      <c r="AH21" s="129">
        <v>1712</v>
      </c>
      <c r="AI21" s="509">
        <f>AG21*(AH21-1487)*67.58/10^7</f>
        <v>6.0822000000000001E-2</v>
      </c>
      <c r="AJ21" s="129">
        <v>38</v>
      </c>
      <c r="AK21" s="129">
        <v>19</v>
      </c>
      <c r="AL21" s="129">
        <v>1626</v>
      </c>
      <c r="AM21" s="509">
        <f>AK21*(AL21-1500)*67.91/10^7</f>
        <v>1.6257653999999996E-2</v>
      </c>
      <c r="AN21" s="129">
        <v>38</v>
      </c>
      <c r="AO21" s="129">
        <v>18</v>
      </c>
      <c r="AP21" s="129">
        <v>1632</v>
      </c>
      <c r="AQ21" s="509">
        <f>AO21*(AP21-1508)*68.01/10^7</f>
        <v>1.5179832000000001E-2</v>
      </c>
      <c r="AR21" s="129">
        <v>38</v>
      </c>
      <c r="AS21" s="129">
        <v>98</v>
      </c>
      <c r="AT21" s="129">
        <v>1744</v>
      </c>
      <c r="AU21" s="509">
        <f>AS21*(AT21-1522)*67.01/10^7</f>
        <v>0.145786956</v>
      </c>
      <c r="AV21" s="129">
        <v>38</v>
      </c>
      <c r="AW21" s="129"/>
      <c r="AX21" s="129"/>
      <c r="AY21" s="509">
        <f>AW21*(AX21-1465)*66.69/10^7</f>
        <v>0</v>
      </c>
      <c r="AZ21" s="23">
        <f t="shared" si="4"/>
        <v>96</v>
      </c>
      <c r="BA21" s="23">
        <f t="shared" si="4"/>
        <v>73</v>
      </c>
      <c r="BB21" s="509">
        <f t="shared" si="15"/>
        <v>6.5759750000000033E-2</v>
      </c>
      <c r="BC21" s="23">
        <f t="shared" si="16"/>
        <v>96</v>
      </c>
      <c r="BD21" s="257">
        <f t="shared" si="16"/>
        <v>73</v>
      </c>
      <c r="BE21" s="257">
        <f t="shared" si="17"/>
        <v>0.12704843700000001</v>
      </c>
      <c r="BF21" s="257">
        <f t="shared" si="18"/>
        <v>114</v>
      </c>
      <c r="BG21" s="23">
        <f t="shared" si="18"/>
        <v>97</v>
      </c>
      <c r="BH21" s="257">
        <f t="shared" si="19"/>
        <v>0.12728730599999999</v>
      </c>
      <c r="BI21" s="23">
        <f t="shared" si="20"/>
        <v>114</v>
      </c>
      <c r="BJ21" s="23">
        <f t="shared" si="20"/>
        <v>116</v>
      </c>
      <c r="BK21" s="257">
        <f t="shared" si="21"/>
        <v>0.160966788</v>
      </c>
      <c r="BL21" s="23">
        <f t="shared" si="22"/>
        <v>420</v>
      </c>
      <c r="BM21" s="23">
        <f t="shared" si="5"/>
        <v>359</v>
      </c>
      <c r="BN21" s="257">
        <f t="shared" si="5"/>
        <v>0.48106228100000004</v>
      </c>
      <c r="BO21" s="466">
        <f t="shared" si="23"/>
        <v>0.85476190476190472</v>
      </c>
      <c r="BP21" s="472"/>
      <c r="BQ21" s="23">
        <f t="shared" si="6"/>
        <v>230</v>
      </c>
      <c r="BR21" s="23" t="e">
        <f>E21+I21+M21+Q21+U21+Y21+#REF!</f>
        <v>#REF!</v>
      </c>
      <c r="BS21" s="466">
        <f t="shared" si="7"/>
        <v>0</v>
      </c>
      <c r="BT21" s="509">
        <f t="shared" si="8"/>
        <v>0.19280818700000002</v>
      </c>
      <c r="BU21" s="466">
        <f t="shared" si="9"/>
        <v>0</v>
      </c>
    </row>
    <row r="22" spans="1:73" ht="12.6" customHeight="1">
      <c r="A22" s="254" t="s">
        <v>106</v>
      </c>
      <c r="B22" s="129">
        <f t="shared" si="0"/>
        <v>0</v>
      </c>
      <c r="C22" s="257"/>
      <c r="D22" s="129"/>
      <c r="E22" s="129"/>
      <c r="F22" s="129"/>
      <c r="G22" s="509">
        <f t="shared" si="1"/>
        <v>0</v>
      </c>
      <c r="H22" s="129"/>
      <c r="I22" s="129"/>
      <c r="J22" s="129"/>
      <c r="K22" s="509">
        <f t="shared" si="2"/>
        <v>0</v>
      </c>
      <c r="L22" s="129"/>
      <c r="M22" s="129"/>
      <c r="N22" s="129"/>
      <c r="O22" s="509">
        <f t="shared" si="3"/>
        <v>0</v>
      </c>
      <c r="P22" s="129"/>
      <c r="Q22" s="129"/>
      <c r="R22" s="129"/>
      <c r="S22" s="509">
        <f t="shared" si="10"/>
        <v>0</v>
      </c>
      <c r="T22" s="129"/>
      <c r="U22" s="129"/>
      <c r="V22" s="129">
        <f>(T22*U22)/10^6</f>
        <v>0</v>
      </c>
      <c r="W22" s="509">
        <f t="shared" si="12"/>
        <v>0</v>
      </c>
      <c r="X22" s="129"/>
      <c r="Y22" s="129"/>
      <c r="Z22" s="129"/>
      <c r="AA22" s="509">
        <f t="shared" si="13"/>
        <v>0</v>
      </c>
      <c r="AB22" s="129"/>
      <c r="AC22" s="129"/>
      <c r="AD22" s="129"/>
      <c r="AE22" s="509">
        <f>AC22*(AD22-G22)*66.73/10^7</f>
        <v>0</v>
      </c>
      <c r="AF22" s="129"/>
      <c r="AG22" s="129"/>
      <c r="AH22" s="129"/>
      <c r="AI22" s="509">
        <f>AG22*(AH22-K22)*67.58/10^7</f>
        <v>0</v>
      </c>
      <c r="AJ22" s="129"/>
      <c r="AK22" s="129"/>
      <c r="AL22" s="129"/>
      <c r="AM22" s="509">
        <f>AK22*(AL22-O22)*67.91/10^7</f>
        <v>0</v>
      </c>
      <c r="AN22" s="129"/>
      <c r="AO22" s="129"/>
      <c r="AP22" s="129"/>
      <c r="AQ22" s="509">
        <f>AO22*(AP22-S22)*68.01/10^7</f>
        <v>0</v>
      </c>
      <c r="AR22" s="129"/>
      <c r="AS22" s="129"/>
      <c r="AT22" s="129"/>
      <c r="AU22" s="509">
        <f>AS22*(AT22-W22)*67.01/10^7</f>
        <v>0</v>
      </c>
      <c r="AV22" s="129"/>
      <c r="AW22" s="129"/>
      <c r="AX22" s="129"/>
      <c r="AY22" s="509">
        <f t="shared" ref="AY22:AY23" si="31">AW22*(AX22-AA22)*66.69/10^7</f>
        <v>0</v>
      </c>
      <c r="AZ22" s="23">
        <f t="shared" si="4"/>
        <v>0</v>
      </c>
      <c r="BA22" s="23">
        <f t="shared" si="4"/>
        <v>0</v>
      </c>
      <c r="BB22" s="509">
        <f t="shared" si="15"/>
        <v>0</v>
      </c>
      <c r="BC22" s="23">
        <f t="shared" si="16"/>
        <v>0</v>
      </c>
      <c r="BD22" s="257">
        <f t="shared" si="16"/>
        <v>0</v>
      </c>
      <c r="BE22" s="257">
        <f t="shared" si="17"/>
        <v>0</v>
      </c>
      <c r="BF22" s="257">
        <f t="shared" si="18"/>
        <v>0</v>
      </c>
      <c r="BG22" s="23">
        <f t="shared" si="18"/>
        <v>0</v>
      </c>
      <c r="BH22" s="257">
        <f t="shared" si="19"/>
        <v>0</v>
      </c>
      <c r="BI22" s="23">
        <f t="shared" si="20"/>
        <v>0</v>
      </c>
      <c r="BJ22" s="23">
        <f t="shared" si="20"/>
        <v>0</v>
      </c>
      <c r="BK22" s="257">
        <f t="shared" si="21"/>
        <v>0</v>
      </c>
      <c r="BL22" s="23">
        <f t="shared" si="22"/>
        <v>0</v>
      </c>
      <c r="BM22" s="23">
        <f t="shared" si="22"/>
        <v>0</v>
      </c>
      <c r="BN22" s="257">
        <f t="shared" si="22"/>
        <v>0</v>
      </c>
      <c r="BO22" s="466">
        <f t="shared" si="23"/>
        <v>0</v>
      </c>
      <c r="BP22" s="472"/>
      <c r="BQ22" s="23">
        <f t="shared" si="6"/>
        <v>0</v>
      </c>
      <c r="BR22" s="23" t="e">
        <f>E22+I22+M22+Q22+U22+Y22+#REF!</f>
        <v>#REF!</v>
      </c>
      <c r="BS22" s="466">
        <f t="shared" si="7"/>
        <v>0</v>
      </c>
      <c r="BT22" s="509">
        <f t="shared" si="8"/>
        <v>0</v>
      </c>
      <c r="BU22" s="466">
        <f t="shared" si="9"/>
        <v>0</v>
      </c>
    </row>
    <row r="23" spans="1:73" ht="12.6" customHeight="1">
      <c r="A23" s="503" t="s">
        <v>243</v>
      </c>
      <c r="B23" s="129">
        <f t="shared" si="0"/>
        <v>0</v>
      </c>
      <c r="C23" s="257">
        <v>143.1</v>
      </c>
      <c r="D23" s="129"/>
      <c r="E23" s="129"/>
      <c r="F23" s="129"/>
      <c r="G23" s="509">
        <f t="shared" si="1"/>
        <v>0</v>
      </c>
      <c r="H23" s="129"/>
      <c r="I23" s="129"/>
      <c r="J23" s="129"/>
      <c r="K23" s="509">
        <f t="shared" si="2"/>
        <v>0</v>
      </c>
      <c r="L23" s="129"/>
      <c r="M23" s="129"/>
      <c r="N23" s="129"/>
      <c r="O23" s="509">
        <f t="shared" si="3"/>
        <v>0</v>
      </c>
      <c r="P23" s="129"/>
      <c r="Q23" s="129">
        <v>54</v>
      </c>
      <c r="R23" s="129">
        <v>1336</v>
      </c>
      <c r="S23" s="509">
        <f t="shared" si="10"/>
        <v>0.43287955200000006</v>
      </c>
      <c r="T23" s="129"/>
      <c r="U23" s="129">
        <v>180</v>
      </c>
      <c r="V23" s="129">
        <v>1264</v>
      </c>
      <c r="W23" s="509">
        <f t="shared" si="12"/>
        <v>1.3503930660000003</v>
      </c>
      <c r="X23" s="129"/>
      <c r="Y23" s="129">
        <f>40-13</f>
        <v>27</v>
      </c>
      <c r="Z23" s="129">
        <v>1327</v>
      </c>
      <c r="AA23" s="509">
        <f t="shared" si="13"/>
        <v>0.21317658570000003</v>
      </c>
      <c r="AB23" s="129"/>
      <c r="AC23" s="129"/>
      <c r="AD23" s="129"/>
      <c r="AE23" s="509">
        <f>AC23*(AD23-G23)*66.73/10^7</f>
        <v>0</v>
      </c>
      <c r="AF23" s="129"/>
      <c r="AG23" s="129"/>
      <c r="AH23" s="129"/>
      <c r="AI23" s="509">
        <f>AG23*(AH23-K23)*67.58/10^7</f>
        <v>0</v>
      </c>
      <c r="AJ23" s="129"/>
      <c r="AK23" s="129"/>
      <c r="AL23" s="129"/>
      <c r="AM23" s="509">
        <f>AK23*(AL23-O23)*67.91/10^7</f>
        <v>0</v>
      </c>
      <c r="AN23" s="129"/>
      <c r="AO23" s="129"/>
      <c r="AP23" s="129"/>
      <c r="AQ23" s="509">
        <f>AO23*(AP23-S23)*68.01/10^7</f>
        <v>0</v>
      </c>
      <c r="AR23" s="129"/>
      <c r="AS23" s="129"/>
      <c r="AT23" s="129"/>
      <c r="AU23" s="509">
        <f>AS23*(AT23-W23)*67.01/10^7</f>
        <v>0</v>
      </c>
      <c r="AV23" s="129"/>
      <c r="AW23" s="129"/>
      <c r="AX23" s="129"/>
      <c r="AY23" s="509">
        <f t="shared" si="31"/>
        <v>0</v>
      </c>
      <c r="AZ23" s="23">
        <f t="shared" si="4"/>
        <v>0</v>
      </c>
      <c r="BA23" s="23">
        <f t="shared" si="4"/>
        <v>0</v>
      </c>
      <c r="BB23" s="509">
        <f t="shared" si="15"/>
        <v>0</v>
      </c>
      <c r="BC23" s="23">
        <f t="shared" si="16"/>
        <v>0</v>
      </c>
      <c r="BD23" s="257">
        <f t="shared" si="16"/>
        <v>261</v>
      </c>
      <c r="BE23" s="257">
        <f t="shared" si="17"/>
        <v>1.9964492037000003</v>
      </c>
      <c r="BF23" s="257">
        <f t="shared" si="18"/>
        <v>0</v>
      </c>
      <c r="BG23" s="23">
        <f t="shared" si="18"/>
        <v>0</v>
      </c>
      <c r="BH23" s="257">
        <f t="shared" si="19"/>
        <v>0</v>
      </c>
      <c r="BI23" s="23">
        <f t="shared" si="20"/>
        <v>0</v>
      </c>
      <c r="BJ23" s="23">
        <f t="shared" si="20"/>
        <v>0</v>
      </c>
      <c r="BK23" s="257">
        <f t="shared" si="21"/>
        <v>0</v>
      </c>
      <c r="BL23" s="23">
        <f t="shared" si="22"/>
        <v>0</v>
      </c>
      <c r="BM23" s="23">
        <f t="shared" si="22"/>
        <v>261</v>
      </c>
      <c r="BN23" s="257">
        <f t="shared" si="22"/>
        <v>1.9964492037000003</v>
      </c>
      <c r="BO23" s="466">
        <f t="shared" si="23"/>
        <v>0</v>
      </c>
      <c r="BP23" s="472"/>
      <c r="BQ23" s="23">
        <f t="shared" si="6"/>
        <v>0</v>
      </c>
      <c r="BR23" s="23" t="e">
        <f>E23+I23+M23+Q23+U23+Y23+#REF!</f>
        <v>#REF!</v>
      </c>
      <c r="BS23" s="466">
        <f t="shared" si="7"/>
        <v>0</v>
      </c>
      <c r="BT23" s="509">
        <f t="shared" si="8"/>
        <v>1.9964492037000003</v>
      </c>
      <c r="BU23" s="466">
        <f t="shared" si="9"/>
        <v>0</v>
      </c>
    </row>
    <row r="24" spans="1:73" ht="12.6" customHeight="1">
      <c r="A24" s="482" t="s">
        <v>73</v>
      </c>
      <c r="B24" s="457">
        <f>SUM(B6:B23)</f>
        <v>13615</v>
      </c>
      <c r="C24" s="458"/>
      <c r="D24" s="457">
        <f>SUM(D6:D23)</f>
        <v>360</v>
      </c>
      <c r="E24" s="457">
        <f>SUM(E6:E23)</f>
        <v>341</v>
      </c>
      <c r="F24" s="457"/>
      <c r="G24" s="511">
        <f>SUM(G6:G23)</f>
        <v>2.1197748290000002</v>
      </c>
      <c r="H24" s="457">
        <f>SUM(H6:H23)</f>
        <v>1580</v>
      </c>
      <c r="I24" s="457">
        <f>SUM(I6:I23)</f>
        <v>1326</v>
      </c>
      <c r="J24" s="457"/>
      <c r="K24" s="511">
        <f>SUM(K6:K23)</f>
        <v>4.3154467638999989</v>
      </c>
      <c r="L24" s="457">
        <f>SUM(L6:L23)</f>
        <v>756</v>
      </c>
      <c r="M24" s="457">
        <f>SUM(M6:M23)</f>
        <v>330</v>
      </c>
      <c r="N24" s="457"/>
      <c r="O24" s="511">
        <f>SUM(O6:O23)</f>
        <v>1.5980412880000001</v>
      </c>
      <c r="P24" s="457">
        <f>SUM(P6:P23)</f>
        <v>1798</v>
      </c>
      <c r="Q24" s="457">
        <f>SUM(Q6:Q23)</f>
        <v>349</v>
      </c>
      <c r="R24" s="457"/>
      <c r="S24" s="511">
        <f>SUM(S6:S23)</f>
        <v>1.7490883200000003</v>
      </c>
      <c r="T24" s="457">
        <f>SUM(T6:T23)</f>
        <v>780</v>
      </c>
      <c r="U24" s="457">
        <f>SUM(U6:U23)</f>
        <v>1398</v>
      </c>
      <c r="V24" s="457"/>
      <c r="W24" s="511">
        <f>SUM(W6:W23)</f>
        <v>8.9467981428000005</v>
      </c>
      <c r="X24" s="457">
        <f>SUM(X6:X23)</f>
        <v>1838</v>
      </c>
      <c r="Y24" s="457">
        <f>SUM(Y6:Y23)</f>
        <v>552</v>
      </c>
      <c r="Z24" s="457"/>
      <c r="AA24" s="511">
        <f>SUM(AA6:AA23)</f>
        <v>4.1133418326000006</v>
      </c>
      <c r="AB24" s="457">
        <f>SUM(AB6:AB23)</f>
        <v>738</v>
      </c>
      <c r="AC24" s="457">
        <f>SUM(AC6:AC23)</f>
        <v>304</v>
      </c>
      <c r="AD24" s="457"/>
      <c r="AE24" s="511">
        <f>SUM(AE6:AE23)</f>
        <v>1.8974733241985251</v>
      </c>
      <c r="AF24" s="457">
        <f>SUM(AF6:AF23)</f>
        <v>1758</v>
      </c>
      <c r="AG24" s="457">
        <f>SUM(AG6:AG23)</f>
        <v>295</v>
      </c>
      <c r="AH24" s="457"/>
      <c r="AI24" s="511">
        <f>SUM(AI6:AI23)</f>
        <v>1.2625163299676676</v>
      </c>
      <c r="AJ24" s="457">
        <f>SUM(AJ6:AJ23)</f>
        <v>758</v>
      </c>
      <c r="AK24" s="457">
        <f>SUM(AK6:AK23)</f>
        <v>310</v>
      </c>
      <c r="AL24" s="457"/>
      <c r="AM24" s="511">
        <f>SUM(AM6:AM23)</f>
        <v>2.2091088856079808</v>
      </c>
      <c r="AN24" s="457">
        <f>SUM(AN6:AN23)</f>
        <v>798</v>
      </c>
      <c r="AO24" s="457">
        <f>SUM(AO6:AO23)</f>
        <v>852</v>
      </c>
      <c r="AP24" s="457"/>
      <c r="AQ24" s="511">
        <f>SUM(AQ6:AQ23)</f>
        <v>6.9494842505361403</v>
      </c>
      <c r="AR24" s="457">
        <f>SUM(AR6:AR23)</f>
        <v>1718</v>
      </c>
      <c r="AS24" s="457">
        <f>SUM(AS6:AS23)</f>
        <v>565</v>
      </c>
      <c r="AT24" s="457"/>
      <c r="AU24" s="511">
        <f>SUM(AU6:AU23)</f>
        <v>1.5537243245273378</v>
      </c>
      <c r="AV24" s="457">
        <f>SUM(AV6:AV23)</f>
        <v>733</v>
      </c>
      <c r="AW24" s="457">
        <f>SUM(AW6:AW23)</f>
        <v>0</v>
      </c>
      <c r="AX24" s="457"/>
      <c r="AY24" s="511">
        <f>SUM(AY6:AY23)</f>
        <v>0</v>
      </c>
      <c r="AZ24" s="457">
        <f t="shared" ref="AZ24:BN24" si="32">SUM(AZ6:AZ23)</f>
        <v>2696</v>
      </c>
      <c r="BA24" s="458">
        <f t="shared" si="32"/>
        <v>1997</v>
      </c>
      <c r="BB24" s="511">
        <f t="shared" si="32"/>
        <v>8.0332628808999988</v>
      </c>
      <c r="BC24" s="457">
        <f t="shared" si="32"/>
        <v>4416</v>
      </c>
      <c r="BD24" s="458">
        <f t="shared" si="32"/>
        <v>2299</v>
      </c>
      <c r="BE24" s="457">
        <f t="shared" si="32"/>
        <v>14.809228295400002</v>
      </c>
      <c r="BF24" s="457">
        <f t="shared" si="32"/>
        <v>3254</v>
      </c>
      <c r="BG24" s="457">
        <f t="shared" si="32"/>
        <v>909</v>
      </c>
      <c r="BH24" s="458">
        <f t="shared" si="32"/>
        <v>5.3690985397741748</v>
      </c>
      <c r="BI24" s="457">
        <f t="shared" si="32"/>
        <v>3249</v>
      </c>
      <c r="BJ24" s="457">
        <f t="shared" si="32"/>
        <v>1417</v>
      </c>
      <c r="BK24" s="458">
        <f t="shared" si="32"/>
        <v>8.5032085750634749</v>
      </c>
      <c r="BL24" s="458">
        <f t="shared" si="32"/>
        <v>13615</v>
      </c>
      <c r="BM24" s="457">
        <f t="shared" si="32"/>
        <v>6622</v>
      </c>
      <c r="BN24" s="457">
        <f t="shared" si="32"/>
        <v>36.714798291137654</v>
      </c>
      <c r="BO24" s="525">
        <f>IFERROR(BM24/BL24,0)</f>
        <v>0.48637532133676092</v>
      </c>
      <c r="BP24" s="472"/>
      <c r="BQ24" s="457">
        <f t="shared" ref="BQ24:BR24" si="33">SUM(BQ6:BQ23)</f>
        <v>7850</v>
      </c>
      <c r="BR24" s="457" t="e">
        <f t="shared" si="33"/>
        <v>#REF!</v>
      </c>
      <c r="BS24" s="467">
        <f t="shared" ref="BS24:BS70" si="34">IFERROR(BR24/BQ24,0)</f>
        <v>0</v>
      </c>
      <c r="BT24" s="511">
        <f t="shared" ref="BT24" si="35">SUM(BT6:BT23)</f>
        <v>22.842491176299998</v>
      </c>
      <c r="BU24" s="525">
        <f t="shared" si="9"/>
        <v>0</v>
      </c>
    </row>
    <row r="25" spans="1:73" s="31" customFormat="1" ht="12.6" customHeight="1">
      <c r="A25" s="504"/>
      <c r="B25" s="459"/>
      <c r="C25" s="460"/>
      <c r="D25" s="459"/>
      <c r="E25" s="459"/>
      <c r="F25" s="459"/>
      <c r="G25" s="512"/>
      <c r="H25" s="459"/>
      <c r="I25" s="459"/>
      <c r="J25" s="459"/>
      <c r="K25" s="512"/>
      <c r="L25" s="459"/>
      <c r="M25" s="459"/>
      <c r="N25" s="459"/>
      <c r="O25" s="512"/>
      <c r="P25" s="459"/>
      <c r="Q25" s="459"/>
      <c r="R25" s="459"/>
      <c r="S25" s="512"/>
      <c r="T25" s="459"/>
      <c r="U25" s="459"/>
      <c r="V25" s="459"/>
      <c r="W25" s="512"/>
      <c r="X25" s="459"/>
      <c r="Y25" s="459"/>
      <c r="Z25" s="459"/>
      <c r="AA25" s="512"/>
      <c r="AB25" s="459"/>
      <c r="AC25" s="459"/>
      <c r="AD25" s="459"/>
      <c r="AE25" s="512"/>
      <c r="AF25" s="459"/>
      <c r="AG25" s="459"/>
      <c r="AH25" s="459"/>
      <c r="AI25" s="512"/>
      <c r="AJ25" s="459"/>
      <c r="AK25" s="459"/>
      <c r="AL25" s="459"/>
      <c r="AM25" s="512"/>
      <c r="AN25" s="459"/>
      <c r="AO25" s="459"/>
      <c r="AP25" s="459"/>
      <c r="AQ25" s="512"/>
      <c r="AR25" s="459"/>
      <c r="AS25" s="459"/>
      <c r="AT25" s="459"/>
      <c r="AU25" s="512"/>
      <c r="AV25" s="459"/>
      <c r="AW25" s="459"/>
      <c r="AX25" s="459"/>
      <c r="AY25" s="512"/>
      <c r="AZ25" s="459"/>
      <c r="BA25" s="460"/>
      <c r="BB25" s="512"/>
      <c r="BC25" s="459"/>
      <c r="BD25" s="460"/>
      <c r="BE25" s="460"/>
      <c r="BF25" s="460"/>
      <c r="BG25" s="459"/>
      <c r="BH25" s="460"/>
      <c r="BI25" s="459"/>
      <c r="BJ25" s="459"/>
      <c r="BK25" s="460"/>
      <c r="BL25" s="459"/>
      <c r="BM25" s="459"/>
      <c r="BN25" s="460"/>
      <c r="BO25" s="526">
        <f t="shared" ref="BO25:BO80" si="36">IFERROR(BL25/BK25,0)</f>
        <v>0</v>
      </c>
      <c r="BP25" s="473"/>
      <c r="BQ25" s="459"/>
      <c r="BR25" s="492"/>
      <c r="BS25" s="468">
        <f t="shared" si="34"/>
        <v>0</v>
      </c>
      <c r="BT25" s="528"/>
      <c r="BU25" s="526">
        <f t="shared" si="9"/>
        <v>0</v>
      </c>
    </row>
    <row r="26" spans="1:73" ht="12.6" customHeight="1">
      <c r="A26" s="254" t="s">
        <v>33</v>
      </c>
      <c r="B26" s="129">
        <f t="shared" ref="B26:B53" si="37">D26+H26+L26+P26+T26+X26+AB26+AF26+AJ26+AN26+AR26+AV26</f>
        <v>0</v>
      </c>
      <c r="C26" s="257">
        <v>48.428571428571431</v>
      </c>
      <c r="D26" s="129"/>
      <c r="E26" s="129"/>
      <c r="F26" s="129"/>
      <c r="G26" s="509">
        <f t="shared" ref="G26:G53" si="38">E26*(F26-C26)*66.47/10^7</f>
        <v>0</v>
      </c>
      <c r="H26" s="129"/>
      <c r="I26" s="129"/>
      <c r="J26" s="129"/>
      <c r="K26" s="509">
        <f t="shared" ref="K26:K53" si="39">I26*(J26-C26)*66.91/10^7</f>
        <v>0</v>
      </c>
      <c r="L26" s="129"/>
      <c r="M26" s="129"/>
      <c r="N26" s="129"/>
      <c r="O26" s="509">
        <f t="shared" ref="O26:O53" si="40">M26*(N26-C26)*67.28/10^7</f>
        <v>0</v>
      </c>
      <c r="P26" s="129"/>
      <c r="Q26" s="129"/>
      <c r="R26" s="129"/>
      <c r="S26" s="509">
        <f t="shared" ref="S26:S53" si="41">Q26*(R26-C26)*67.2/10^7</f>
        <v>0</v>
      </c>
      <c r="T26" s="129"/>
      <c r="U26" s="129"/>
      <c r="V26" s="129">
        <f t="shared" ref="V26:V52" si="42">(T26*U26)/10^6</f>
        <v>0</v>
      </c>
      <c r="W26" s="509">
        <f t="shared" ref="W26:W53" si="43">U26*(V26-C26)*66.93/10^7</f>
        <v>0</v>
      </c>
      <c r="X26" s="129"/>
      <c r="Y26" s="129"/>
      <c r="Z26" s="129"/>
      <c r="AA26" s="509">
        <f t="shared" ref="AA26:AA53" si="44">Y26*(Z26-C26)*66.69/10^7</f>
        <v>0</v>
      </c>
      <c r="AB26" s="129"/>
      <c r="AC26" s="129"/>
      <c r="AD26" s="129"/>
      <c r="AE26" s="509">
        <f t="shared" ref="AE26:AE53" si="45">AC26*(AD26-G26)*66.73/10^7</f>
        <v>0</v>
      </c>
      <c r="AF26" s="129"/>
      <c r="AG26" s="129"/>
      <c r="AH26" s="129"/>
      <c r="AI26" s="509">
        <f t="shared" ref="AI26:AI53" si="46">AG26*(AH26-K26)*67.58/10^7</f>
        <v>0</v>
      </c>
      <c r="AJ26" s="129"/>
      <c r="AK26" s="129"/>
      <c r="AL26" s="129"/>
      <c r="AM26" s="509">
        <f t="shared" ref="AM26:AM53" si="47">AK26*(AL26-O26)*67.91/10^7</f>
        <v>0</v>
      </c>
      <c r="AN26" s="129"/>
      <c r="AO26" s="129"/>
      <c r="AP26" s="129"/>
      <c r="AQ26" s="509">
        <f t="shared" ref="AQ26:AQ53" si="48">AO26*(AP26-S26)*68.01/10^7</f>
        <v>0</v>
      </c>
      <c r="AR26" s="129"/>
      <c r="AS26" s="129"/>
      <c r="AT26" s="129"/>
      <c r="AU26" s="509">
        <f t="shared" ref="AU26:AU53" si="49">AS26*(AT26-W26)*67.01/10^7</f>
        <v>0</v>
      </c>
      <c r="AV26" s="129"/>
      <c r="AW26" s="129"/>
      <c r="AX26" s="129"/>
      <c r="AY26" s="509">
        <f t="shared" ref="AY26:AY53" si="50">AW26*(AX26-AA26)*66.69/10^7</f>
        <v>0</v>
      </c>
      <c r="AZ26" s="23">
        <f t="shared" ref="AZ26:BA53" si="51">+D26+H26+L26</f>
        <v>0</v>
      </c>
      <c r="BA26" s="23">
        <f t="shared" si="51"/>
        <v>0</v>
      </c>
      <c r="BB26" s="509">
        <f t="shared" ref="BB26:BB53" si="52">+G26+K26+O26</f>
        <v>0</v>
      </c>
      <c r="BC26" s="23">
        <f t="shared" ref="BC26:BD53" si="53">+P26+T26+X26</f>
        <v>0</v>
      </c>
      <c r="BD26" s="257">
        <f t="shared" si="53"/>
        <v>0</v>
      </c>
      <c r="BE26" s="257">
        <f t="shared" ref="BE26:BE53" si="54">S26+W26+AA26</f>
        <v>0</v>
      </c>
      <c r="BF26" s="257">
        <f t="shared" ref="BF26:BG53" si="55">AB26+AF26+AJ26</f>
        <v>0</v>
      </c>
      <c r="BG26" s="23">
        <f t="shared" si="55"/>
        <v>0</v>
      </c>
      <c r="BH26" s="257">
        <f t="shared" ref="BH26:BH53" si="56">AE26+AI26+AM26</f>
        <v>0</v>
      </c>
      <c r="BI26" s="23">
        <f t="shared" ref="BI26:BJ53" si="57">+AN26+AR26+AV26</f>
        <v>0</v>
      </c>
      <c r="BJ26" s="23">
        <f t="shared" si="57"/>
        <v>0</v>
      </c>
      <c r="BK26" s="257">
        <f t="shared" ref="BK26:BK53" si="58">AQ26+AU26+AY26</f>
        <v>0</v>
      </c>
      <c r="BL26" s="23">
        <f t="shared" ref="BL26:BN53" si="59">AZ26+BC26+BF26+BI26</f>
        <v>0</v>
      </c>
      <c r="BM26" s="23">
        <f t="shared" si="59"/>
        <v>0</v>
      </c>
      <c r="BN26" s="257">
        <f t="shared" si="59"/>
        <v>0</v>
      </c>
      <c r="BO26" s="466">
        <f t="shared" ref="BO26:BO53" si="60">IFERROR(BM26/BL26,0)</f>
        <v>0</v>
      </c>
      <c r="BP26" s="472"/>
      <c r="BQ26" s="23">
        <f t="shared" ref="BQ26:BQ53" si="61">D26+H26+L26+P26+T26+X26+AB26</f>
        <v>0</v>
      </c>
      <c r="BR26" s="23" t="e">
        <f>E26+I26+M26+Q26+U26+Y26+#REF!</f>
        <v>#REF!</v>
      </c>
      <c r="BS26" s="466">
        <f t="shared" si="34"/>
        <v>0</v>
      </c>
      <c r="BT26" s="509">
        <f t="shared" ref="BT26:BT53" si="62">G26+K26+O26+S26+W26+AA26</f>
        <v>0</v>
      </c>
      <c r="BU26" s="466">
        <f t="shared" si="9"/>
        <v>0</v>
      </c>
    </row>
    <row r="27" spans="1:73" ht="12.6" customHeight="1">
      <c r="A27" s="254" t="s">
        <v>34</v>
      </c>
      <c r="B27" s="129">
        <f t="shared" si="37"/>
        <v>0</v>
      </c>
      <c r="C27" s="257">
        <v>66.828571428571422</v>
      </c>
      <c r="D27" s="129"/>
      <c r="E27" s="129"/>
      <c r="F27" s="129"/>
      <c r="G27" s="509">
        <f t="shared" si="38"/>
        <v>0</v>
      </c>
      <c r="H27" s="129"/>
      <c r="I27" s="129"/>
      <c r="J27" s="129"/>
      <c r="K27" s="509">
        <f t="shared" si="39"/>
        <v>0</v>
      </c>
      <c r="L27" s="129"/>
      <c r="M27" s="129"/>
      <c r="N27" s="129"/>
      <c r="O27" s="509">
        <f t="shared" si="40"/>
        <v>0</v>
      </c>
      <c r="P27" s="129"/>
      <c r="Q27" s="129"/>
      <c r="R27" s="129"/>
      <c r="S27" s="509">
        <f t="shared" si="41"/>
        <v>0</v>
      </c>
      <c r="T27" s="129"/>
      <c r="U27" s="129"/>
      <c r="V27" s="129">
        <f t="shared" si="42"/>
        <v>0</v>
      </c>
      <c r="W27" s="509">
        <f t="shared" si="43"/>
        <v>0</v>
      </c>
      <c r="X27" s="129"/>
      <c r="Y27" s="129"/>
      <c r="Z27" s="129"/>
      <c r="AA27" s="509">
        <f t="shared" si="44"/>
        <v>0</v>
      </c>
      <c r="AB27" s="129"/>
      <c r="AC27" s="129"/>
      <c r="AD27" s="129"/>
      <c r="AE27" s="509">
        <f t="shared" si="45"/>
        <v>0</v>
      </c>
      <c r="AF27" s="129"/>
      <c r="AG27" s="129"/>
      <c r="AH27" s="129"/>
      <c r="AI27" s="509">
        <f t="shared" si="46"/>
        <v>0</v>
      </c>
      <c r="AJ27" s="129"/>
      <c r="AK27" s="129"/>
      <c r="AL27" s="129"/>
      <c r="AM27" s="509">
        <f t="shared" si="47"/>
        <v>0</v>
      </c>
      <c r="AN27" s="129"/>
      <c r="AO27" s="129"/>
      <c r="AP27" s="129"/>
      <c r="AQ27" s="509">
        <f t="shared" si="48"/>
        <v>0</v>
      </c>
      <c r="AR27" s="129"/>
      <c r="AS27" s="129"/>
      <c r="AT27" s="129"/>
      <c r="AU27" s="509">
        <f t="shared" si="49"/>
        <v>0</v>
      </c>
      <c r="AV27" s="129"/>
      <c r="AW27" s="129"/>
      <c r="AX27" s="129"/>
      <c r="AY27" s="509">
        <f t="shared" si="50"/>
        <v>0</v>
      </c>
      <c r="AZ27" s="23">
        <f t="shared" si="51"/>
        <v>0</v>
      </c>
      <c r="BA27" s="23">
        <f t="shared" si="51"/>
        <v>0</v>
      </c>
      <c r="BB27" s="509">
        <f t="shared" si="52"/>
        <v>0</v>
      </c>
      <c r="BC27" s="23">
        <f t="shared" si="53"/>
        <v>0</v>
      </c>
      <c r="BD27" s="257">
        <f t="shared" si="53"/>
        <v>0</v>
      </c>
      <c r="BE27" s="257">
        <f t="shared" si="54"/>
        <v>0</v>
      </c>
      <c r="BF27" s="257">
        <f t="shared" si="55"/>
        <v>0</v>
      </c>
      <c r="BG27" s="23">
        <f t="shared" si="55"/>
        <v>0</v>
      </c>
      <c r="BH27" s="257">
        <f t="shared" si="56"/>
        <v>0</v>
      </c>
      <c r="BI27" s="23">
        <f t="shared" si="57"/>
        <v>0</v>
      </c>
      <c r="BJ27" s="23">
        <f t="shared" si="57"/>
        <v>0</v>
      </c>
      <c r="BK27" s="257">
        <f t="shared" si="58"/>
        <v>0</v>
      </c>
      <c r="BL27" s="23">
        <f t="shared" si="59"/>
        <v>0</v>
      </c>
      <c r="BM27" s="23">
        <f t="shared" si="59"/>
        <v>0</v>
      </c>
      <c r="BN27" s="257">
        <f t="shared" si="59"/>
        <v>0</v>
      </c>
      <c r="BO27" s="466">
        <f t="shared" si="60"/>
        <v>0</v>
      </c>
      <c r="BP27" s="472"/>
      <c r="BQ27" s="23">
        <f t="shared" si="61"/>
        <v>0</v>
      </c>
      <c r="BR27" s="23" t="e">
        <f>E27+I27+M27+Q27+U27+Y27+#REF!</f>
        <v>#REF!</v>
      </c>
      <c r="BS27" s="466">
        <f t="shared" si="34"/>
        <v>0</v>
      </c>
      <c r="BT27" s="509">
        <f t="shared" si="62"/>
        <v>0</v>
      </c>
      <c r="BU27" s="466">
        <f t="shared" si="9"/>
        <v>0</v>
      </c>
    </row>
    <row r="28" spans="1:73" ht="12.6" customHeight="1">
      <c r="A28" s="254" t="s">
        <v>62</v>
      </c>
      <c r="B28" s="129">
        <f t="shared" si="37"/>
        <v>0</v>
      </c>
      <c r="C28" s="257">
        <v>0</v>
      </c>
      <c r="D28" s="129"/>
      <c r="E28" s="129"/>
      <c r="F28" s="129"/>
      <c r="G28" s="509">
        <f t="shared" si="38"/>
        <v>0</v>
      </c>
      <c r="H28" s="129"/>
      <c r="I28" s="129"/>
      <c r="J28" s="129"/>
      <c r="K28" s="509">
        <f t="shared" si="39"/>
        <v>0</v>
      </c>
      <c r="L28" s="129"/>
      <c r="M28" s="129"/>
      <c r="N28" s="129"/>
      <c r="O28" s="509">
        <f t="shared" si="40"/>
        <v>0</v>
      </c>
      <c r="P28" s="129"/>
      <c r="Q28" s="129"/>
      <c r="R28" s="129"/>
      <c r="S28" s="509">
        <f t="shared" si="41"/>
        <v>0</v>
      </c>
      <c r="T28" s="129"/>
      <c r="U28" s="129"/>
      <c r="V28" s="129">
        <f t="shared" si="42"/>
        <v>0</v>
      </c>
      <c r="W28" s="509">
        <f t="shared" si="43"/>
        <v>0</v>
      </c>
      <c r="X28" s="129"/>
      <c r="Y28" s="129"/>
      <c r="Z28" s="129"/>
      <c r="AA28" s="509">
        <f t="shared" si="44"/>
        <v>0</v>
      </c>
      <c r="AB28" s="129"/>
      <c r="AC28" s="129"/>
      <c r="AD28" s="129"/>
      <c r="AE28" s="509">
        <f t="shared" si="45"/>
        <v>0</v>
      </c>
      <c r="AF28" s="129"/>
      <c r="AG28" s="129"/>
      <c r="AH28" s="129"/>
      <c r="AI28" s="509">
        <f t="shared" si="46"/>
        <v>0</v>
      </c>
      <c r="AJ28" s="129"/>
      <c r="AK28" s="129"/>
      <c r="AL28" s="129"/>
      <c r="AM28" s="509">
        <f t="shared" si="47"/>
        <v>0</v>
      </c>
      <c r="AN28" s="129"/>
      <c r="AO28" s="129"/>
      <c r="AP28" s="129"/>
      <c r="AQ28" s="509">
        <f t="shared" si="48"/>
        <v>0</v>
      </c>
      <c r="AR28" s="129"/>
      <c r="AS28" s="129"/>
      <c r="AT28" s="129"/>
      <c r="AU28" s="509">
        <f t="shared" si="49"/>
        <v>0</v>
      </c>
      <c r="AV28" s="129"/>
      <c r="AW28" s="129"/>
      <c r="AX28" s="129"/>
      <c r="AY28" s="509">
        <f t="shared" si="50"/>
        <v>0</v>
      </c>
      <c r="AZ28" s="23">
        <f t="shared" si="51"/>
        <v>0</v>
      </c>
      <c r="BA28" s="23">
        <f t="shared" si="51"/>
        <v>0</v>
      </c>
      <c r="BB28" s="509">
        <f t="shared" si="52"/>
        <v>0</v>
      </c>
      <c r="BC28" s="23">
        <f t="shared" si="53"/>
        <v>0</v>
      </c>
      <c r="BD28" s="257">
        <f t="shared" si="53"/>
        <v>0</v>
      </c>
      <c r="BE28" s="257">
        <f t="shared" si="54"/>
        <v>0</v>
      </c>
      <c r="BF28" s="257">
        <f t="shared" si="55"/>
        <v>0</v>
      </c>
      <c r="BG28" s="23">
        <f t="shared" si="55"/>
        <v>0</v>
      </c>
      <c r="BH28" s="257">
        <f t="shared" si="56"/>
        <v>0</v>
      </c>
      <c r="BI28" s="23">
        <f t="shared" si="57"/>
        <v>0</v>
      </c>
      <c r="BJ28" s="23">
        <f t="shared" si="57"/>
        <v>0</v>
      </c>
      <c r="BK28" s="257">
        <f t="shared" si="58"/>
        <v>0</v>
      </c>
      <c r="BL28" s="23">
        <f t="shared" si="59"/>
        <v>0</v>
      </c>
      <c r="BM28" s="23">
        <f t="shared" si="59"/>
        <v>0</v>
      </c>
      <c r="BN28" s="257">
        <f t="shared" si="59"/>
        <v>0</v>
      </c>
      <c r="BO28" s="466">
        <f t="shared" si="60"/>
        <v>0</v>
      </c>
      <c r="BP28" s="472"/>
      <c r="BQ28" s="23">
        <f t="shared" si="61"/>
        <v>0</v>
      </c>
      <c r="BR28" s="23" t="e">
        <f>E28+I28+M28+Q28+U28+Y28+#REF!</f>
        <v>#REF!</v>
      </c>
      <c r="BS28" s="466">
        <f t="shared" si="34"/>
        <v>0</v>
      </c>
      <c r="BT28" s="509">
        <f t="shared" si="62"/>
        <v>0</v>
      </c>
      <c r="BU28" s="466">
        <f t="shared" si="9"/>
        <v>0</v>
      </c>
    </row>
    <row r="29" spans="1:73" ht="12.6" customHeight="1">
      <c r="A29" s="254" t="s">
        <v>32</v>
      </c>
      <c r="B29" s="129">
        <f t="shared" si="37"/>
        <v>0</v>
      </c>
      <c r="C29" s="257">
        <v>48.428571428571431</v>
      </c>
      <c r="D29" s="129"/>
      <c r="E29" s="129"/>
      <c r="F29" s="129"/>
      <c r="G29" s="509">
        <f t="shared" si="38"/>
        <v>0</v>
      </c>
      <c r="H29" s="129"/>
      <c r="I29" s="129"/>
      <c r="J29" s="129"/>
      <c r="K29" s="509">
        <f t="shared" si="39"/>
        <v>0</v>
      </c>
      <c r="L29" s="129"/>
      <c r="M29" s="129"/>
      <c r="N29" s="129"/>
      <c r="O29" s="509">
        <f t="shared" si="40"/>
        <v>0</v>
      </c>
      <c r="P29" s="129"/>
      <c r="Q29" s="129"/>
      <c r="R29" s="129"/>
      <c r="S29" s="509">
        <f t="shared" si="41"/>
        <v>0</v>
      </c>
      <c r="T29" s="129"/>
      <c r="U29" s="129"/>
      <c r="V29" s="129">
        <f t="shared" si="42"/>
        <v>0</v>
      </c>
      <c r="W29" s="509">
        <f t="shared" si="43"/>
        <v>0</v>
      </c>
      <c r="X29" s="129"/>
      <c r="Y29" s="129"/>
      <c r="Z29" s="129"/>
      <c r="AA29" s="509">
        <f t="shared" si="44"/>
        <v>0</v>
      </c>
      <c r="AB29" s="129"/>
      <c r="AC29" s="129"/>
      <c r="AD29" s="129"/>
      <c r="AE29" s="509">
        <f t="shared" si="45"/>
        <v>0</v>
      </c>
      <c r="AF29" s="129"/>
      <c r="AG29" s="129"/>
      <c r="AH29" s="129"/>
      <c r="AI29" s="509">
        <f t="shared" si="46"/>
        <v>0</v>
      </c>
      <c r="AJ29" s="129"/>
      <c r="AK29" s="129"/>
      <c r="AL29" s="129"/>
      <c r="AM29" s="509">
        <f t="shared" si="47"/>
        <v>0</v>
      </c>
      <c r="AN29" s="129"/>
      <c r="AO29" s="129"/>
      <c r="AP29" s="129"/>
      <c r="AQ29" s="509">
        <f t="shared" si="48"/>
        <v>0</v>
      </c>
      <c r="AR29" s="129"/>
      <c r="AS29" s="129"/>
      <c r="AT29" s="129"/>
      <c r="AU29" s="509">
        <f t="shared" si="49"/>
        <v>0</v>
      </c>
      <c r="AV29" s="129"/>
      <c r="AW29" s="129"/>
      <c r="AX29" s="129"/>
      <c r="AY29" s="509">
        <f t="shared" si="50"/>
        <v>0</v>
      </c>
      <c r="AZ29" s="23">
        <f t="shared" si="51"/>
        <v>0</v>
      </c>
      <c r="BA29" s="23">
        <f t="shared" si="51"/>
        <v>0</v>
      </c>
      <c r="BB29" s="509">
        <f t="shared" si="52"/>
        <v>0</v>
      </c>
      <c r="BC29" s="23">
        <f t="shared" si="53"/>
        <v>0</v>
      </c>
      <c r="BD29" s="257">
        <f t="shared" si="53"/>
        <v>0</v>
      </c>
      <c r="BE29" s="257">
        <f t="shared" si="54"/>
        <v>0</v>
      </c>
      <c r="BF29" s="257">
        <f t="shared" si="55"/>
        <v>0</v>
      </c>
      <c r="BG29" s="23">
        <f t="shared" si="55"/>
        <v>0</v>
      </c>
      <c r="BH29" s="257">
        <f t="shared" si="56"/>
        <v>0</v>
      </c>
      <c r="BI29" s="23">
        <f t="shared" si="57"/>
        <v>0</v>
      </c>
      <c r="BJ29" s="23">
        <f t="shared" si="57"/>
        <v>0</v>
      </c>
      <c r="BK29" s="257">
        <f t="shared" si="58"/>
        <v>0</v>
      </c>
      <c r="BL29" s="23">
        <f t="shared" si="59"/>
        <v>0</v>
      </c>
      <c r="BM29" s="23">
        <f t="shared" si="59"/>
        <v>0</v>
      </c>
      <c r="BN29" s="257">
        <f t="shared" si="59"/>
        <v>0</v>
      </c>
      <c r="BO29" s="466">
        <f t="shared" si="60"/>
        <v>0</v>
      </c>
      <c r="BP29" s="472"/>
      <c r="BQ29" s="23">
        <f t="shared" si="61"/>
        <v>0</v>
      </c>
      <c r="BR29" s="23" t="e">
        <f>E29+I29+M29+Q29+U29+Y29+#REF!</f>
        <v>#REF!</v>
      </c>
      <c r="BS29" s="466">
        <f t="shared" si="34"/>
        <v>0</v>
      </c>
      <c r="BT29" s="509">
        <f t="shared" si="62"/>
        <v>0</v>
      </c>
      <c r="BU29" s="466">
        <f t="shared" si="9"/>
        <v>0</v>
      </c>
    </row>
    <row r="30" spans="1:73" ht="12.6" customHeight="1">
      <c r="A30" s="254" t="s">
        <v>31</v>
      </c>
      <c r="B30" s="129">
        <f t="shared" si="37"/>
        <v>0</v>
      </c>
      <c r="C30" s="257">
        <v>66.828571428571422</v>
      </c>
      <c r="D30" s="129"/>
      <c r="E30" s="129"/>
      <c r="F30" s="129"/>
      <c r="G30" s="509">
        <f t="shared" si="38"/>
        <v>0</v>
      </c>
      <c r="H30" s="129"/>
      <c r="I30" s="129"/>
      <c r="J30" s="129"/>
      <c r="K30" s="509">
        <f t="shared" si="39"/>
        <v>0</v>
      </c>
      <c r="L30" s="129"/>
      <c r="M30" s="129"/>
      <c r="N30" s="129"/>
      <c r="O30" s="509">
        <f t="shared" si="40"/>
        <v>0</v>
      </c>
      <c r="P30" s="129"/>
      <c r="Q30" s="129"/>
      <c r="R30" s="129"/>
      <c r="S30" s="509">
        <f t="shared" si="41"/>
        <v>0</v>
      </c>
      <c r="T30" s="129"/>
      <c r="U30" s="129"/>
      <c r="V30" s="129">
        <f t="shared" si="42"/>
        <v>0</v>
      </c>
      <c r="W30" s="509">
        <f t="shared" si="43"/>
        <v>0</v>
      </c>
      <c r="X30" s="129"/>
      <c r="Y30" s="129"/>
      <c r="Z30" s="129"/>
      <c r="AA30" s="509">
        <f t="shared" si="44"/>
        <v>0</v>
      </c>
      <c r="AB30" s="129"/>
      <c r="AC30" s="129"/>
      <c r="AD30" s="129"/>
      <c r="AE30" s="509">
        <f t="shared" si="45"/>
        <v>0</v>
      </c>
      <c r="AF30" s="129"/>
      <c r="AG30" s="129"/>
      <c r="AH30" s="129"/>
      <c r="AI30" s="509">
        <f t="shared" si="46"/>
        <v>0</v>
      </c>
      <c r="AJ30" s="129"/>
      <c r="AK30" s="129"/>
      <c r="AL30" s="129"/>
      <c r="AM30" s="509">
        <f t="shared" si="47"/>
        <v>0</v>
      </c>
      <c r="AN30" s="129"/>
      <c r="AO30" s="129"/>
      <c r="AP30" s="129"/>
      <c r="AQ30" s="509">
        <f t="shared" si="48"/>
        <v>0</v>
      </c>
      <c r="AR30" s="129"/>
      <c r="AS30" s="129"/>
      <c r="AT30" s="129"/>
      <c r="AU30" s="509">
        <f t="shared" si="49"/>
        <v>0</v>
      </c>
      <c r="AV30" s="129"/>
      <c r="AW30" s="129"/>
      <c r="AX30" s="129"/>
      <c r="AY30" s="509">
        <f t="shared" si="50"/>
        <v>0</v>
      </c>
      <c r="AZ30" s="23">
        <f t="shared" si="51"/>
        <v>0</v>
      </c>
      <c r="BA30" s="23">
        <f t="shared" si="51"/>
        <v>0</v>
      </c>
      <c r="BB30" s="509">
        <f t="shared" si="52"/>
        <v>0</v>
      </c>
      <c r="BC30" s="23">
        <f t="shared" si="53"/>
        <v>0</v>
      </c>
      <c r="BD30" s="257">
        <f t="shared" si="53"/>
        <v>0</v>
      </c>
      <c r="BE30" s="257">
        <f t="shared" si="54"/>
        <v>0</v>
      </c>
      <c r="BF30" s="257">
        <f t="shared" si="55"/>
        <v>0</v>
      </c>
      <c r="BG30" s="23">
        <f t="shared" si="55"/>
        <v>0</v>
      </c>
      <c r="BH30" s="257">
        <f t="shared" si="56"/>
        <v>0</v>
      </c>
      <c r="BI30" s="23">
        <f t="shared" si="57"/>
        <v>0</v>
      </c>
      <c r="BJ30" s="23">
        <f t="shared" si="57"/>
        <v>0</v>
      </c>
      <c r="BK30" s="257">
        <f t="shared" si="58"/>
        <v>0</v>
      </c>
      <c r="BL30" s="23">
        <f t="shared" si="59"/>
        <v>0</v>
      </c>
      <c r="BM30" s="23">
        <f t="shared" si="59"/>
        <v>0</v>
      </c>
      <c r="BN30" s="257">
        <f t="shared" si="59"/>
        <v>0</v>
      </c>
      <c r="BO30" s="466">
        <f t="shared" si="60"/>
        <v>0</v>
      </c>
      <c r="BP30" s="472"/>
      <c r="BQ30" s="23">
        <f t="shared" si="61"/>
        <v>0</v>
      </c>
      <c r="BR30" s="23" t="e">
        <f>E30+I30+M30+Q30+U30+Y30+#REF!</f>
        <v>#REF!</v>
      </c>
      <c r="BS30" s="466">
        <f t="shared" si="34"/>
        <v>0</v>
      </c>
      <c r="BT30" s="509">
        <f t="shared" si="62"/>
        <v>0</v>
      </c>
      <c r="BU30" s="466">
        <f t="shared" si="9"/>
        <v>0</v>
      </c>
    </row>
    <row r="31" spans="1:73" ht="12.6" customHeight="1">
      <c r="A31" s="254" t="s">
        <v>35</v>
      </c>
      <c r="B31" s="129">
        <f t="shared" si="37"/>
        <v>0</v>
      </c>
      <c r="C31" s="257"/>
      <c r="D31" s="129"/>
      <c r="E31" s="129"/>
      <c r="F31" s="129"/>
      <c r="G31" s="509">
        <f t="shared" si="38"/>
        <v>0</v>
      </c>
      <c r="H31" s="129"/>
      <c r="I31" s="129"/>
      <c r="J31" s="129"/>
      <c r="K31" s="509">
        <f t="shared" si="39"/>
        <v>0</v>
      </c>
      <c r="L31" s="129"/>
      <c r="M31" s="129"/>
      <c r="N31" s="129"/>
      <c r="O31" s="509">
        <f t="shared" si="40"/>
        <v>0</v>
      </c>
      <c r="P31" s="129"/>
      <c r="Q31" s="129"/>
      <c r="R31" s="129"/>
      <c r="S31" s="509">
        <f t="shared" si="41"/>
        <v>0</v>
      </c>
      <c r="T31" s="129"/>
      <c r="U31" s="129"/>
      <c r="V31" s="129">
        <f t="shared" si="42"/>
        <v>0</v>
      </c>
      <c r="W31" s="509">
        <f t="shared" si="43"/>
        <v>0</v>
      </c>
      <c r="X31" s="129"/>
      <c r="Y31" s="129"/>
      <c r="Z31" s="129"/>
      <c r="AA31" s="509">
        <f t="shared" si="44"/>
        <v>0</v>
      </c>
      <c r="AB31" s="129"/>
      <c r="AC31" s="129"/>
      <c r="AD31" s="129"/>
      <c r="AE31" s="509">
        <f t="shared" si="45"/>
        <v>0</v>
      </c>
      <c r="AF31" s="129"/>
      <c r="AG31" s="129"/>
      <c r="AH31" s="129"/>
      <c r="AI31" s="509">
        <f t="shared" si="46"/>
        <v>0</v>
      </c>
      <c r="AJ31" s="129"/>
      <c r="AK31" s="129"/>
      <c r="AL31" s="129"/>
      <c r="AM31" s="509">
        <f t="shared" si="47"/>
        <v>0</v>
      </c>
      <c r="AN31" s="129"/>
      <c r="AO31" s="129"/>
      <c r="AP31" s="129"/>
      <c r="AQ31" s="509">
        <f t="shared" si="48"/>
        <v>0</v>
      </c>
      <c r="AR31" s="129"/>
      <c r="AS31" s="129"/>
      <c r="AT31" s="129"/>
      <c r="AU31" s="509">
        <f t="shared" si="49"/>
        <v>0</v>
      </c>
      <c r="AV31" s="129"/>
      <c r="AW31" s="129"/>
      <c r="AX31" s="129"/>
      <c r="AY31" s="509">
        <f t="shared" si="50"/>
        <v>0</v>
      </c>
      <c r="AZ31" s="23">
        <f t="shared" si="51"/>
        <v>0</v>
      </c>
      <c r="BA31" s="23">
        <f t="shared" si="51"/>
        <v>0</v>
      </c>
      <c r="BB31" s="509">
        <f t="shared" si="52"/>
        <v>0</v>
      </c>
      <c r="BC31" s="23">
        <f t="shared" si="53"/>
        <v>0</v>
      </c>
      <c r="BD31" s="257">
        <f t="shared" si="53"/>
        <v>0</v>
      </c>
      <c r="BE31" s="257">
        <f t="shared" si="54"/>
        <v>0</v>
      </c>
      <c r="BF31" s="257">
        <f t="shared" si="55"/>
        <v>0</v>
      </c>
      <c r="BG31" s="23">
        <f t="shared" si="55"/>
        <v>0</v>
      </c>
      <c r="BH31" s="257">
        <f t="shared" si="56"/>
        <v>0</v>
      </c>
      <c r="BI31" s="23">
        <f t="shared" si="57"/>
        <v>0</v>
      </c>
      <c r="BJ31" s="23">
        <f t="shared" si="57"/>
        <v>0</v>
      </c>
      <c r="BK31" s="257">
        <f t="shared" si="58"/>
        <v>0</v>
      </c>
      <c r="BL31" s="23">
        <f t="shared" si="59"/>
        <v>0</v>
      </c>
      <c r="BM31" s="23">
        <f t="shared" si="59"/>
        <v>0</v>
      </c>
      <c r="BN31" s="257">
        <f t="shared" si="59"/>
        <v>0</v>
      </c>
      <c r="BO31" s="466">
        <f t="shared" si="60"/>
        <v>0</v>
      </c>
      <c r="BP31" s="472"/>
      <c r="BQ31" s="23">
        <f t="shared" si="61"/>
        <v>0</v>
      </c>
      <c r="BR31" s="23" t="e">
        <f>E31+I31+M31+Q31+U31+Y31+#REF!</f>
        <v>#REF!</v>
      </c>
      <c r="BS31" s="466">
        <f t="shared" si="34"/>
        <v>0</v>
      </c>
      <c r="BT31" s="509">
        <f t="shared" si="62"/>
        <v>0</v>
      </c>
      <c r="BU31" s="466">
        <f t="shared" si="9"/>
        <v>0</v>
      </c>
    </row>
    <row r="32" spans="1:73" ht="12.6" customHeight="1">
      <c r="A32" s="254" t="s">
        <v>83</v>
      </c>
      <c r="B32" s="129">
        <f t="shared" si="37"/>
        <v>0</v>
      </c>
      <c r="C32" s="257">
        <v>57.985714285714288</v>
      </c>
      <c r="D32" s="129"/>
      <c r="E32" s="129"/>
      <c r="F32" s="129"/>
      <c r="G32" s="509">
        <f t="shared" si="38"/>
        <v>0</v>
      </c>
      <c r="H32" s="129"/>
      <c r="I32" s="129"/>
      <c r="J32" s="129"/>
      <c r="K32" s="509">
        <f t="shared" si="39"/>
        <v>0</v>
      </c>
      <c r="L32" s="129"/>
      <c r="M32" s="129"/>
      <c r="N32" s="129"/>
      <c r="O32" s="509">
        <f t="shared" si="40"/>
        <v>0</v>
      </c>
      <c r="P32" s="129"/>
      <c r="Q32" s="129"/>
      <c r="R32" s="129"/>
      <c r="S32" s="509">
        <f t="shared" si="41"/>
        <v>0</v>
      </c>
      <c r="T32" s="129"/>
      <c r="U32" s="129"/>
      <c r="V32" s="129">
        <f t="shared" si="42"/>
        <v>0</v>
      </c>
      <c r="W32" s="509">
        <f t="shared" si="43"/>
        <v>0</v>
      </c>
      <c r="X32" s="129"/>
      <c r="Y32" s="129"/>
      <c r="Z32" s="129"/>
      <c r="AA32" s="509">
        <f t="shared" si="44"/>
        <v>0</v>
      </c>
      <c r="AB32" s="129"/>
      <c r="AC32" s="129"/>
      <c r="AD32" s="129"/>
      <c r="AE32" s="509">
        <f t="shared" si="45"/>
        <v>0</v>
      </c>
      <c r="AF32" s="129"/>
      <c r="AG32" s="129"/>
      <c r="AH32" s="129"/>
      <c r="AI32" s="509">
        <f t="shared" si="46"/>
        <v>0</v>
      </c>
      <c r="AJ32" s="129"/>
      <c r="AK32" s="129"/>
      <c r="AL32" s="129"/>
      <c r="AM32" s="509">
        <f t="shared" si="47"/>
        <v>0</v>
      </c>
      <c r="AN32" s="129"/>
      <c r="AO32" s="129"/>
      <c r="AP32" s="129"/>
      <c r="AQ32" s="509">
        <f t="shared" si="48"/>
        <v>0</v>
      </c>
      <c r="AR32" s="129"/>
      <c r="AS32" s="129"/>
      <c r="AT32" s="129"/>
      <c r="AU32" s="509">
        <f t="shared" si="49"/>
        <v>0</v>
      </c>
      <c r="AV32" s="129"/>
      <c r="AW32" s="129"/>
      <c r="AX32" s="129"/>
      <c r="AY32" s="509">
        <f t="shared" si="50"/>
        <v>0</v>
      </c>
      <c r="AZ32" s="23">
        <f t="shared" si="51"/>
        <v>0</v>
      </c>
      <c r="BA32" s="23">
        <f t="shared" si="51"/>
        <v>0</v>
      </c>
      <c r="BB32" s="509">
        <f t="shared" si="52"/>
        <v>0</v>
      </c>
      <c r="BC32" s="23">
        <f t="shared" si="53"/>
        <v>0</v>
      </c>
      <c r="BD32" s="257">
        <f t="shared" si="53"/>
        <v>0</v>
      </c>
      <c r="BE32" s="257">
        <f t="shared" si="54"/>
        <v>0</v>
      </c>
      <c r="BF32" s="257">
        <f t="shared" si="55"/>
        <v>0</v>
      </c>
      <c r="BG32" s="23">
        <f t="shared" si="55"/>
        <v>0</v>
      </c>
      <c r="BH32" s="257">
        <f t="shared" si="56"/>
        <v>0</v>
      </c>
      <c r="BI32" s="23">
        <f t="shared" si="57"/>
        <v>0</v>
      </c>
      <c r="BJ32" s="23">
        <f t="shared" si="57"/>
        <v>0</v>
      </c>
      <c r="BK32" s="257">
        <f t="shared" si="58"/>
        <v>0</v>
      </c>
      <c r="BL32" s="23">
        <f t="shared" si="59"/>
        <v>0</v>
      </c>
      <c r="BM32" s="23">
        <f t="shared" si="59"/>
        <v>0</v>
      </c>
      <c r="BN32" s="257">
        <f t="shared" si="59"/>
        <v>0</v>
      </c>
      <c r="BO32" s="466">
        <f t="shared" si="60"/>
        <v>0</v>
      </c>
      <c r="BP32" s="472"/>
      <c r="BQ32" s="23">
        <f t="shared" si="61"/>
        <v>0</v>
      </c>
      <c r="BR32" s="23" t="e">
        <f>E32+I32+M32+Q32+U32+Y32+#REF!</f>
        <v>#REF!</v>
      </c>
      <c r="BS32" s="466">
        <f t="shared" si="34"/>
        <v>0</v>
      </c>
      <c r="BT32" s="509">
        <f t="shared" si="62"/>
        <v>0</v>
      </c>
      <c r="BU32" s="466">
        <f t="shared" si="9"/>
        <v>0</v>
      </c>
    </row>
    <row r="33" spans="1:73" ht="12.6" customHeight="1">
      <c r="A33" s="254" t="s">
        <v>37</v>
      </c>
      <c r="B33" s="129">
        <f t="shared" si="37"/>
        <v>0</v>
      </c>
      <c r="C33" s="257"/>
      <c r="D33" s="129"/>
      <c r="E33" s="129"/>
      <c r="F33" s="129"/>
      <c r="G33" s="509">
        <f t="shared" si="38"/>
        <v>0</v>
      </c>
      <c r="H33" s="129"/>
      <c r="I33" s="129"/>
      <c r="J33" s="129"/>
      <c r="K33" s="509">
        <f t="shared" si="39"/>
        <v>0</v>
      </c>
      <c r="L33" s="129"/>
      <c r="M33" s="129"/>
      <c r="N33" s="129"/>
      <c r="O33" s="509">
        <f t="shared" si="40"/>
        <v>0</v>
      </c>
      <c r="P33" s="129"/>
      <c r="Q33" s="129"/>
      <c r="R33" s="129"/>
      <c r="S33" s="509">
        <f t="shared" si="41"/>
        <v>0</v>
      </c>
      <c r="T33" s="129"/>
      <c r="U33" s="129"/>
      <c r="V33" s="129">
        <f t="shared" si="42"/>
        <v>0</v>
      </c>
      <c r="W33" s="509">
        <f t="shared" si="43"/>
        <v>0</v>
      </c>
      <c r="X33" s="129"/>
      <c r="Y33" s="129"/>
      <c r="Z33" s="129"/>
      <c r="AA33" s="509">
        <f t="shared" si="44"/>
        <v>0</v>
      </c>
      <c r="AB33" s="129"/>
      <c r="AC33" s="129"/>
      <c r="AD33" s="129"/>
      <c r="AE33" s="509">
        <f t="shared" si="45"/>
        <v>0</v>
      </c>
      <c r="AF33" s="129"/>
      <c r="AG33" s="129"/>
      <c r="AH33" s="129"/>
      <c r="AI33" s="509">
        <f t="shared" si="46"/>
        <v>0</v>
      </c>
      <c r="AJ33" s="129"/>
      <c r="AK33" s="129"/>
      <c r="AL33" s="129"/>
      <c r="AM33" s="509">
        <f t="shared" si="47"/>
        <v>0</v>
      </c>
      <c r="AN33" s="129"/>
      <c r="AO33" s="129"/>
      <c r="AP33" s="129"/>
      <c r="AQ33" s="509">
        <f t="shared" si="48"/>
        <v>0</v>
      </c>
      <c r="AR33" s="129"/>
      <c r="AS33" s="129"/>
      <c r="AT33" s="129"/>
      <c r="AU33" s="509">
        <f t="shared" si="49"/>
        <v>0</v>
      </c>
      <c r="AV33" s="129"/>
      <c r="AW33" s="129"/>
      <c r="AX33" s="129"/>
      <c r="AY33" s="509">
        <f t="shared" si="50"/>
        <v>0</v>
      </c>
      <c r="AZ33" s="23">
        <f t="shared" si="51"/>
        <v>0</v>
      </c>
      <c r="BA33" s="23">
        <f t="shared" si="51"/>
        <v>0</v>
      </c>
      <c r="BB33" s="509">
        <f t="shared" si="52"/>
        <v>0</v>
      </c>
      <c r="BC33" s="23">
        <f t="shared" si="53"/>
        <v>0</v>
      </c>
      <c r="BD33" s="257">
        <f t="shared" si="53"/>
        <v>0</v>
      </c>
      <c r="BE33" s="257">
        <f t="shared" si="54"/>
        <v>0</v>
      </c>
      <c r="BF33" s="257">
        <f t="shared" si="55"/>
        <v>0</v>
      </c>
      <c r="BG33" s="23">
        <f t="shared" si="55"/>
        <v>0</v>
      </c>
      <c r="BH33" s="257">
        <f t="shared" si="56"/>
        <v>0</v>
      </c>
      <c r="BI33" s="23">
        <f t="shared" si="57"/>
        <v>0</v>
      </c>
      <c r="BJ33" s="23">
        <f t="shared" si="57"/>
        <v>0</v>
      </c>
      <c r="BK33" s="257">
        <f t="shared" si="58"/>
        <v>0</v>
      </c>
      <c r="BL33" s="23">
        <f t="shared" si="59"/>
        <v>0</v>
      </c>
      <c r="BM33" s="23">
        <f t="shared" si="59"/>
        <v>0</v>
      </c>
      <c r="BN33" s="257">
        <f t="shared" si="59"/>
        <v>0</v>
      </c>
      <c r="BO33" s="466">
        <f t="shared" si="60"/>
        <v>0</v>
      </c>
      <c r="BP33" s="472"/>
      <c r="BQ33" s="23">
        <f t="shared" si="61"/>
        <v>0</v>
      </c>
      <c r="BR33" s="23" t="e">
        <f>E33+I33+M33+Q33+U33+Y33+#REF!</f>
        <v>#REF!</v>
      </c>
      <c r="BS33" s="466">
        <f t="shared" si="34"/>
        <v>0</v>
      </c>
      <c r="BT33" s="509">
        <f t="shared" si="62"/>
        <v>0</v>
      </c>
      <c r="BU33" s="466">
        <f t="shared" si="9"/>
        <v>0</v>
      </c>
    </row>
    <row r="34" spans="1:73" ht="12.6" customHeight="1">
      <c r="A34" s="254" t="s">
        <v>38</v>
      </c>
      <c r="B34" s="129">
        <f t="shared" si="37"/>
        <v>0</v>
      </c>
      <c r="C34" s="257"/>
      <c r="D34" s="129"/>
      <c r="E34" s="129"/>
      <c r="F34" s="129"/>
      <c r="G34" s="509">
        <f t="shared" si="38"/>
        <v>0</v>
      </c>
      <c r="H34" s="129"/>
      <c r="I34" s="129"/>
      <c r="J34" s="129"/>
      <c r="K34" s="509">
        <f t="shared" si="39"/>
        <v>0</v>
      </c>
      <c r="L34" s="129"/>
      <c r="M34" s="129"/>
      <c r="N34" s="129"/>
      <c r="O34" s="509">
        <f t="shared" si="40"/>
        <v>0</v>
      </c>
      <c r="P34" s="129"/>
      <c r="Q34" s="129"/>
      <c r="R34" s="129"/>
      <c r="S34" s="509">
        <f t="shared" si="41"/>
        <v>0</v>
      </c>
      <c r="T34" s="129"/>
      <c r="U34" s="129"/>
      <c r="V34" s="129">
        <f t="shared" si="42"/>
        <v>0</v>
      </c>
      <c r="W34" s="509">
        <f t="shared" si="43"/>
        <v>0</v>
      </c>
      <c r="X34" s="129"/>
      <c r="Y34" s="129"/>
      <c r="Z34" s="129"/>
      <c r="AA34" s="509">
        <f t="shared" si="44"/>
        <v>0</v>
      </c>
      <c r="AB34" s="129"/>
      <c r="AC34" s="129"/>
      <c r="AD34" s="129"/>
      <c r="AE34" s="509">
        <f t="shared" si="45"/>
        <v>0</v>
      </c>
      <c r="AF34" s="129"/>
      <c r="AG34" s="129"/>
      <c r="AH34" s="129"/>
      <c r="AI34" s="509">
        <f t="shared" si="46"/>
        <v>0</v>
      </c>
      <c r="AJ34" s="129"/>
      <c r="AK34" s="129"/>
      <c r="AL34" s="129"/>
      <c r="AM34" s="509">
        <f t="shared" si="47"/>
        <v>0</v>
      </c>
      <c r="AN34" s="129"/>
      <c r="AO34" s="129"/>
      <c r="AP34" s="129"/>
      <c r="AQ34" s="509">
        <f t="shared" si="48"/>
        <v>0</v>
      </c>
      <c r="AR34" s="129"/>
      <c r="AS34" s="129"/>
      <c r="AT34" s="129"/>
      <c r="AU34" s="509">
        <f t="shared" si="49"/>
        <v>0</v>
      </c>
      <c r="AV34" s="129"/>
      <c r="AW34" s="129"/>
      <c r="AX34" s="129"/>
      <c r="AY34" s="509">
        <f t="shared" si="50"/>
        <v>0</v>
      </c>
      <c r="AZ34" s="23">
        <f t="shared" si="51"/>
        <v>0</v>
      </c>
      <c r="BA34" s="23">
        <f t="shared" si="51"/>
        <v>0</v>
      </c>
      <c r="BB34" s="509">
        <f t="shared" si="52"/>
        <v>0</v>
      </c>
      <c r="BC34" s="23">
        <f t="shared" si="53"/>
        <v>0</v>
      </c>
      <c r="BD34" s="257">
        <f t="shared" si="53"/>
        <v>0</v>
      </c>
      <c r="BE34" s="257">
        <f t="shared" si="54"/>
        <v>0</v>
      </c>
      <c r="BF34" s="257">
        <f t="shared" si="55"/>
        <v>0</v>
      </c>
      <c r="BG34" s="23">
        <f t="shared" si="55"/>
        <v>0</v>
      </c>
      <c r="BH34" s="257">
        <f t="shared" si="56"/>
        <v>0</v>
      </c>
      <c r="BI34" s="23">
        <f t="shared" si="57"/>
        <v>0</v>
      </c>
      <c r="BJ34" s="23">
        <f t="shared" si="57"/>
        <v>0</v>
      </c>
      <c r="BK34" s="257">
        <f t="shared" si="58"/>
        <v>0</v>
      </c>
      <c r="BL34" s="23">
        <f t="shared" si="59"/>
        <v>0</v>
      </c>
      <c r="BM34" s="23">
        <f t="shared" si="59"/>
        <v>0</v>
      </c>
      <c r="BN34" s="257">
        <f t="shared" si="59"/>
        <v>0</v>
      </c>
      <c r="BO34" s="466">
        <f t="shared" si="60"/>
        <v>0</v>
      </c>
      <c r="BP34" s="472"/>
      <c r="BQ34" s="23">
        <f t="shared" si="61"/>
        <v>0</v>
      </c>
      <c r="BR34" s="23" t="e">
        <f>E34+I34+M34+Q34+U34+Y34+#REF!</f>
        <v>#REF!</v>
      </c>
      <c r="BS34" s="466">
        <f t="shared" si="34"/>
        <v>0</v>
      </c>
      <c r="BT34" s="509">
        <f t="shared" si="62"/>
        <v>0</v>
      </c>
      <c r="BU34" s="466">
        <f t="shared" si="9"/>
        <v>0</v>
      </c>
    </row>
    <row r="35" spans="1:73" ht="12.6" customHeight="1">
      <c r="A35" s="254" t="s">
        <v>39</v>
      </c>
      <c r="B35" s="129">
        <f t="shared" si="37"/>
        <v>0</v>
      </c>
      <c r="C35" s="257"/>
      <c r="D35" s="129"/>
      <c r="E35" s="129"/>
      <c r="F35" s="129"/>
      <c r="G35" s="509">
        <f t="shared" si="38"/>
        <v>0</v>
      </c>
      <c r="H35" s="129"/>
      <c r="I35" s="129"/>
      <c r="J35" s="129"/>
      <c r="K35" s="509">
        <f t="shared" si="39"/>
        <v>0</v>
      </c>
      <c r="L35" s="129"/>
      <c r="M35" s="129"/>
      <c r="N35" s="129"/>
      <c r="O35" s="509">
        <f t="shared" si="40"/>
        <v>0</v>
      </c>
      <c r="P35" s="129"/>
      <c r="Q35" s="129"/>
      <c r="R35" s="129"/>
      <c r="S35" s="509">
        <f t="shared" si="41"/>
        <v>0</v>
      </c>
      <c r="T35" s="129"/>
      <c r="U35" s="129"/>
      <c r="V35" s="129">
        <f t="shared" si="42"/>
        <v>0</v>
      </c>
      <c r="W35" s="509">
        <f t="shared" si="43"/>
        <v>0</v>
      </c>
      <c r="X35" s="129"/>
      <c r="Y35" s="129"/>
      <c r="Z35" s="129"/>
      <c r="AA35" s="509">
        <f t="shared" si="44"/>
        <v>0</v>
      </c>
      <c r="AB35" s="129"/>
      <c r="AC35" s="129"/>
      <c r="AD35" s="129"/>
      <c r="AE35" s="509">
        <f t="shared" si="45"/>
        <v>0</v>
      </c>
      <c r="AF35" s="129"/>
      <c r="AG35" s="129"/>
      <c r="AH35" s="129"/>
      <c r="AI35" s="509">
        <f t="shared" si="46"/>
        <v>0</v>
      </c>
      <c r="AJ35" s="129"/>
      <c r="AK35" s="129"/>
      <c r="AL35" s="129"/>
      <c r="AM35" s="509">
        <f t="shared" si="47"/>
        <v>0</v>
      </c>
      <c r="AN35" s="129"/>
      <c r="AO35" s="129"/>
      <c r="AP35" s="129"/>
      <c r="AQ35" s="509">
        <f t="shared" si="48"/>
        <v>0</v>
      </c>
      <c r="AR35" s="129"/>
      <c r="AS35" s="129"/>
      <c r="AT35" s="129"/>
      <c r="AU35" s="509">
        <f t="shared" si="49"/>
        <v>0</v>
      </c>
      <c r="AV35" s="129"/>
      <c r="AW35" s="129"/>
      <c r="AX35" s="129"/>
      <c r="AY35" s="509">
        <f t="shared" si="50"/>
        <v>0</v>
      </c>
      <c r="AZ35" s="23">
        <f t="shared" si="51"/>
        <v>0</v>
      </c>
      <c r="BA35" s="23">
        <f t="shared" si="51"/>
        <v>0</v>
      </c>
      <c r="BB35" s="509">
        <f t="shared" si="52"/>
        <v>0</v>
      </c>
      <c r="BC35" s="23">
        <f t="shared" si="53"/>
        <v>0</v>
      </c>
      <c r="BD35" s="257">
        <f t="shared" si="53"/>
        <v>0</v>
      </c>
      <c r="BE35" s="257">
        <f t="shared" si="54"/>
        <v>0</v>
      </c>
      <c r="BF35" s="257">
        <f t="shared" si="55"/>
        <v>0</v>
      </c>
      <c r="BG35" s="23">
        <f t="shared" si="55"/>
        <v>0</v>
      </c>
      <c r="BH35" s="257">
        <f t="shared" si="56"/>
        <v>0</v>
      </c>
      <c r="BI35" s="23">
        <f t="shared" si="57"/>
        <v>0</v>
      </c>
      <c r="BJ35" s="23">
        <f t="shared" si="57"/>
        <v>0</v>
      </c>
      <c r="BK35" s="257">
        <f t="shared" si="58"/>
        <v>0</v>
      </c>
      <c r="BL35" s="23">
        <f t="shared" si="59"/>
        <v>0</v>
      </c>
      <c r="BM35" s="23">
        <f t="shared" si="59"/>
        <v>0</v>
      </c>
      <c r="BN35" s="257">
        <f t="shared" si="59"/>
        <v>0</v>
      </c>
      <c r="BO35" s="466">
        <f t="shared" si="60"/>
        <v>0</v>
      </c>
      <c r="BP35" s="472"/>
      <c r="BQ35" s="23">
        <f t="shared" si="61"/>
        <v>0</v>
      </c>
      <c r="BR35" s="23" t="e">
        <f>E35+I35+M35+Q35+U35+Y35+#REF!</f>
        <v>#REF!</v>
      </c>
      <c r="BS35" s="466">
        <f t="shared" si="34"/>
        <v>0</v>
      </c>
      <c r="BT35" s="509">
        <f t="shared" si="62"/>
        <v>0</v>
      </c>
      <c r="BU35" s="466">
        <f t="shared" si="9"/>
        <v>0</v>
      </c>
    </row>
    <row r="36" spans="1:73" ht="12.6" customHeight="1">
      <c r="A36" s="254" t="s">
        <v>11</v>
      </c>
      <c r="B36" s="129">
        <f t="shared" si="37"/>
        <v>0</v>
      </c>
      <c r="C36" s="257">
        <v>18.399999999999999</v>
      </c>
      <c r="D36" s="129"/>
      <c r="E36" s="129"/>
      <c r="F36" s="129"/>
      <c r="G36" s="509">
        <f t="shared" si="38"/>
        <v>0</v>
      </c>
      <c r="H36" s="129"/>
      <c r="I36" s="129"/>
      <c r="J36" s="129"/>
      <c r="K36" s="509">
        <f t="shared" si="39"/>
        <v>0</v>
      </c>
      <c r="L36" s="129"/>
      <c r="M36" s="129"/>
      <c r="N36" s="129"/>
      <c r="O36" s="509">
        <f t="shared" si="40"/>
        <v>0</v>
      </c>
      <c r="P36" s="129"/>
      <c r="Q36" s="129"/>
      <c r="R36" s="129"/>
      <c r="S36" s="509">
        <f t="shared" si="41"/>
        <v>0</v>
      </c>
      <c r="T36" s="129"/>
      <c r="U36" s="129"/>
      <c r="V36" s="129">
        <f t="shared" si="42"/>
        <v>0</v>
      </c>
      <c r="W36" s="509">
        <f t="shared" si="43"/>
        <v>0</v>
      </c>
      <c r="X36" s="129"/>
      <c r="Y36" s="129"/>
      <c r="Z36" s="129"/>
      <c r="AA36" s="509">
        <f t="shared" si="44"/>
        <v>0</v>
      </c>
      <c r="AB36" s="129"/>
      <c r="AC36" s="129"/>
      <c r="AD36" s="129"/>
      <c r="AE36" s="509">
        <f t="shared" si="45"/>
        <v>0</v>
      </c>
      <c r="AF36" s="129"/>
      <c r="AG36" s="129"/>
      <c r="AH36" s="129"/>
      <c r="AI36" s="509">
        <f t="shared" si="46"/>
        <v>0</v>
      </c>
      <c r="AJ36" s="129"/>
      <c r="AK36" s="129"/>
      <c r="AL36" s="129"/>
      <c r="AM36" s="509">
        <f t="shared" si="47"/>
        <v>0</v>
      </c>
      <c r="AN36" s="129"/>
      <c r="AO36" s="129"/>
      <c r="AP36" s="129"/>
      <c r="AQ36" s="509">
        <f t="shared" si="48"/>
        <v>0</v>
      </c>
      <c r="AR36" s="129"/>
      <c r="AS36" s="129"/>
      <c r="AT36" s="129"/>
      <c r="AU36" s="509">
        <f t="shared" si="49"/>
        <v>0</v>
      </c>
      <c r="AV36" s="129"/>
      <c r="AW36" s="129"/>
      <c r="AX36" s="129"/>
      <c r="AY36" s="509">
        <f t="shared" si="50"/>
        <v>0</v>
      </c>
      <c r="AZ36" s="23">
        <f t="shared" si="51"/>
        <v>0</v>
      </c>
      <c r="BA36" s="23">
        <f t="shared" si="51"/>
        <v>0</v>
      </c>
      <c r="BB36" s="509">
        <f t="shared" si="52"/>
        <v>0</v>
      </c>
      <c r="BC36" s="23">
        <f t="shared" si="53"/>
        <v>0</v>
      </c>
      <c r="BD36" s="257">
        <f t="shared" si="53"/>
        <v>0</v>
      </c>
      <c r="BE36" s="257">
        <f t="shared" si="54"/>
        <v>0</v>
      </c>
      <c r="BF36" s="257">
        <f t="shared" si="55"/>
        <v>0</v>
      </c>
      <c r="BG36" s="23">
        <f t="shared" si="55"/>
        <v>0</v>
      </c>
      <c r="BH36" s="257">
        <f t="shared" si="56"/>
        <v>0</v>
      </c>
      <c r="BI36" s="23">
        <f t="shared" si="57"/>
        <v>0</v>
      </c>
      <c r="BJ36" s="23">
        <f t="shared" si="57"/>
        <v>0</v>
      </c>
      <c r="BK36" s="257">
        <f t="shared" si="58"/>
        <v>0</v>
      </c>
      <c r="BL36" s="23">
        <f t="shared" si="59"/>
        <v>0</v>
      </c>
      <c r="BM36" s="23">
        <f t="shared" si="59"/>
        <v>0</v>
      </c>
      <c r="BN36" s="257">
        <f t="shared" si="59"/>
        <v>0</v>
      </c>
      <c r="BO36" s="466">
        <f t="shared" si="60"/>
        <v>0</v>
      </c>
      <c r="BP36" s="472"/>
      <c r="BQ36" s="23">
        <f t="shared" si="61"/>
        <v>0</v>
      </c>
      <c r="BR36" s="23" t="e">
        <f>E36+I36+M36+Q36+U36+Y36+#REF!</f>
        <v>#REF!</v>
      </c>
      <c r="BS36" s="466">
        <f t="shared" si="34"/>
        <v>0</v>
      </c>
      <c r="BT36" s="509">
        <f t="shared" si="62"/>
        <v>0</v>
      </c>
      <c r="BU36" s="466">
        <f t="shared" si="9"/>
        <v>0</v>
      </c>
    </row>
    <row r="37" spans="1:73" ht="12.6" customHeight="1">
      <c r="A37" s="254" t="s">
        <v>87</v>
      </c>
      <c r="B37" s="129">
        <f t="shared" si="37"/>
        <v>0</v>
      </c>
      <c r="C37" s="257"/>
      <c r="D37" s="129"/>
      <c r="E37" s="129"/>
      <c r="F37" s="129"/>
      <c r="G37" s="509">
        <f t="shared" si="38"/>
        <v>0</v>
      </c>
      <c r="H37" s="129"/>
      <c r="I37" s="129"/>
      <c r="J37" s="129"/>
      <c r="K37" s="509">
        <f t="shared" si="39"/>
        <v>0</v>
      </c>
      <c r="L37" s="129"/>
      <c r="M37" s="129"/>
      <c r="N37" s="129"/>
      <c r="O37" s="509">
        <f t="shared" si="40"/>
        <v>0</v>
      </c>
      <c r="P37" s="129"/>
      <c r="Q37" s="129"/>
      <c r="R37" s="129"/>
      <c r="S37" s="509">
        <f t="shared" si="41"/>
        <v>0</v>
      </c>
      <c r="T37" s="129"/>
      <c r="U37" s="129"/>
      <c r="V37" s="129">
        <f t="shared" si="42"/>
        <v>0</v>
      </c>
      <c r="W37" s="509">
        <f t="shared" si="43"/>
        <v>0</v>
      </c>
      <c r="X37" s="129"/>
      <c r="Y37" s="129"/>
      <c r="Z37" s="129"/>
      <c r="AA37" s="509">
        <f t="shared" si="44"/>
        <v>0</v>
      </c>
      <c r="AB37" s="129"/>
      <c r="AC37" s="129"/>
      <c r="AD37" s="129"/>
      <c r="AE37" s="509">
        <f t="shared" si="45"/>
        <v>0</v>
      </c>
      <c r="AF37" s="129"/>
      <c r="AG37" s="129"/>
      <c r="AH37" s="129"/>
      <c r="AI37" s="509">
        <f t="shared" si="46"/>
        <v>0</v>
      </c>
      <c r="AJ37" s="129"/>
      <c r="AK37" s="129"/>
      <c r="AL37" s="129"/>
      <c r="AM37" s="509">
        <f t="shared" si="47"/>
        <v>0</v>
      </c>
      <c r="AN37" s="129"/>
      <c r="AO37" s="129"/>
      <c r="AP37" s="129"/>
      <c r="AQ37" s="509">
        <f t="shared" si="48"/>
        <v>0</v>
      </c>
      <c r="AR37" s="129"/>
      <c r="AS37" s="129"/>
      <c r="AT37" s="129"/>
      <c r="AU37" s="509">
        <f t="shared" si="49"/>
        <v>0</v>
      </c>
      <c r="AV37" s="129"/>
      <c r="AW37" s="129"/>
      <c r="AX37" s="129"/>
      <c r="AY37" s="509">
        <f t="shared" si="50"/>
        <v>0</v>
      </c>
      <c r="AZ37" s="23">
        <f t="shared" si="51"/>
        <v>0</v>
      </c>
      <c r="BA37" s="23">
        <f t="shared" si="51"/>
        <v>0</v>
      </c>
      <c r="BB37" s="509">
        <f t="shared" si="52"/>
        <v>0</v>
      </c>
      <c r="BC37" s="23">
        <f t="shared" si="53"/>
        <v>0</v>
      </c>
      <c r="BD37" s="257">
        <f t="shared" si="53"/>
        <v>0</v>
      </c>
      <c r="BE37" s="257">
        <f t="shared" si="54"/>
        <v>0</v>
      </c>
      <c r="BF37" s="257">
        <f t="shared" si="55"/>
        <v>0</v>
      </c>
      <c r="BG37" s="23">
        <f t="shared" si="55"/>
        <v>0</v>
      </c>
      <c r="BH37" s="257">
        <f t="shared" si="56"/>
        <v>0</v>
      </c>
      <c r="BI37" s="23">
        <f t="shared" si="57"/>
        <v>0</v>
      </c>
      <c r="BJ37" s="23">
        <f t="shared" si="57"/>
        <v>0</v>
      </c>
      <c r="BK37" s="257">
        <f t="shared" si="58"/>
        <v>0</v>
      </c>
      <c r="BL37" s="23">
        <f t="shared" si="59"/>
        <v>0</v>
      </c>
      <c r="BM37" s="23">
        <f t="shared" si="59"/>
        <v>0</v>
      </c>
      <c r="BN37" s="257">
        <f t="shared" si="59"/>
        <v>0</v>
      </c>
      <c r="BO37" s="466">
        <f t="shared" si="60"/>
        <v>0</v>
      </c>
      <c r="BP37" s="472"/>
      <c r="BQ37" s="23">
        <f t="shared" si="61"/>
        <v>0</v>
      </c>
      <c r="BR37" s="23" t="e">
        <f>E37+I37+M37+Q37+U37+Y37+#REF!</f>
        <v>#REF!</v>
      </c>
      <c r="BS37" s="466">
        <f t="shared" si="34"/>
        <v>0</v>
      </c>
      <c r="BT37" s="509">
        <f t="shared" si="62"/>
        <v>0</v>
      </c>
      <c r="BU37" s="466">
        <f t="shared" si="9"/>
        <v>0</v>
      </c>
    </row>
    <row r="38" spans="1:73" ht="12.6" customHeight="1">
      <c r="A38" s="254" t="s">
        <v>86</v>
      </c>
      <c r="B38" s="129">
        <f t="shared" si="37"/>
        <v>0</v>
      </c>
      <c r="C38" s="257"/>
      <c r="D38" s="129"/>
      <c r="E38" s="129"/>
      <c r="F38" s="129"/>
      <c r="G38" s="509">
        <f t="shared" si="38"/>
        <v>0</v>
      </c>
      <c r="H38" s="129"/>
      <c r="I38" s="129"/>
      <c r="J38" s="129"/>
      <c r="K38" s="509">
        <f t="shared" si="39"/>
        <v>0</v>
      </c>
      <c r="L38" s="129"/>
      <c r="M38" s="129"/>
      <c r="N38" s="129"/>
      <c r="O38" s="509">
        <f t="shared" si="40"/>
        <v>0</v>
      </c>
      <c r="P38" s="129"/>
      <c r="Q38" s="129"/>
      <c r="R38" s="129"/>
      <c r="S38" s="509">
        <f t="shared" si="41"/>
        <v>0</v>
      </c>
      <c r="T38" s="129"/>
      <c r="U38" s="129"/>
      <c r="V38" s="129">
        <f>(T38*U38)/10^6</f>
        <v>0</v>
      </c>
      <c r="W38" s="509">
        <f t="shared" si="43"/>
        <v>0</v>
      </c>
      <c r="X38" s="129"/>
      <c r="Y38" s="129"/>
      <c r="Z38" s="129"/>
      <c r="AA38" s="509">
        <f t="shared" si="44"/>
        <v>0</v>
      </c>
      <c r="AB38" s="129"/>
      <c r="AC38" s="129"/>
      <c r="AD38" s="129"/>
      <c r="AE38" s="509">
        <f t="shared" si="45"/>
        <v>0</v>
      </c>
      <c r="AF38" s="129"/>
      <c r="AG38" s="129"/>
      <c r="AH38" s="129"/>
      <c r="AI38" s="509">
        <f t="shared" si="46"/>
        <v>0</v>
      </c>
      <c r="AJ38" s="129"/>
      <c r="AK38" s="129"/>
      <c r="AL38" s="129"/>
      <c r="AM38" s="509">
        <f t="shared" si="47"/>
        <v>0</v>
      </c>
      <c r="AN38" s="129"/>
      <c r="AO38" s="129"/>
      <c r="AP38" s="129"/>
      <c r="AQ38" s="509">
        <f t="shared" si="48"/>
        <v>0</v>
      </c>
      <c r="AR38" s="129"/>
      <c r="AS38" s="129"/>
      <c r="AT38" s="129"/>
      <c r="AU38" s="509">
        <f t="shared" si="49"/>
        <v>0</v>
      </c>
      <c r="AV38" s="129"/>
      <c r="AW38" s="129"/>
      <c r="AX38" s="129"/>
      <c r="AY38" s="509">
        <f t="shared" si="50"/>
        <v>0</v>
      </c>
      <c r="AZ38" s="23">
        <f t="shared" si="51"/>
        <v>0</v>
      </c>
      <c r="BA38" s="23">
        <f t="shared" si="51"/>
        <v>0</v>
      </c>
      <c r="BB38" s="509">
        <f t="shared" si="52"/>
        <v>0</v>
      </c>
      <c r="BC38" s="23">
        <f t="shared" si="53"/>
        <v>0</v>
      </c>
      <c r="BD38" s="257">
        <f t="shared" si="53"/>
        <v>0</v>
      </c>
      <c r="BE38" s="257">
        <f t="shared" si="54"/>
        <v>0</v>
      </c>
      <c r="BF38" s="257">
        <f t="shared" si="55"/>
        <v>0</v>
      </c>
      <c r="BG38" s="23">
        <f t="shared" si="55"/>
        <v>0</v>
      </c>
      <c r="BH38" s="257">
        <f t="shared" si="56"/>
        <v>0</v>
      </c>
      <c r="BI38" s="23">
        <f t="shared" si="57"/>
        <v>0</v>
      </c>
      <c r="BJ38" s="23">
        <f t="shared" si="57"/>
        <v>0</v>
      </c>
      <c r="BK38" s="257">
        <f t="shared" si="58"/>
        <v>0</v>
      </c>
      <c r="BL38" s="23">
        <f t="shared" si="59"/>
        <v>0</v>
      </c>
      <c r="BM38" s="23">
        <f t="shared" si="59"/>
        <v>0</v>
      </c>
      <c r="BN38" s="257">
        <f t="shared" si="59"/>
        <v>0</v>
      </c>
      <c r="BO38" s="466">
        <f t="shared" si="60"/>
        <v>0</v>
      </c>
      <c r="BP38" s="472"/>
      <c r="BQ38" s="23">
        <f t="shared" si="61"/>
        <v>0</v>
      </c>
      <c r="BR38" s="23" t="e">
        <f>E38+I38+M38+Q38+U38+Y38+#REF!</f>
        <v>#REF!</v>
      </c>
      <c r="BS38" s="466">
        <f t="shared" si="34"/>
        <v>0</v>
      </c>
      <c r="BT38" s="509">
        <f t="shared" si="62"/>
        <v>0</v>
      </c>
      <c r="BU38" s="466">
        <f t="shared" ref="BU38:BU69" si="63">IFERROR(BR38/B38,0)</f>
        <v>0</v>
      </c>
    </row>
    <row r="39" spans="1:73" ht="12.6" customHeight="1">
      <c r="A39" s="254" t="s">
        <v>107</v>
      </c>
      <c r="B39" s="129">
        <f t="shared" si="37"/>
        <v>0</v>
      </c>
      <c r="C39" s="257"/>
      <c r="D39" s="129"/>
      <c r="E39" s="129"/>
      <c r="F39" s="129"/>
      <c r="G39" s="509">
        <f t="shared" si="38"/>
        <v>0</v>
      </c>
      <c r="H39" s="129"/>
      <c r="I39" s="129"/>
      <c r="J39" s="129"/>
      <c r="K39" s="509">
        <f t="shared" si="39"/>
        <v>0</v>
      </c>
      <c r="L39" s="129"/>
      <c r="M39" s="129"/>
      <c r="N39" s="129"/>
      <c r="O39" s="509">
        <f t="shared" si="40"/>
        <v>0</v>
      </c>
      <c r="P39" s="129"/>
      <c r="Q39" s="129"/>
      <c r="R39" s="129"/>
      <c r="S39" s="509">
        <f t="shared" si="41"/>
        <v>0</v>
      </c>
      <c r="T39" s="129"/>
      <c r="U39" s="129"/>
      <c r="V39" s="129">
        <f>(T39*U39)/10^6</f>
        <v>0</v>
      </c>
      <c r="W39" s="509">
        <f t="shared" si="43"/>
        <v>0</v>
      </c>
      <c r="X39" s="129"/>
      <c r="Y39" s="129"/>
      <c r="Z39" s="129"/>
      <c r="AA39" s="509">
        <f t="shared" si="44"/>
        <v>0</v>
      </c>
      <c r="AB39" s="129"/>
      <c r="AC39" s="129"/>
      <c r="AD39" s="129"/>
      <c r="AE39" s="509">
        <f t="shared" si="45"/>
        <v>0</v>
      </c>
      <c r="AF39" s="129"/>
      <c r="AG39" s="129"/>
      <c r="AH39" s="129"/>
      <c r="AI39" s="509">
        <f t="shared" si="46"/>
        <v>0</v>
      </c>
      <c r="AJ39" s="129"/>
      <c r="AK39" s="129"/>
      <c r="AL39" s="129"/>
      <c r="AM39" s="509">
        <f t="shared" si="47"/>
        <v>0</v>
      </c>
      <c r="AN39" s="129"/>
      <c r="AO39" s="129"/>
      <c r="AP39" s="129"/>
      <c r="AQ39" s="509">
        <f t="shared" si="48"/>
        <v>0</v>
      </c>
      <c r="AR39" s="129"/>
      <c r="AS39" s="129"/>
      <c r="AT39" s="129"/>
      <c r="AU39" s="509">
        <f t="shared" si="49"/>
        <v>0</v>
      </c>
      <c r="AV39" s="129"/>
      <c r="AW39" s="129"/>
      <c r="AX39" s="129"/>
      <c r="AY39" s="509">
        <f t="shared" si="50"/>
        <v>0</v>
      </c>
      <c r="AZ39" s="23">
        <f t="shared" si="51"/>
        <v>0</v>
      </c>
      <c r="BA39" s="23">
        <f t="shared" si="51"/>
        <v>0</v>
      </c>
      <c r="BB39" s="509">
        <f t="shared" si="52"/>
        <v>0</v>
      </c>
      <c r="BC39" s="23">
        <f t="shared" si="53"/>
        <v>0</v>
      </c>
      <c r="BD39" s="257">
        <f t="shared" si="53"/>
        <v>0</v>
      </c>
      <c r="BE39" s="257">
        <f t="shared" si="54"/>
        <v>0</v>
      </c>
      <c r="BF39" s="257">
        <f t="shared" si="55"/>
        <v>0</v>
      </c>
      <c r="BG39" s="23">
        <f t="shared" si="55"/>
        <v>0</v>
      </c>
      <c r="BH39" s="257">
        <f t="shared" si="56"/>
        <v>0</v>
      </c>
      <c r="BI39" s="23">
        <f t="shared" si="57"/>
        <v>0</v>
      </c>
      <c r="BJ39" s="23">
        <f t="shared" si="57"/>
        <v>0</v>
      </c>
      <c r="BK39" s="257">
        <f t="shared" si="58"/>
        <v>0</v>
      </c>
      <c r="BL39" s="23">
        <f t="shared" si="59"/>
        <v>0</v>
      </c>
      <c r="BM39" s="23">
        <f t="shared" si="59"/>
        <v>0</v>
      </c>
      <c r="BN39" s="257">
        <f t="shared" si="59"/>
        <v>0</v>
      </c>
      <c r="BO39" s="466">
        <f t="shared" si="60"/>
        <v>0</v>
      </c>
      <c r="BP39" s="472"/>
      <c r="BQ39" s="23">
        <f t="shared" si="61"/>
        <v>0</v>
      </c>
      <c r="BR39" s="23" t="e">
        <f>E39+I39+M39+Q39+U39+Y39+#REF!</f>
        <v>#REF!</v>
      </c>
      <c r="BS39" s="466">
        <f t="shared" si="34"/>
        <v>0</v>
      </c>
      <c r="BT39" s="509">
        <f t="shared" si="62"/>
        <v>0</v>
      </c>
      <c r="BU39" s="466">
        <f t="shared" si="63"/>
        <v>0</v>
      </c>
    </row>
    <row r="40" spans="1:73" ht="12.6" customHeight="1">
      <c r="A40" s="254" t="s">
        <v>40</v>
      </c>
      <c r="B40" s="129">
        <f t="shared" si="37"/>
        <v>60</v>
      </c>
      <c r="C40" s="257"/>
      <c r="D40" s="129"/>
      <c r="E40" s="129"/>
      <c r="F40" s="129"/>
      <c r="G40" s="509">
        <f t="shared" si="38"/>
        <v>0</v>
      </c>
      <c r="H40" s="129">
        <v>15</v>
      </c>
      <c r="I40" s="129"/>
      <c r="J40" s="129"/>
      <c r="K40" s="509">
        <f t="shared" si="39"/>
        <v>0</v>
      </c>
      <c r="L40" s="129"/>
      <c r="M40" s="129">
        <v>16</v>
      </c>
      <c r="N40" s="129">
        <v>3102.7</v>
      </c>
      <c r="O40" s="509">
        <f>M40*(N40-2222)*67.28/10^7</f>
        <v>9.4805593599999988E-2</v>
      </c>
      <c r="P40" s="129">
        <v>15</v>
      </c>
      <c r="Q40" s="129"/>
      <c r="R40" s="129"/>
      <c r="S40" s="509">
        <f t="shared" si="41"/>
        <v>0</v>
      </c>
      <c r="T40" s="129"/>
      <c r="U40" s="129"/>
      <c r="V40" s="129">
        <f t="shared" si="42"/>
        <v>0</v>
      </c>
      <c r="W40" s="509">
        <f t="shared" si="43"/>
        <v>0</v>
      </c>
      <c r="X40" s="129"/>
      <c r="Y40" s="129"/>
      <c r="Z40" s="129"/>
      <c r="AA40" s="509">
        <f t="shared" si="44"/>
        <v>0</v>
      </c>
      <c r="AB40" s="129">
        <v>15</v>
      </c>
      <c r="AC40" s="129"/>
      <c r="AD40" s="129"/>
      <c r="AE40" s="509">
        <f t="shared" si="45"/>
        <v>0</v>
      </c>
      <c r="AF40" s="129"/>
      <c r="AG40" s="129"/>
      <c r="AH40" s="129"/>
      <c r="AI40" s="509">
        <f t="shared" si="46"/>
        <v>0</v>
      </c>
      <c r="AJ40" s="129">
        <v>15</v>
      </c>
      <c r="AK40" s="129"/>
      <c r="AL40" s="129"/>
      <c r="AM40" s="509">
        <f t="shared" si="47"/>
        <v>0</v>
      </c>
      <c r="AN40" s="129"/>
      <c r="AO40" s="129"/>
      <c r="AP40" s="129"/>
      <c r="AQ40" s="509">
        <f t="shared" si="48"/>
        <v>0</v>
      </c>
      <c r="AR40" s="129"/>
      <c r="AS40" s="129"/>
      <c r="AT40" s="129"/>
      <c r="AU40" s="509">
        <f t="shared" si="49"/>
        <v>0</v>
      </c>
      <c r="AV40" s="129"/>
      <c r="AW40" s="129"/>
      <c r="AX40" s="129"/>
      <c r="AY40" s="509">
        <f t="shared" si="50"/>
        <v>0</v>
      </c>
      <c r="AZ40" s="23">
        <f t="shared" si="51"/>
        <v>15</v>
      </c>
      <c r="BA40" s="23">
        <f t="shared" si="51"/>
        <v>16</v>
      </c>
      <c r="BB40" s="509">
        <f t="shared" si="52"/>
        <v>9.4805593599999988E-2</v>
      </c>
      <c r="BC40" s="23">
        <f t="shared" si="53"/>
        <v>15</v>
      </c>
      <c r="BD40" s="257">
        <f t="shared" si="53"/>
        <v>0</v>
      </c>
      <c r="BE40" s="257">
        <f t="shared" si="54"/>
        <v>0</v>
      </c>
      <c r="BF40" s="257">
        <f t="shared" si="55"/>
        <v>30</v>
      </c>
      <c r="BG40" s="23">
        <f t="shared" si="55"/>
        <v>0</v>
      </c>
      <c r="BH40" s="257">
        <f t="shared" si="56"/>
        <v>0</v>
      </c>
      <c r="BI40" s="23">
        <f t="shared" si="57"/>
        <v>0</v>
      </c>
      <c r="BJ40" s="23">
        <f t="shared" si="57"/>
        <v>0</v>
      </c>
      <c r="BK40" s="257">
        <f t="shared" si="58"/>
        <v>0</v>
      </c>
      <c r="BL40" s="23">
        <f t="shared" si="59"/>
        <v>60</v>
      </c>
      <c r="BM40" s="23">
        <f t="shared" si="59"/>
        <v>16</v>
      </c>
      <c r="BN40" s="257">
        <f t="shared" si="59"/>
        <v>9.4805593599999988E-2</v>
      </c>
      <c r="BO40" s="466">
        <f t="shared" si="60"/>
        <v>0.26666666666666666</v>
      </c>
      <c r="BP40" s="472"/>
      <c r="BQ40" s="23">
        <f t="shared" si="61"/>
        <v>45</v>
      </c>
      <c r="BR40" s="23" t="e">
        <f>E40+I40+M40+Q40+U40+Y40+#REF!</f>
        <v>#REF!</v>
      </c>
      <c r="BS40" s="466">
        <f t="shared" si="34"/>
        <v>0</v>
      </c>
      <c r="BT40" s="509">
        <f t="shared" si="62"/>
        <v>9.4805593599999988E-2</v>
      </c>
      <c r="BU40" s="466">
        <f t="shared" si="63"/>
        <v>0</v>
      </c>
    </row>
    <row r="41" spans="1:73" ht="12.6" customHeight="1">
      <c r="A41" s="254" t="s">
        <v>30</v>
      </c>
      <c r="B41" s="129">
        <f t="shared" si="37"/>
        <v>120</v>
      </c>
      <c r="C41" s="257"/>
      <c r="D41" s="129"/>
      <c r="E41" s="129"/>
      <c r="F41" s="129"/>
      <c r="G41" s="509">
        <f t="shared" si="38"/>
        <v>0</v>
      </c>
      <c r="H41" s="129"/>
      <c r="I41" s="129"/>
      <c r="J41" s="129"/>
      <c r="K41" s="509">
        <f t="shared" si="39"/>
        <v>0</v>
      </c>
      <c r="L41" s="129">
        <v>20</v>
      </c>
      <c r="M41" s="129">
        <v>10</v>
      </c>
      <c r="N41" s="129">
        <v>4083.2</v>
      </c>
      <c r="O41" s="509">
        <f>M41*(N41-2638)*67.28/10^7</f>
        <v>9.7233055999999998E-2</v>
      </c>
      <c r="P41" s="129">
        <v>20</v>
      </c>
      <c r="Q41" s="129"/>
      <c r="R41" s="129"/>
      <c r="S41" s="509">
        <f t="shared" si="41"/>
        <v>0</v>
      </c>
      <c r="T41" s="129"/>
      <c r="U41" s="129"/>
      <c r="V41" s="129">
        <f t="shared" si="42"/>
        <v>0</v>
      </c>
      <c r="W41" s="509">
        <f t="shared" si="43"/>
        <v>0</v>
      </c>
      <c r="X41" s="129">
        <v>20</v>
      </c>
      <c r="Y41" s="129"/>
      <c r="Z41" s="129"/>
      <c r="AA41" s="509">
        <f t="shared" si="44"/>
        <v>0</v>
      </c>
      <c r="AB41" s="129"/>
      <c r="AC41" s="129"/>
      <c r="AD41" s="129"/>
      <c r="AE41" s="509">
        <f t="shared" si="45"/>
        <v>0</v>
      </c>
      <c r="AF41" s="129">
        <v>20</v>
      </c>
      <c r="AG41" s="129">
        <v>19</v>
      </c>
      <c r="AH41" s="129">
        <v>4238</v>
      </c>
      <c r="AI41" s="509">
        <f>AG41*(AH41-2697)*67.58/10^7</f>
        <v>0.19786748200000001</v>
      </c>
      <c r="AJ41" s="129"/>
      <c r="AK41" s="129"/>
      <c r="AL41" s="129"/>
      <c r="AM41" s="509">
        <f t="shared" si="47"/>
        <v>0</v>
      </c>
      <c r="AN41" s="129">
        <v>20</v>
      </c>
      <c r="AO41" s="129"/>
      <c r="AP41" s="129"/>
      <c r="AQ41" s="509">
        <f t="shared" si="48"/>
        <v>0</v>
      </c>
      <c r="AR41" s="129"/>
      <c r="AS41" s="129">
        <v>18</v>
      </c>
      <c r="AT41" s="129">
        <v>4042</v>
      </c>
      <c r="AU41" s="509">
        <f>AS41*(AT41-2600)*67.01/10^7</f>
        <v>0.173931156</v>
      </c>
      <c r="AV41" s="129">
        <v>20</v>
      </c>
      <c r="AW41" s="129"/>
      <c r="AX41" s="129"/>
      <c r="AY41" s="509">
        <f t="shared" si="50"/>
        <v>0</v>
      </c>
      <c r="AZ41" s="23">
        <f t="shared" si="51"/>
        <v>20</v>
      </c>
      <c r="BA41" s="23">
        <f t="shared" si="51"/>
        <v>10</v>
      </c>
      <c r="BB41" s="509">
        <f t="shared" si="52"/>
        <v>9.7233055999999998E-2</v>
      </c>
      <c r="BC41" s="23">
        <f t="shared" si="53"/>
        <v>40</v>
      </c>
      <c r="BD41" s="257">
        <f t="shared" si="53"/>
        <v>0</v>
      </c>
      <c r="BE41" s="257">
        <f t="shared" si="54"/>
        <v>0</v>
      </c>
      <c r="BF41" s="257">
        <f t="shared" si="55"/>
        <v>20</v>
      </c>
      <c r="BG41" s="23">
        <f t="shared" si="55"/>
        <v>19</v>
      </c>
      <c r="BH41" s="257">
        <f t="shared" si="56"/>
        <v>0.19786748200000001</v>
      </c>
      <c r="BI41" s="23">
        <f t="shared" si="57"/>
        <v>40</v>
      </c>
      <c r="BJ41" s="23">
        <f t="shared" si="57"/>
        <v>18</v>
      </c>
      <c r="BK41" s="257">
        <f t="shared" si="58"/>
        <v>0.173931156</v>
      </c>
      <c r="BL41" s="23">
        <f t="shared" si="59"/>
        <v>120</v>
      </c>
      <c r="BM41" s="23">
        <f t="shared" si="59"/>
        <v>47</v>
      </c>
      <c r="BN41" s="257">
        <f t="shared" si="59"/>
        <v>0.469031694</v>
      </c>
      <c r="BO41" s="466">
        <f t="shared" si="60"/>
        <v>0.39166666666666666</v>
      </c>
      <c r="BP41" s="472"/>
      <c r="BQ41" s="23">
        <f t="shared" si="61"/>
        <v>60</v>
      </c>
      <c r="BR41" s="23" t="e">
        <f>E41+I41+M41+Q41+U41+Y41+#REF!</f>
        <v>#REF!</v>
      </c>
      <c r="BS41" s="466">
        <f t="shared" si="34"/>
        <v>0</v>
      </c>
      <c r="BT41" s="509">
        <f t="shared" si="62"/>
        <v>9.7233055999999998E-2</v>
      </c>
      <c r="BU41" s="466">
        <f t="shared" si="63"/>
        <v>0</v>
      </c>
    </row>
    <row r="42" spans="1:73" ht="12.6" customHeight="1">
      <c r="A42" s="254" t="s">
        <v>120</v>
      </c>
      <c r="B42" s="129">
        <f t="shared" si="37"/>
        <v>0</v>
      </c>
      <c r="C42" s="257"/>
      <c r="D42" s="129"/>
      <c r="E42" s="129"/>
      <c r="F42" s="129"/>
      <c r="G42" s="509">
        <f t="shared" si="38"/>
        <v>0</v>
      </c>
      <c r="H42" s="129"/>
      <c r="I42" s="129"/>
      <c r="J42" s="129"/>
      <c r="K42" s="509">
        <f t="shared" si="39"/>
        <v>0</v>
      </c>
      <c r="L42" s="129"/>
      <c r="M42" s="129"/>
      <c r="N42" s="129"/>
      <c r="O42" s="509">
        <f t="shared" si="40"/>
        <v>0</v>
      </c>
      <c r="P42" s="129"/>
      <c r="Q42" s="129"/>
      <c r="R42" s="129"/>
      <c r="S42" s="509">
        <f t="shared" si="41"/>
        <v>0</v>
      </c>
      <c r="T42" s="129"/>
      <c r="U42" s="129"/>
      <c r="V42" s="129">
        <f t="shared" si="42"/>
        <v>0</v>
      </c>
      <c r="W42" s="509">
        <f t="shared" si="43"/>
        <v>0</v>
      </c>
      <c r="X42" s="129"/>
      <c r="Y42" s="129"/>
      <c r="Z42" s="129"/>
      <c r="AA42" s="509">
        <f t="shared" si="44"/>
        <v>0</v>
      </c>
      <c r="AB42" s="129"/>
      <c r="AC42" s="129"/>
      <c r="AD42" s="129"/>
      <c r="AE42" s="509">
        <f t="shared" si="45"/>
        <v>0</v>
      </c>
      <c r="AF42" s="129"/>
      <c r="AG42" s="129"/>
      <c r="AH42" s="129"/>
      <c r="AI42" s="509">
        <f t="shared" si="46"/>
        <v>0</v>
      </c>
      <c r="AJ42" s="129"/>
      <c r="AK42" s="129"/>
      <c r="AL42" s="129"/>
      <c r="AM42" s="509">
        <f t="shared" si="47"/>
        <v>0</v>
      </c>
      <c r="AN42" s="129"/>
      <c r="AO42" s="129"/>
      <c r="AP42" s="129"/>
      <c r="AQ42" s="509">
        <f t="shared" si="48"/>
        <v>0</v>
      </c>
      <c r="AR42" s="129"/>
      <c r="AS42" s="129"/>
      <c r="AT42" s="129"/>
      <c r="AU42" s="509">
        <f t="shared" si="49"/>
        <v>0</v>
      </c>
      <c r="AV42" s="129"/>
      <c r="AW42" s="129"/>
      <c r="AX42" s="129"/>
      <c r="AY42" s="509">
        <f t="shared" si="50"/>
        <v>0</v>
      </c>
      <c r="AZ42" s="23">
        <f t="shared" si="51"/>
        <v>0</v>
      </c>
      <c r="BA42" s="23">
        <f t="shared" si="51"/>
        <v>0</v>
      </c>
      <c r="BB42" s="509">
        <f t="shared" si="52"/>
        <v>0</v>
      </c>
      <c r="BC42" s="23">
        <f t="shared" si="53"/>
        <v>0</v>
      </c>
      <c r="BD42" s="257">
        <f t="shared" si="53"/>
        <v>0</v>
      </c>
      <c r="BE42" s="257">
        <f t="shared" si="54"/>
        <v>0</v>
      </c>
      <c r="BF42" s="257">
        <f t="shared" si="55"/>
        <v>0</v>
      </c>
      <c r="BG42" s="23">
        <f t="shared" si="55"/>
        <v>0</v>
      </c>
      <c r="BH42" s="257">
        <f t="shared" si="56"/>
        <v>0</v>
      </c>
      <c r="BI42" s="23">
        <f t="shared" si="57"/>
        <v>0</v>
      </c>
      <c r="BJ42" s="23">
        <f t="shared" si="57"/>
        <v>0</v>
      </c>
      <c r="BK42" s="257">
        <f t="shared" si="58"/>
        <v>0</v>
      </c>
      <c r="BL42" s="23">
        <f t="shared" si="59"/>
        <v>0</v>
      </c>
      <c r="BM42" s="23">
        <f t="shared" si="59"/>
        <v>0</v>
      </c>
      <c r="BN42" s="257">
        <f t="shared" si="59"/>
        <v>0</v>
      </c>
      <c r="BO42" s="466">
        <f t="shared" si="60"/>
        <v>0</v>
      </c>
      <c r="BP42" s="472"/>
      <c r="BQ42" s="23">
        <f t="shared" si="61"/>
        <v>0</v>
      </c>
      <c r="BR42" s="23" t="e">
        <f>E42+I42+M42+Q42+U42+Y42+#REF!</f>
        <v>#REF!</v>
      </c>
      <c r="BS42" s="466">
        <f t="shared" si="34"/>
        <v>0</v>
      </c>
      <c r="BT42" s="509">
        <f t="shared" si="62"/>
        <v>0</v>
      </c>
      <c r="BU42" s="466">
        <f t="shared" si="63"/>
        <v>0</v>
      </c>
    </row>
    <row r="43" spans="1:73" ht="12.6" customHeight="1">
      <c r="A43" s="254" t="s">
        <v>36</v>
      </c>
      <c r="B43" s="129">
        <f t="shared" si="37"/>
        <v>0</v>
      </c>
      <c r="C43" s="257"/>
      <c r="D43" s="129"/>
      <c r="E43" s="129"/>
      <c r="F43" s="129"/>
      <c r="G43" s="509">
        <f t="shared" si="38"/>
        <v>0</v>
      </c>
      <c r="H43" s="129"/>
      <c r="I43" s="129"/>
      <c r="J43" s="129"/>
      <c r="K43" s="509">
        <f t="shared" si="39"/>
        <v>0</v>
      </c>
      <c r="L43" s="129"/>
      <c r="M43" s="129"/>
      <c r="N43" s="129"/>
      <c r="O43" s="509">
        <f t="shared" si="40"/>
        <v>0</v>
      </c>
      <c r="P43" s="129"/>
      <c r="Q43" s="129"/>
      <c r="R43" s="129"/>
      <c r="S43" s="509">
        <f t="shared" si="41"/>
        <v>0</v>
      </c>
      <c r="T43" s="129"/>
      <c r="U43" s="129"/>
      <c r="V43" s="129">
        <f t="shared" si="42"/>
        <v>0</v>
      </c>
      <c r="W43" s="509">
        <f t="shared" si="43"/>
        <v>0</v>
      </c>
      <c r="X43" s="129"/>
      <c r="Y43" s="129"/>
      <c r="Z43" s="129"/>
      <c r="AA43" s="509">
        <f t="shared" si="44"/>
        <v>0</v>
      </c>
      <c r="AB43" s="129"/>
      <c r="AC43" s="129"/>
      <c r="AD43" s="129"/>
      <c r="AE43" s="509">
        <f t="shared" si="45"/>
        <v>0</v>
      </c>
      <c r="AF43" s="129"/>
      <c r="AG43" s="129"/>
      <c r="AH43" s="129"/>
      <c r="AI43" s="509">
        <f t="shared" si="46"/>
        <v>0</v>
      </c>
      <c r="AJ43" s="129"/>
      <c r="AK43" s="129"/>
      <c r="AL43" s="129"/>
      <c r="AM43" s="509">
        <f t="shared" si="47"/>
        <v>0</v>
      </c>
      <c r="AN43" s="129"/>
      <c r="AO43" s="129"/>
      <c r="AP43" s="129"/>
      <c r="AQ43" s="509">
        <f t="shared" si="48"/>
        <v>0</v>
      </c>
      <c r="AR43" s="129"/>
      <c r="AS43" s="129"/>
      <c r="AT43" s="129"/>
      <c r="AU43" s="509">
        <f t="shared" si="49"/>
        <v>0</v>
      </c>
      <c r="AV43" s="129"/>
      <c r="AW43" s="129"/>
      <c r="AX43" s="129"/>
      <c r="AY43" s="509">
        <f t="shared" si="50"/>
        <v>0</v>
      </c>
      <c r="AZ43" s="23">
        <f t="shared" si="51"/>
        <v>0</v>
      </c>
      <c r="BA43" s="23">
        <f t="shared" si="51"/>
        <v>0</v>
      </c>
      <c r="BB43" s="509">
        <f t="shared" si="52"/>
        <v>0</v>
      </c>
      <c r="BC43" s="23">
        <f t="shared" si="53"/>
        <v>0</v>
      </c>
      <c r="BD43" s="257">
        <f t="shared" si="53"/>
        <v>0</v>
      </c>
      <c r="BE43" s="257">
        <f t="shared" si="54"/>
        <v>0</v>
      </c>
      <c r="BF43" s="257">
        <f t="shared" si="55"/>
        <v>0</v>
      </c>
      <c r="BG43" s="23">
        <f t="shared" si="55"/>
        <v>0</v>
      </c>
      <c r="BH43" s="257">
        <f t="shared" si="56"/>
        <v>0</v>
      </c>
      <c r="BI43" s="23">
        <f t="shared" si="57"/>
        <v>0</v>
      </c>
      <c r="BJ43" s="23">
        <f t="shared" si="57"/>
        <v>0</v>
      </c>
      <c r="BK43" s="257">
        <f t="shared" si="58"/>
        <v>0</v>
      </c>
      <c r="BL43" s="23">
        <f t="shared" si="59"/>
        <v>0</v>
      </c>
      <c r="BM43" s="23">
        <f t="shared" si="59"/>
        <v>0</v>
      </c>
      <c r="BN43" s="257">
        <f t="shared" si="59"/>
        <v>0</v>
      </c>
      <c r="BO43" s="466">
        <f t="shared" si="60"/>
        <v>0</v>
      </c>
      <c r="BP43" s="472"/>
      <c r="BQ43" s="23">
        <f t="shared" si="61"/>
        <v>0</v>
      </c>
      <c r="BR43" s="23" t="e">
        <f>E43+I43+M43+Q43+U43+Y43+#REF!</f>
        <v>#REF!</v>
      </c>
      <c r="BS43" s="466">
        <f t="shared" si="34"/>
        <v>0</v>
      </c>
      <c r="BT43" s="509">
        <f t="shared" si="62"/>
        <v>0</v>
      </c>
      <c r="BU43" s="466">
        <f t="shared" si="63"/>
        <v>0</v>
      </c>
    </row>
    <row r="44" spans="1:73" ht="12.6" customHeight="1">
      <c r="A44" s="254" t="s">
        <v>53</v>
      </c>
      <c r="B44" s="129">
        <f t="shared" si="37"/>
        <v>0</v>
      </c>
      <c r="C44" s="257"/>
      <c r="D44" s="129"/>
      <c r="E44" s="129"/>
      <c r="F44" s="129"/>
      <c r="G44" s="509">
        <f t="shared" si="38"/>
        <v>0</v>
      </c>
      <c r="H44" s="129"/>
      <c r="I44" s="129"/>
      <c r="J44" s="129"/>
      <c r="K44" s="509">
        <f t="shared" si="39"/>
        <v>0</v>
      </c>
      <c r="L44" s="129"/>
      <c r="M44" s="129"/>
      <c r="N44" s="129"/>
      <c r="O44" s="509">
        <f t="shared" si="40"/>
        <v>0</v>
      </c>
      <c r="P44" s="129"/>
      <c r="Q44" s="129"/>
      <c r="R44" s="129"/>
      <c r="S44" s="509">
        <f t="shared" si="41"/>
        <v>0</v>
      </c>
      <c r="T44" s="129"/>
      <c r="U44" s="129"/>
      <c r="V44" s="129">
        <f t="shared" si="42"/>
        <v>0</v>
      </c>
      <c r="W44" s="509">
        <f t="shared" si="43"/>
        <v>0</v>
      </c>
      <c r="X44" s="129"/>
      <c r="Y44" s="129"/>
      <c r="Z44" s="129"/>
      <c r="AA44" s="509">
        <f t="shared" si="44"/>
        <v>0</v>
      </c>
      <c r="AB44" s="129"/>
      <c r="AC44" s="129"/>
      <c r="AD44" s="129"/>
      <c r="AE44" s="509">
        <f t="shared" si="45"/>
        <v>0</v>
      </c>
      <c r="AF44" s="129"/>
      <c r="AG44" s="129"/>
      <c r="AH44" s="129"/>
      <c r="AI44" s="509">
        <f t="shared" si="46"/>
        <v>0</v>
      </c>
      <c r="AJ44" s="129"/>
      <c r="AK44" s="129"/>
      <c r="AL44" s="129"/>
      <c r="AM44" s="509">
        <f t="shared" si="47"/>
        <v>0</v>
      </c>
      <c r="AN44" s="129"/>
      <c r="AO44" s="129"/>
      <c r="AP44" s="129"/>
      <c r="AQ44" s="509">
        <f t="shared" si="48"/>
        <v>0</v>
      </c>
      <c r="AR44" s="129"/>
      <c r="AS44" s="129"/>
      <c r="AT44" s="129"/>
      <c r="AU44" s="509">
        <f t="shared" si="49"/>
        <v>0</v>
      </c>
      <c r="AV44" s="129"/>
      <c r="AW44" s="129"/>
      <c r="AX44" s="129"/>
      <c r="AY44" s="509">
        <f t="shared" si="50"/>
        <v>0</v>
      </c>
      <c r="AZ44" s="23">
        <f t="shared" si="51"/>
        <v>0</v>
      </c>
      <c r="BA44" s="23">
        <f t="shared" si="51"/>
        <v>0</v>
      </c>
      <c r="BB44" s="509">
        <f t="shared" si="52"/>
        <v>0</v>
      </c>
      <c r="BC44" s="23">
        <f t="shared" si="53"/>
        <v>0</v>
      </c>
      <c r="BD44" s="257">
        <f t="shared" si="53"/>
        <v>0</v>
      </c>
      <c r="BE44" s="257">
        <f t="shared" si="54"/>
        <v>0</v>
      </c>
      <c r="BF44" s="257">
        <f t="shared" si="55"/>
        <v>0</v>
      </c>
      <c r="BG44" s="23">
        <f t="shared" si="55"/>
        <v>0</v>
      </c>
      <c r="BH44" s="257">
        <f t="shared" si="56"/>
        <v>0</v>
      </c>
      <c r="BI44" s="23">
        <f t="shared" si="57"/>
        <v>0</v>
      </c>
      <c r="BJ44" s="23">
        <f t="shared" si="57"/>
        <v>0</v>
      </c>
      <c r="BK44" s="257">
        <f t="shared" si="58"/>
        <v>0</v>
      </c>
      <c r="BL44" s="23">
        <f t="shared" si="59"/>
        <v>0</v>
      </c>
      <c r="BM44" s="23">
        <f t="shared" si="59"/>
        <v>0</v>
      </c>
      <c r="BN44" s="257">
        <f t="shared" si="59"/>
        <v>0</v>
      </c>
      <c r="BO44" s="466">
        <f t="shared" si="60"/>
        <v>0</v>
      </c>
      <c r="BP44" s="472"/>
      <c r="BQ44" s="23">
        <f t="shared" si="61"/>
        <v>0</v>
      </c>
      <c r="BR44" s="23" t="e">
        <f>E44+I44+M44+Q44+U44+Y44+#REF!</f>
        <v>#REF!</v>
      </c>
      <c r="BS44" s="466">
        <f t="shared" si="34"/>
        <v>0</v>
      </c>
      <c r="BT44" s="509">
        <f t="shared" si="62"/>
        <v>0</v>
      </c>
      <c r="BU44" s="466">
        <f t="shared" si="63"/>
        <v>0</v>
      </c>
    </row>
    <row r="45" spans="1:73" ht="12.6" customHeight="1">
      <c r="A45" s="505" t="s">
        <v>124</v>
      </c>
      <c r="B45" s="129">
        <f t="shared" si="37"/>
        <v>60</v>
      </c>
      <c r="C45" s="257">
        <v>62.214285714285715</v>
      </c>
      <c r="D45" s="129"/>
      <c r="E45" s="129"/>
      <c r="F45" s="129"/>
      <c r="G45" s="509">
        <f t="shared" si="38"/>
        <v>0</v>
      </c>
      <c r="H45" s="129"/>
      <c r="I45" s="129"/>
      <c r="J45" s="129"/>
      <c r="K45" s="509">
        <f t="shared" si="39"/>
        <v>0</v>
      </c>
      <c r="L45" s="129">
        <v>15</v>
      </c>
      <c r="M45" s="129">
        <v>9</v>
      </c>
      <c r="N45" s="129">
        <v>1338.2</v>
      </c>
      <c r="O45" s="509">
        <f t="shared" si="40"/>
        <v>7.7263486971428569E-2</v>
      </c>
      <c r="P45" s="129"/>
      <c r="Q45" s="129"/>
      <c r="R45" s="129"/>
      <c r="S45" s="509">
        <f t="shared" si="41"/>
        <v>0</v>
      </c>
      <c r="T45" s="129"/>
      <c r="U45" s="129"/>
      <c r="V45" s="129">
        <f t="shared" si="42"/>
        <v>0</v>
      </c>
      <c r="W45" s="509">
        <f t="shared" si="43"/>
        <v>0</v>
      </c>
      <c r="X45" s="129">
        <v>15</v>
      </c>
      <c r="Y45" s="129"/>
      <c r="Z45" s="129"/>
      <c r="AA45" s="509">
        <f t="shared" si="44"/>
        <v>0</v>
      </c>
      <c r="AB45" s="129"/>
      <c r="AC45" s="129"/>
      <c r="AD45" s="129"/>
      <c r="AE45" s="509">
        <f t="shared" si="45"/>
        <v>0</v>
      </c>
      <c r="AF45" s="129"/>
      <c r="AG45" s="129"/>
      <c r="AH45" s="129"/>
      <c r="AI45" s="509">
        <f t="shared" si="46"/>
        <v>0</v>
      </c>
      <c r="AJ45" s="129">
        <v>15</v>
      </c>
      <c r="AK45" s="129"/>
      <c r="AL45" s="129"/>
      <c r="AM45" s="509">
        <f t="shared" si="47"/>
        <v>0</v>
      </c>
      <c r="AN45" s="129"/>
      <c r="AO45" s="129"/>
      <c r="AP45" s="129"/>
      <c r="AQ45" s="509">
        <f t="shared" si="48"/>
        <v>0</v>
      </c>
      <c r="AR45" s="129">
        <v>15</v>
      </c>
      <c r="AS45" s="129"/>
      <c r="AT45" s="129"/>
      <c r="AU45" s="509">
        <f t="shared" si="49"/>
        <v>0</v>
      </c>
      <c r="AV45" s="129"/>
      <c r="AW45" s="129"/>
      <c r="AX45" s="129"/>
      <c r="AY45" s="509">
        <f t="shared" si="50"/>
        <v>0</v>
      </c>
      <c r="AZ45" s="23">
        <f t="shared" si="51"/>
        <v>15</v>
      </c>
      <c r="BA45" s="23">
        <f t="shared" si="51"/>
        <v>9</v>
      </c>
      <c r="BB45" s="509">
        <f t="shared" si="52"/>
        <v>7.7263486971428569E-2</v>
      </c>
      <c r="BC45" s="23">
        <f t="shared" si="53"/>
        <v>15</v>
      </c>
      <c r="BD45" s="257">
        <f t="shared" si="53"/>
        <v>0</v>
      </c>
      <c r="BE45" s="257">
        <f t="shared" si="54"/>
        <v>0</v>
      </c>
      <c r="BF45" s="257">
        <f t="shared" si="55"/>
        <v>15</v>
      </c>
      <c r="BG45" s="23">
        <f t="shared" si="55"/>
        <v>0</v>
      </c>
      <c r="BH45" s="257">
        <f t="shared" si="56"/>
        <v>0</v>
      </c>
      <c r="BI45" s="23">
        <f t="shared" si="57"/>
        <v>15</v>
      </c>
      <c r="BJ45" s="23">
        <f t="shared" si="57"/>
        <v>0</v>
      </c>
      <c r="BK45" s="257">
        <f t="shared" si="58"/>
        <v>0</v>
      </c>
      <c r="BL45" s="23">
        <f t="shared" si="59"/>
        <v>60</v>
      </c>
      <c r="BM45" s="23">
        <f t="shared" si="59"/>
        <v>9</v>
      </c>
      <c r="BN45" s="257">
        <f t="shared" si="59"/>
        <v>7.7263486971428569E-2</v>
      </c>
      <c r="BO45" s="466">
        <f t="shared" si="60"/>
        <v>0.15</v>
      </c>
      <c r="BP45" s="472"/>
      <c r="BQ45" s="23">
        <f t="shared" si="61"/>
        <v>30</v>
      </c>
      <c r="BR45" s="23" t="e">
        <f>E45+I45+M45+Q45+U45+Y45+#REF!</f>
        <v>#REF!</v>
      </c>
      <c r="BS45" s="466">
        <f t="shared" si="34"/>
        <v>0</v>
      </c>
      <c r="BT45" s="509">
        <f t="shared" si="62"/>
        <v>7.7263486971428569E-2</v>
      </c>
      <c r="BU45" s="466">
        <f t="shared" si="63"/>
        <v>0</v>
      </c>
    </row>
    <row r="46" spans="1:73" ht="12.6" customHeight="1">
      <c r="A46" s="506" t="s">
        <v>63</v>
      </c>
      <c r="B46" s="129">
        <f t="shared" si="37"/>
        <v>0</v>
      </c>
      <c r="C46" s="257"/>
      <c r="D46" s="129"/>
      <c r="E46" s="129"/>
      <c r="F46" s="129"/>
      <c r="G46" s="509">
        <f t="shared" si="38"/>
        <v>0</v>
      </c>
      <c r="H46" s="129"/>
      <c r="I46" s="129"/>
      <c r="J46" s="129"/>
      <c r="K46" s="509">
        <f t="shared" si="39"/>
        <v>0</v>
      </c>
      <c r="L46" s="129"/>
      <c r="M46" s="129"/>
      <c r="N46" s="129"/>
      <c r="O46" s="509">
        <f t="shared" si="40"/>
        <v>0</v>
      </c>
      <c r="P46" s="129"/>
      <c r="Q46" s="129"/>
      <c r="R46" s="129"/>
      <c r="S46" s="509">
        <f t="shared" si="41"/>
        <v>0</v>
      </c>
      <c r="T46" s="129"/>
      <c r="U46" s="129"/>
      <c r="V46" s="129">
        <f t="shared" si="42"/>
        <v>0</v>
      </c>
      <c r="W46" s="509">
        <f t="shared" si="43"/>
        <v>0</v>
      </c>
      <c r="X46" s="129"/>
      <c r="Y46" s="129"/>
      <c r="Z46" s="129"/>
      <c r="AA46" s="509">
        <f t="shared" si="44"/>
        <v>0</v>
      </c>
      <c r="AB46" s="129"/>
      <c r="AC46" s="129"/>
      <c r="AD46" s="129"/>
      <c r="AE46" s="509">
        <f t="shared" si="45"/>
        <v>0</v>
      </c>
      <c r="AF46" s="129"/>
      <c r="AG46" s="129"/>
      <c r="AH46" s="129"/>
      <c r="AI46" s="509">
        <f t="shared" si="46"/>
        <v>0</v>
      </c>
      <c r="AJ46" s="129"/>
      <c r="AK46" s="129"/>
      <c r="AL46" s="129"/>
      <c r="AM46" s="509">
        <f t="shared" si="47"/>
        <v>0</v>
      </c>
      <c r="AN46" s="129"/>
      <c r="AO46" s="129"/>
      <c r="AP46" s="129"/>
      <c r="AQ46" s="509">
        <f t="shared" si="48"/>
        <v>0</v>
      </c>
      <c r="AR46" s="129"/>
      <c r="AS46" s="129"/>
      <c r="AT46" s="129"/>
      <c r="AU46" s="509">
        <f t="shared" si="49"/>
        <v>0</v>
      </c>
      <c r="AV46" s="129"/>
      <c r="AW46" s="129"/>
      <c r="AX46" s="129"/>
      <c r="AY46" s="509">
        <f t="shared" si="50"/>
        <v>0</v>
      </c>
      <c r="AZ46" s="23">
        <f t="shared" si="51"/>
        <v>0</v>
      </c>
      <c r="BA46" s="23">
        <f t="shared" si="51"/>
        <v>0</v>
      </c>
      <c r="BB46" s="509">
        <f t="shared" si="52"/>
        <v>0</v>
      </c>
      <c r="BC46" s="23">
        <f t="shared" si="53"/>
        <v>0</v>
      </c>
      <c r="BD46" s="257">
        <f t="shared" si="53"/>
        <v>0</v>
      </c>
      <c r="BE46" s="257">
        <f t="shared" si="54"/>
        <v>0</v>
      </c>
      <c r="BF46" s="257">
        <f t="shared" si="55"/>
        <v>0</v>
      </c>
      <c r="BG46" s="23">
        <f t="shared" si="55"/>
        <v>0</v>
      </c>
      <c r="BH46" s="257">
        <f t="shared" si="56"/>
        <v>0</v>
      </c>
      <c r="BI46" s="23">
        <f t="shared" si="57"/>
        <v>0</v>
      </c>
      <c r="BJ46" s="23">
        <f t="shared" si="57"/>
        <v>0</v>
      </c>
      <c r="BK46" s="257">
        <f t="shared" si="58"/>
        <v>0</v>
      </c>
      <c r="BL46" s="23">
        <f t="shared" si="59"/>
        <v>0</v>
      </c>
      <c r="BM46" s="23">
        <f t="shared" si="59"/>
        <v>0</v>
      </c>
      <c r="BN46" s="257">
        <f t="shared" si="59"/>
        <v>0</v>
      </c>
      <c r="BO46" s="466">
        <f t="shared" si="60"/>
        <v>0</v>
      </c>
      <c r="BP46" s="472"/>
      <c r="BQ46" s="23">
        <f t="shared" si="61"/>
        <v>0</v>
      </c>
      <c r="BR46" s="23" t="e">
        <f>E46+I46+M46+Q46+U46+Y46+#REF!</f>
        <v>#REF!</v>
      </c>
      <c r="BS46" s="466">
        <f t="shared" si="34"/>
        <v>0</v>
      </c>
      <c r="BT46" s="509">
        <f t="shared" si="62"/>
        <v>0</v>
      </c>
      <c r="BU46" s="466">
        <f t="shared" si="63"/>
        <v>0</v>
      </c>
    </row>
    <row r="47" spans="1:73" ht="12.6" customHeight="1">
      <c r="A47" s="506" t="s">
        <v>41</v>
      </c>
      <c r="B47" s="129">
        <f t="shared" si="37"/>
        <v>120</v>
      </c>
      <c r="C47" s="257"/>
      <c r="D47" s="129"/>
      <c r="E47" s="129"/>
      <c r="F47" s="129"/>
      <c r="G47" s="509">
        <f t="shared" si="38"/>
        <v>0</v>
      </c>
      <c r="H47" s="129"/>
      <c r="I47" s="129"/>
      <c r="J47" s="129"/>
      <c r="K47" s="509">
        <f t="shared" si="39"/>
        <v>0</v>
      </c>
      <c r="L47" s="129">
        <v>20</v>
      </c>
      <c r="M47" s="129"/>
      <c r="N47" s="129"/>
      <c r="O47" s="509">
        <f t="shared" si="40"/>
        <v>0</v>
      </c>
      <c r="P47" s="129"/>
      <c r="Q47" s="129"/>
      <c r="R47" s="129"/>
      <c r="S47" s="509">
        <f t="shared" si="41"/>
        <v>0</v>
      </c>
      <c r="T47" s="129">
        <v>20</v>
      </c>
      <c r="U47" s="129"/>
      <c r="V47" s="129">
        <f t="shared" si="42"/>
        <v>0</v>
      </c>
      <c r="W47" s="509">
        <f t="shared" si="43"/>
        <v>0</v>
      </c>
      <c r="X47" s="129"/>
      <c r="Y47" s="129"/>
      <c r="Z47" s="129"/>
      <c r="AA47" s="509">
        <f t="shared" si="44"/>
        <v>0</v>
      </c>
      <c r="AB47" s="129">
        <v>20</v>
      </c>
      <c r="AC47" s="129"/>
      <c r="AD47" s="129"/>
      <c r="AE47" s="509">
        <f t="shared" si="45"/>
        <v>0</v>
      </c>
      <c r="AF47" s="129"/>
      <c r="AG47" s="129"/>
      <c r="AH47" s="129"/>
      <c r="AI47" s="509">
        <f t="shared" si="46"/>
        <v>0</v>
      </c>
      <c r="AJ47" s="129">
        <v>20</v>
      </c>
      <c r="AK47" s="129"/>
      <c r="AL47" s="129"/>
      <c r="AM47" s="509">
        <f t="shared" si="47"/>
        <v>0</v>
      </c>
      <c r="AN47" s="129">
        <v>20</v>
      </c>
      <c r="AO47" s="129"/>
      <c r="AP47" s="129"/>
      <c r="AQ47" s="509">
        <f t="shared" si="48"/>
        <v>0</v>
      </c>
      <c r="AR47" s="129"/>
      <c r="AS47" s="129"/>
      <c r="AT47" s="129"/>
      <c r="AU47" s="509">
        <f t="shared" si="49"/>
        <v>0</v>
      </c>
      <c r="AV47" s="129">
        <v>20</v>
      </c>
      <c r="AW47" s="129"/>
      <c r="AX47" s="129"/>
      <c r="AY47" s="509">
        <f t="shared" si="50"/>
        <v>0</v>
      </c>
      <c r="AZ47" s="23">
        <f t="shared" si="51"/>
        <v>20</v>
      </c>
      <c r="BA47" s="23">
        <f t="shared" si="51"/>
        <v>0</v>
      </c>
      <c r="BB47" s="509">
        <f t="shared" si="52"/>
        <v>0</v>
      </c>
      <c r="BC47" s="23">
        <f t="shared" si="53"/>
        <v>20</v>
      </c>
      <c r="BD47" s="257">
        <f t="shared" si="53"/>
        <v>0</v>
      </c>
      <c r="BE47" s="257">
        <f t="shared" si="54"/>
        <v>0</v>
      </c>
      <c r="BF47" s="257">
        <f t="shared" si="55"/>
        <v>40</v>
      </c>
      <c r="BG47" s="23">
        <f t="shared" si="55"/>
        <v>0</v>
      </c>
      <c r="BH47" s="257">
        <f t="shared" si="56"/>
        <v>0</v>
      </c>
      <c r="BI47" s="23">
        <f t="shared" si="57"/>
        <v>40</v>
      </c>
      <c r="BJ47" s="23">
        <f t="shared" si="57"/>
        <v>0</v>
      </c>
      <c r="BK47" s="257">
        <f t="shared" si="58"/>
        <v>0</v>
      </c>
      <c r="BL47" s="23">
        <f t="shared" si="59"/>
        <v>120</v>
      </c>
      <c r="BM47" s="23">
        <f t="shared" si="59"/>
        <v>0</v>
      </c>
      <c r="BN47" s="257">
        <f t="shared" si="59"/>
        <v>0</v>
      </c>
      <c r="BO47" s="466">
        <f t="shared" si="60"/>
        <v>0</v>
      </c>
      <c r="BP47" s="472"/>
      <c r="BQ47" s="23">
        <f t="shared" si="61"/>
        <v>60</v>
      </c>
      <c r="BR47" s="23" t="e">
        <f>E47+I47+M47+Q47+U47+Y47+#REF!</f>
        <v>#REF!</v>
      </c>
      <c r="BS47" s="466">
        <f t="shared" si="34"/>
        <v>0</v>
      </c>
      <c r="BT47" s="509">
        <f t="shared" si="62"/>
        <v>0</v>
      </c>
      <c r="BU47" s="466">
        <f t="shared" si="63"/>
        <v>0</v>
      </c>
    </row>
    <row r="48" spans="1:73" ht="12.6" customHeight="1">
      <c r="A48" s="506" t="s">
        <v>52</v>
      </c>
      <c r="B48" s="129">
        <f t="shared" si="37"/>
        <v>0</v>
      </c>
      <c r="C48" s="257"/>
      <c r="D48" s="129"/>
      <c r="E48" s="129"/>
      <c r="F48" s="129"/>
      <c r="G48" s="509">
        <f t="shared" si="38"/>
        <v>0</v>
      </c>
      <c r="H48" s="129"/>
      <c r="I48" s="129"/>
      <c r="J48" s="129"/>
      <c r="K48" s="509">
        <f t="shared" si="39"/>
        <v>0</v>
      </c>
      <c r="L48" s="129"/>
      <c r="M48" s="129"/>
      <c r="N48" s="129"/>
      <c r="O48" s="509">
        <f t="shared" si="40"/>
        <v>0</v>
      </c>
      <c r="P48" s="129"/>
      <c r="Q48" s="129"/>
      <c r="R48" s="129"/>
      <c r="S48" s="509">
        <f t="shared" si="41"/>
        <v>0</v>
      </c>
      <c r="T48" s="129"/>
      <c r="U48" s="129"/>
      <c r="V48" s="129">
        <f t="shared" si="42"/>
        <v>0</v>
      </c>
      <c r="W48" s="509">
        <f t="shared" si="43"/>
        <v>0</v>
      </c>
      <c r="X48" s="129"/>
      <c r="Y48" s="129"/>
      <c r="Z48" s="129"/>
      <c r="AA48" s="509">
        <f t="shared" si="44"/>
        <v>0</v>
      </c>
      <c r="AB48" s="129"/>
      <c r="AC48" s="129"/>
      <c r="AD48" s="129"/>
      <c r="AE48" s="509">
        <f t="shared" si="45"/>
        <v>0</v>
      </c>
      <c r="AF48" s="129"/>
      <c r="AG48" s="129"/>
      <c r="AH48" s="129"/>
      <c r="AI48" s="509">
        <f t="shared" si="46"/>
        <v>0</v>
      </c>
      <c r="AJ48" s="129"/>
      <c r="AK48" s="129"/>
      <c r="AL48" s="129"/>
      <c r="AM48" s="509">
        <f t="shared" si="47"/>
        <v>0</v>
      </c>
      <c r="AN48" s="129"/>
      <c r="AO48" s="129"/>
      <c r="AP48" s="129"/>
      <c r="AQ48" s="509">
        <f t="shared" si="48"/>
        <v>0</v>
      </c>
      <c r="AR48" s="129"/>
      <c r="AS48" s="129"/>
      <c r="AT48" s="129"/>
      <c r="AU48" s="509">
        <f t="shared" si="49"/>
        <v>0</v>
      </c>
      <c r="AV48" s="129"/>
      <c r="AW48" s="129"/>
      <c r="AX48" s="129"/>
      <c r="AY48" s="509">
        <f t="shared" si="50"/>
        <v>0</v>
      </c>
      <c r="AZ48" s="23">
        <f t="shared" si="51"/>
        <v>0</v>
      </c>
      <c r="BA48" s="23">
        <f t="shared" si="51"/>
        <v>0</v>
      </c>
      <c r="BB48" s="509">
        <f t="shared" si="52"/>
        <v>0</v>
      </c>
      <c r="BC48" s="23">
        <f t="shared" si="53"/>
        <v>0</v>
      </c>
      <c r="BD48" s="257">
        <f t="shared" si="53"/>
        <v>0</v>
      </c>
      <c r="BE48" s="257">
        <f t="shared" si="54"/>
        <v>0</v>
      </c>
      <c r="BF48" s="257">
        <f t="shared" si="55"/>
        <v>0</v>
      </c>
      <c r="BG48" s="23">
        <f t="shared" si="55"/>
        <v>0</v>
      </c>
      <c r="BH48" s="257">
        <f t="shared" si="56"/>
        <v>0</v>
      </c>
      <c r="BI48" s="23">
        <f t="shared" si="57"/>
        <v>0</v>
      </c>
      <c r="BJ48" s="23">
        <f t="shared" si="57"/>
        <v>0</v>
      </c>
      <c r="BK48" s="257">
        <f t="shared" si="58"/>
        <v>0</v>
      </c>
      <c r="BL48" s="23">
        <f t="shared" si="59"/>
        <v>0</v>
      </c>
      <c r="BM48" s="23">
        <f t="shared" si="59"/>
        <v>0</v>
      </c>
      <c r="BN48" s="257">
        <f t="shared" si="59"/>
        <v>0</v>
      </c>
      <c r="BO48" s="466">
        <f t="shared" si="60"/>
        <v>0</v>
      </c>
      <c r="BP48" s="472"/>
      <c r="BQ48" s="23">
        <f t="shared" si="61"/>
        <v>0</v>
      </c>
      <c r="BR48" s="23" t="e">
        <f>E48+I48+M48+Q48+U48+Y48+#REF!</f>
        <v>#REF!</v>
      </c>
      <c r="BS48" s="466">
        <f t="shared" si="34"/>
        <v>0</v>
      </c>
      <c r="BT48" s="509">
        <f t="shared" si="62"/>
        <v>0</v>
      </c>
      <c r="BU48" s="466">
        <f t="shared" si="63"/>
        <v>0</v>
      </c>
    </row>
    <row r="49" spans="1:73" ht="12.6" customHeight="1">
      <c r="A49" s="506" t="s">
        <v>42</v>
      </c>
      <c r="B49" s="129">
        <f t="shared" si="37"/>
        <v>0</v>
      </c>
      <c r="C49" s="257"/>
      <c r="D49" s="129"/>
      <c r="E49" s="129"/>
      <c r="F49" s="129"/>
      <c r="G49" s="509">
        <f t="shared" si="38"/>
        <v>0</v>
      </c>
      <c r="H49" s="129"/>
      <c r="I49" s="129"/>
      <c r="J49" s="129"/>
      <c r="K49" s="509">
        <f t="shared" si="39"/>
        <v>0</v>
      </c>
      <c r="L49" s="129"/>
      <c r="M49" s="129"/>
      <c r="N49" s="129"/>
      <c r="O49" s="509">
        <f t="shared" si="40"/>
        <v>0</v>
      </c>
      <c r="P49" s="129"/>
      <c r="Q49" s="129"/>
      <c r="R49" s="129"/>
      <c r="S49" s="509">
        <f t="shared" si="41"/>
        <v>0</v>
      </c>
      <c r="T49" s="129"/>
      <c r="U49" s="129"/>
      <c r="V49" s="129">
        <f t="shared" si="42"/>
        <v>0</v>
      </c>
      <c r="W49" s="509">
        <f t="shared" si="43"/>
        <v>0</v>
      </c>
      <c r="X49" s="129"/>
      <c r="Y49" s="129"/>
      <c r="Z49" s="129"/>
      <c r="AA49" s="509">
        <f t="shared" si="44"/>
        <v>0</v>
      </c>
      <c r="AB49" s="129"/>
      <c r="AC49" s="129"/>
      <c r="AD49" s="129"/>
      <c r="AE49" s="509">
        <f t="shared" si="45"/>
        <v>0</v>
      </c>
      <c r="AF49" s="129"/>
      <c r="AG49" s="129"/>
      <c r="AH49" s="129"/>
      <c r="AI49" s="509">
        <f t="shared" si="46"/>
        <v>0</v>
      </c>
      <c r="AJ49" s="129"/>
      <c r="AK49" s="129"/>
      <c r="AL49" s="129"/>
      <c r="AM49" s="509">
        <f t="shared" si="47"/>
        <v>0</v>
      </c>
      <c r="AN49" s="129"/>
      <c r="AO49" s="129"/>
      <c r="AP49" s="129"/>
      <c r="AQ49" s="509">
        <f t="shared" si="48"/>
        <v>0</v>
      </c>
      <c r="AR49" s="129"/>
      <c r="AS49" s="129"/>
      <c r="AT49" s="129"/>
      <c r="AU49" s="509">
        <f t="shared" si="49"/>
        <v>0</v>
      </c>
      <c r="AV49" s="129"/>
      <c r="AW49" s="129"/>
      <c r="AX49" s="129"/>
      <c r="AY49" s="509">
        <f t="shared" si="50"/>
        <v>0</v>
      </c>
      <c r="AZ49" s="23">
        <f t="shared" si="51"/>
        <v>0</v>
      </c>
      <c r="BA49" s="23">
        <f t="shared" si="51"/>
        <v>0</v>
      </c>
      <c r="BB49" s="509">
        <f t="shared" si="52"/>
        <v>0</v>
      </c>
      <c r="BC49" s="23">
        <f t="shared" si="53"/>
        <v>0</v>
      </c>
      <c r="BD49" s="257">
        <f t="shared" si="53"/>
        <v>0</v>
      </c>
      <c r="BE49" s="257">
        <f t="shared" si="54"/>
        <v>0</v>
      </c>
      <c r="BF49" s="257">
        <f t="shared" si="55"/>
        <v>0</v>
      </c>
      <c r="BG49" s="23">
        <f t="shared" si="55"/>
        <v>0</v>
      </c>
      <c r="BH49" s="257">
        <f t="shared" si="56"/>
        <v>0</v>
      </c>
      <c r="BI49" s="23">
        <f t="shared" si="57"/>
        <v>0</v>
      </c>
      <c r="BJ49" s="23">
        <f t="shared" si="57"/>
        <v>0</v>
      </c>
      <c r="BK49" s="257">
        <f t="shared" si="58"/>
        <v>0</v>
      </c>
      <c r="BL49" s="23">
        <f t="shared" si="59"/>
        <v>0</v>
      </c>
      <c r="BM49" s="23">
        <f t="shared" si="59"/>
        <v>0</v>
      </c>
      <c r="BN49" s="257">
        <f t="shared" si="59"/>
        <v>0</v>
      </c>
      <c r="BO49" s="466">
        <f t="shared" si="60"/>
        <v>0</v>
      </c>
      <c r="BP49" s="472"/>
      <c r="BQ49" s="23">
        <f t="shared" si="61"/>
        <v>0</v>
      </c>
      <c r="BR49" s="23" t="e">
        <f>E49+I49+M49+Q49+U49+Y49+#REF!</f>
        <v>#REF!</v>
      </c>
      <c r="BS49" s="466">
        <f t="shared" si="34"/>
        <v>0</v>
      </c>
      <c r="BT49" s="509">
        <f t="shared" si="62"/>
        <v>0</v>
      </c>
      <c r="BU49" s="466">
        <f t="shared" si="63"/>
        <v>0</v>
      </c>
    </row>
    <row r="50" spans="1:73" ht="12.6" customHeight="1">
      <c r="A50" s="506" t="s">
        <v>127</v>
      </c>
      <c r="B50" s="129">
        <f t="shared" si="37"/>
        <v>0</v>
      </c>
      <c r="C50" s="257"/>
      <c r="D50" s="129"/>
      <c r="E50" s="129"/>
      <c r="F50" s="129"/>
      <c r="G50" s="509">
        <f t="shared" si="38"/>
        <v>0</v>
      </c>
      <c r="H50" s="129"/>
      <c r="I50" s="129"/>
      <c r="J50" s="129"/>
      <c r="K50" s="509">
        <f t="shared" si="39"/>
        <v>0</v>
      </c>
      <c r="L50" s="129"/>
      <c r="M50" s="129"/>
      <c r="N50" s="129"/>
      <c r="O50" s="509">
        <f t="shared" si="40"/>
        <v>0</v>
      </c>
      <c r="P50" s="129"/>
      <c r="Q50" s="129"/>
      <c r="R50" s="129"/>
      <c r="S50" s="509">
        <f t="shared" si="41"/>
        <v>0</v>
      </c>
      <c r="T50" s="129"/>
      <c r="U50" s="129"/>
      <c r="V50" s="129">
        <f>(T50*U50)/10^6</f>
        <v>0</v>
      </c>
      <c r="W50" s="509">
        <f t="shared" si="43"/>
        <v>0</v>
      </c>
      <c r="X50" s="129"/>
      <c r="Y50" s="129"/>
      <c r="Z50" s="129"/>
      <c r="AA50" s="509">
        <f t="shared" si="44"/>
        <v>0</v>
      </c>
      <c r="AB50" s="129"/>
      <c r="AC50" s="129"/>
      <c r="AD50" s="129"/>
      <c r="AE50" s="509">
        <f t="shared" si="45"/>
        <v>0</v>
      </c>
      <c r="AF50" s="129"/>
      <c r="AG50" s="129"/>
      <c r="AH50" s="129"/>
      <c r="AI50" s="509">
        <f t="shared" si="46"/>
        <v>0</v>
      </c>
      <c r="AJ50" s="129"/>
      <c r="AK50" s="129"/>
      <c r="AL50" s="129"/>
      <c r="AM50" s="509">
        <f t="shared" si="47"/>
        <v>0</v>
      </c>
      <c r="AN50" s="129"/>
      <c r="AO50" s="129"/>
      <c r="AP50" s="129"/>
      <c r="AQ50" s="509">
        <f t="shared" si="48"/>
        <v>0</v>
      </c>
      <c r="AR50" s="129"/>
      <c r="AS50" s="129"/>
      <c r="AT50" s="129"/>
      <c r="AU50" s="509">
        <f t="shared" si="49"/>
        <v>0</v>
      </c>
      <c r="AV50" s="129"/>
      <c r="AW50" s="129"/>
      <c r="AX50" s="129"/>
      <c r="AY50" s="509">
        <f t="shared" si="50"/>
        <v>0</v>
      </c>
      <c r="AZ50" s="23">
        <f t="shared" si="51"/>
        <v>0</v>
      </c>
      <c r="BA50" s="23">
        <f t="shared" si="51"/>
        <v>0</v>
      </c>
      <c r="BB50" s="509">
        <f t="shared" si="52"/>
        <v>0</v>
      </c>
      <c r="BC50" s="23">
        <f t="shared" si="53"/>
        <v>0</v>
      </c>
      <c r="BD50" s="257">
        <f t="shared" si="53"/>
        <v>0</v>
      </c>
      <c r="BE50" s="257">
        <f t="shared" si="54"/>
        <v>0</v>
      </c>
      <c r="BF50" s="257">
        <f t="shared" si="55"/>
        <v>0</v>
      </c>
      <c r="BG50" s="23">
        <f t="shared" si="55"/>
        <v>0</v>
      </c>
      <c r="BH50" s="257">
        <f t="shared" si="56"/>
        <v>0</v>
      </c>
      <c r="BI50" s="23">
        <f t="shared" si="57"/>
        <v>0</v>
      </c>
      <c r="BJ50" s="23">
        <f t="shared" si="57"/>
        <v>0</v>
      </c>
      <c r="BK50" s="257">
        <f t="shared" si="58"/>
        <v>0</v>
      </c>
      <c r="BL50" s="23">
        <f t="shared" si="59"/>
        <v>0</v>
      </c>
      <c r="BM50" s="23">
        <f t="shared" si="59"/>
        <v>0</v>
      </c>
      <c r="BN50" s="257">
        <f t="shared" si="59"/>
        <v>0</v>
      </c>
      <c r="BO50" s="466">
        <f t="shared" si="60"/>
        <v>0</v>
      </c>
      <c r="BP50" s="472"/>
      <c r="BQ50" s="23">
        <f t="shared" si="61"/>
        <v>0</v>
      </c>
      <c r="BR50" s="23" t="e">
        <f>E50+I50+M50+Q50+U50+Y50+#REF!</f>
        <v>#REF!</v>
      </c>
      <c r="BS50" s="466">
        <f t="shared" si="34"/>
        <v>0</v>
      </c>
      <c r="BT50" s="509">
        <f t="shared" si="62"/>
        <v>0</v>
      </c>
      <c r="BU50" s="466">
        <f t="shared" si="63"/>
        <v>0</v>
      </c>
    </row>
    <row r="51" spans="1:73" ht="12.6" customHeight="1">
      <c r="A51" s="254" t="s">
        <v>126</v>
      </c>
      <c r="B51" s="129">
        <f t="shared" si="37"/>
        <v>0</v>
      </c>
      <c r="C51" s="257">
        <v>12.357142857142858</v>
      </c>
      <c r="D51" s="129"/>
      <c r="E51" s="129"/>
      <c r="F51" s="129"/>
      <c r="G51" s="509">
        <f t="shared" si="38"/>
        <v>0</v>
      </c>
      <c r="H51" s="129"/>
      <c r="I51" s="129"/>
      <c r="J51" s="129"/>
      <c r="K51" s="509">
        <f t="shared" si="39"/>
        <v>0</v>
      </c>
      <c r="L51" s="129"/>
      <c r="M51" s="129"/>
      <c r="N51" s="129"/>
      <c r="O51" s="509">
        <f t="shared" si="40"/>
        <v>0</v>
      </c>
      <c r="P51" s="129"/>
      <c r="Q51" s="129"/>
      <c r="R51" s="129"/>
      <c r="S51" s="509">
        <f t="shared" si="41"/>
        <v>0</v>
      </c>
      <c r="T51" s="129"/>
      <c r="U51" s="129"/>
      <c r="V51" s="129">
        <f t="shared" si="42"/>
        <v>0</v>
      </c>
      <c r="W51" s="509">
        <f t="shared" si="43"/>
        <v>0</v>
      </c>
      <c r="X51" s="129"/>
      <c r="Y51" s="129"/>
      <c r="Z51" s="129"/>
      <c r="AA51" s="509">
        <f t="shared" si="44"/>
        <v>0</v>
      </c>
      <c r="AB51" s="129"/>
      <c r="AC51" s="129"/>
      <c r="AD51" s="129"/>
      <c r="AE51" s="509">
        <f t="shared" si="45"/>
        <v>0</v>
      </c>
      <c r="AF51" s="129"/>
      <c r="AG51" s="129"/>
      <c r="AH51" s="129"/>
      <c r="AI51" s="509">
        <f t="shared" si="46"/>
        <v>0</v>
      </c>
      <c r="AJ51" s="129"/>
      <c r="AK51" s="129"/>
      <c r="AL51" s="129"/>
      <c r="AM51" s="509">
        <f t="shared" si="47"/>
        <v>0</v>
      </c>
      <c r="AN51" s="129"/>
      <c r="AO51" s="129"/>
      <c r="AP51" s="129"/>
      <c r="AQ51" s="509">
        <f t="shared" si="48"/>
        <v>0</v>
      </c>
      <c r="AR51" s="129"/>
      <c r="AS51" s="129"/>
      <c r="AT51" s="129"/>
      <c r="AU51" s="509">
        <f t="shared" si="49"/>
        <v>0</v>
      </c>
      <c r="AV51" s="129"/>
      <c r="AW51" s="129"/>
      <c r="AX51" s="129"/>
      <c r="AY51" s="509">
        <f t="shared" si="50"/>
        <v>0</v>
      </c>
      <c r="AZ51" s="23">
        <f t="shared" si="51"/>
        <v>0</v>
      </c>
      <c r="BA51" s="23">
        <f t="shared" si="51"/>
        <v>0</v>
      </c>
      <c r="BB51" s="509">
        <f t="shared" si="52"/>
        <v>0</v>
      </c>
      <c r="BC51" s="23">
        <f t="shared" si="53"/>
        <v>0</v>
      </c>
      <c r="BD51" s="257">
        <f t="shared" si="53"/>
        <v>0</v>
      </c>
      <c r="BE51" s="257">
        <f t="shared" si="54"/>
        <v>0</v>
      </c>
      <c r="BF51" s="257">
        <f t="shared" si="55"/>
        <v>0</v>
      </c>
      <c r="BG51" s="23">
        <f t="shared" si="55"/>
        <v>0</v>
      </c>
      <c r="BH51" s="257">
        <f t="shared" si="56"/>
        <v>0</v>
      </c>
      <c r="BI51" s="23">
        <f t="shared" si="57"/>
        <v>0</v>
      </c>
      <c r="BJ51" s="23">
        <f t="shared" si="57"/>
        <v>0</v>
      </c>
      <c r="BK51" s="257">
        <f t="shared" si="58"/>
        <v>0</v>
      </c>
      <c r="BL51" s="23">
        <f t="shared" si="59"/>
        <v>0</v>
      </c>
      <c r="BM51" s="23">
        <f t="shared" si="59"/>
        <v>0</v>
      </c>
      <c r="BN51" s="257">
        <f t="shared" si="59"/>
        <v>0</v>
      </c>
      <c r="BO51" s="466">
        <f t="shared" si="60"/>
        <v>0</v>
      </c>
      <c r="BP51" s="472"/>
      <c r="BQ51" s="23">
        <f t="shared" si="61"/>
        <v>0</v>
      </c>
      <c r="BR51" s="23" t="e">
        <f>E51+I51+M51+Q51+U51+Y51+#REF!</f>
        <v>#REF!</v>
      </c>
      <c r="BS51" s="466">
        <f t="shared" si="34"/>
        <v>0</v>
      </c>
      <c r="BT51" s="509">
        <f t="shared" si="62"/>
        <v>0</v>
      </c>
      <c r="BU51" s="466">
        <f t="shared" si="63"/>
        <v>0</v>
      </c>
    </row>
    <row r="52" spans="1:73" ht="12.6" customHeight="1">
      <c r="A52" s="254" t="s">
        <v>64</v>
      </c>
      <c r="B52" s="129">
        <f t="shared" si="37"/>
        <v>0</v>
      </c>
      <c r="C52" s="257"/>
      <c r="D52" s="129"/>
      <c r="E52" s="129"/>
      <c r="F52" s="129"/>
      <c r="G52" s="509">
        <f t="shared" si="38"/>
        <v>0</v>
      </c>
      <c r="H52" s="129"/>
      <c r="I52" s="129"/>
      <c r="J52" s="129"/>
      <c r="K52" s="509">
        <f t="shared" si="39"/>
        <v>0</v>
      </c>
      <c r="L52" s="129"/>
      <c r="M52" s="129"/>
      <c r="N52" s="129"/>
      <c r="O52" s="509">
        <f t="shared" si="40"/>
        <v>0</v>
      </c>
      <c r="P52" s="129"/>
      <c r="Q52" s="129"/>
      <c r="R52" s="129"/>
      <c r="S52" s="509">
        <f t="shared" si="41"/>
        <v>0</v>
      </c>
      <c r="T52" s="129"/>
      <c r="U52" s="129"/>
      <c r="V52" s="129">
        <f t="shared" si="42"/>
        <v>0</v>
      </c>
      <c r="W52" s="509">
        <f t="shared" si="43"/>
        <v>0</v>
      </c>
      <c r="X52" s="129"/>
      <c r="Y52" s="129"/>
      <c r="Z52" s="129"/>
      <c r="AA52" s="509">
        <f t="shared" si="44"/>
        <v>0</v>
      </c>
      <c r="AB52" s="129"/>
      <c r="AC52" s="129"/>
      <c r="AD52" s="129"/>
      <c r="AE52" s="509">
        <f t="shared" si="45"/>
        <v>0</v>
      </c>
      <c r="AF52" s="129"/>
      <c r="AG52" s="129"/>
      <c r="AH52" s="129"/>
      <c r="AI52" s="509">
        <f t="shared" si="46"/>
        <v>0</v>
      </c>
      <c r="AJ52" s="129"/>
      <c r="AK52" s="129"/>
      <c r="AL52" s="129"/>
      <c r="AM52" s="509">
        <f t="shared" si="47"/>
        <v>0</v>
      </c>
      <c r="AN52" s="129"/>
      <c r="AO52" s="129"/>
      <c r="AP52" s="129"/>
      <c r="AQ52" s="509">
        <f t="shared" si="48"/>
        <v>0</v>
      </c>
      <c r="AR52" s="129"/>
      <c r="AS52" s="129"/>
      <c r="AT52" s="129"/>
      <c r="AU52" s="509">
        <f t="shared" si="49"/>
        <v>0</v>
      </c>
      <c r="AV52" s="129"/>
      <c r="AW52" s="129"/>
      <c r="AX52" s="129"/>
      <c r="AY52" s="509">
        <f t="shared" si="50"/>
        <v>0</v>
      </c>
      <c r="AZ52" s="23">
        <f t="shared" si="51"/>
        <v>0</v>
      </c>
      <c r="BA52" s="23">
        <f t="shared" si="51"/>
        <v>0</v>
      </c>
      <c r="BB52" s="509">
        <f t="shared" si="52"/>
        <v>0</v>
      </c>
      <c r="BC52" s="23">
        <f t="shared" si="53"/>
        <v>0</v>
      </c>
      <c r="BD52" s="257">
        <f t="shared" si="53"/>
        <v>0</v>
      </c>
      <c r="BE52" s="257">
        <f t="shared" si="54"/>
        <v>0</v>
      </c>
      <c r="BF52" s="257">
        <f t="shared" si="55"/>
        <v>0</v>
      </c>
      <c r="BG52" s="23">
        <f t="shared" si="55"/>
        <v>0</v>
      </c>
      <c r="BH52" s="257">
        <f t="shared" si="56"/>
        <v>0</v>
      </c>
      <c r="BI52" s="23">
        <f t="shared" si="57"/>
        <v>0</v>
      </c>
      <c r="BJ52" s="23">
        <f t="shared" si="57"/>
        <v>0</v>
      </c>
      <c r="BK52" s="257">
        <f t="shared" si="58"/>
        <v>0</v>
      </c>
      <c r="BL52" s="23">
        <f t="shared" si="59"/>
        <v>0</v>
      </c>
      <c r="BM52" s="23">
        <f t="shared" si="59"/>
        <v>0</v>
      </c>
      <c r="BN52" s="257">
        <f t="shared" si="59"/>
        <v>0</v>
      </c>
      <c r="BO52" s="466">
        <f t="shared" si="60"/>
        <v>0</v>
      </c>
      <c r="BP52" s="472"/>
      <c r="BQ52" s="23">
        <f t="shared" si="61"/>
        <v>0</v>
      </c>
      <c r="BR52" s="23" t="e">
        <f>E52+I52+M52+Q52+U52+Y52+#REF!</f>
        <v>#REF!</v>
      </c>
      <c r="BS52" s="466">
        <f t="shared" si="34"/>
        <v>0</v>
      </c>
      <c r="BT52" s="509">
        <f t="shared" si="62"/>
        <v>0</v>
      </c>
      <c r="BU52" s="466">
        <f t="shared" si="63"/>
        <v>0</v>
      </c>
    </row>
    <row r="53" spans="1:73" ht="12.6" customHeight="1">
      <c r="A53" s="254" t="s">
        <v>119</v>
      </c>
      <c r="B53" s="129">
        <f t="shared" si="37"/>
        <v>2400</v>
      </c>
      <c r="C53" s="257">
        <v>18.399999999999999</v>
      </c>
      <c r="D53" s="129"/>
      <c r="E53" s="129"/>
      <c r="F53" s="129"/>
      <c r="G53" s="509">
        <f t="shared" si="38"/>
        <v>0</v>
      </c>
      <c r="H53" s="129"/>
      <c r="I53" s="129"/>
      <c r="J53" s="129"/>
      <c r="K53" s="509">
        <f t="shared" si="39"/>
        <v>0</v>
      </c>
      <c r="L53" s="129">
        <v>200</v>
      </c>
      <c r="M53" s="129"/>
      <c r="N53" s="129"/>
      <c r="O53" s="509">
        <f t="shared" si="40"/>
        <v>0</v>
      </c>
      <c r="P53" s="129">
        <v>200</v>
      </c>
      <c r="Q53" s="129"/>
      <c r="R53" s="129"/>
      <c r="S53" s="509">
        <f t="shared" si="41"/>
        <v>0</v>
      </c>
      <c r="T53" s="129">
        <v>200</v>
      </c>
      <c r="U53" s="129">
        <v>19</v>
      </c>
      <c r="V53" s="129">
        <v>828</v>
      </c>
      <c r="W53" s="509">
        <f t="shared" si="43"/>
        <v>0.10295440320000002</v>
      </c>
      <c r="X53" s="129">
        <v>250</v>
      </c>
      <c r="Y53" s="129"/>
      <c r="Z53" s="129"/>
      <c r="AA53" s="509">
        <f t="shared" si="44"/>
        <v>0</v>
      </c>
      <c r="AB53" s="129">
        <v>200</v>
      </c>
      <c r="AC53" s="129"/>
      <c r="AD53" s="129"/>
      <c r="AE53" s="509">
        <f t="shared" si="45"/>
        <v>0</v>
      </c>
      <c r="AF53" s="129">
        <v>250</v>
      </c>
      <c r="AG53" s="129"/>
      <c r="AH53" s="129"/>
      <c r="AI53" s="509">
        <f t="shared" si="46"/>
        <v>0</v>
      </c>
      <c r="AJ53" s="129">
        <v>300</v>
      </c>
      <c r="AK53" s="129"/>
      <c r="AL53" s="129"/>
      <c r="AM53" s="509">
        <f t="shared" si="47"/>
        <v>0</v>
      </c>
      <c r="AN53" s="129">
        <v>250</v>
      </c>
      <c r="AO53" s="129"/>
      <c r="AP53" s="129"/>
      <c r="AQ53" s="509">
        <f t="shared" si="48"/>
        <v>0</v>
      </c>
      <c r="AR53" s="129">
        <v>300</v>
      </c>
      <c r="AS53" s="129">
        <v>19</v>
      </c>
      <c r="AT53" s="129">
        <v>1097</v>
      </c>
      <c r="AU53" s="509">
        <f t="shared" si="49"/>
        <v>0.13965583494833897</v>
      </c>
      <c r="AV53" s="129">
        <v>250</v>
      </c>
      <c r="AW53" s="129"/>
      <c r="AX53" s="129"/>
      <c r="AY53" s="509">
        <f t="shared" si="50"/>
        <v>0</v>
      </c>
      <c r="AZ53" s="23">
        <f t="shared" si="51"/>
        <v>200</v>
      </c>
      <c r="BA53" s="23">
        <f t="shared" si="51"/>
        <v>0</v>
      </c>
      <c r="BB53" s="509">
        <f t="shared" si="52"/>
        <v>0</v>
      </c>
      <c r="BC53" s="23">
        <f t="shared" si="53"/>
        <v>650</v>
      </c>
      <c r="BD53" s="257">
        <f t="shared" si="53"/>
        <v>19</v>
      </c>
      <c r="BE53" s="257">
        <f t="shared" si="54"/>
        <v>0.10295440320000002</v>
      </c>
      <c r="BF53" s="257">
        <f t="shared" si="55"/>
        <v>750</v>
      </c>
      <c r="BG53" s="23">
        <f t="shared" si="55"/>
        <v>0</v>
      </c>
      <c r="BH53" s="257">
        <f t="shared" si="56"/>
        <v>0</v>
      </c>
      <c r="BI53" s="23">
        <f t="shared" si="57"/>
        <v>800</v>
      </c>
      <c r="BJ53" s="23">
        <f t="shared" si="57"/>
        <v>19</v>
      </c>
      <c r="BK53" s="257">
        <f t="shared" si="58"/>
        <v>0.13965583494833897</v>
      </c>
      <c r="BL53" s="23">
        <f t="shared" si="59"/>
        <v>2400</v>
      </c>
      <c r="BM53" s="23">
        <f t="shared" si="59"/>
        <v>38</v>
      </c>
      <c r="BN53" s="257">
        <f t="shared" si="59"/>
        <v>0.24261023814833899</v>
      </c>
      <c r="BO53" s="466">
        <f t="shared" si="60"/>
        <v>1.5833333333333335E-2</v>
      </c>
      <c r="BP53" s="472"/>
      <c r="BQ53" s="23">
        <f t="shared" si="61"/>
        <v>1050</v>
      </c>
      <c r="BR53" s="23" t="e">
        <f>E53+I53+M53+Q53+U53+Y53+#REF!</f>
        <v>#REF!</v>
      </c>
      <c r="BS53" s="466">
        <f t="shared" si="34"/>
        <v>0</v>
      </c>
      <c r="BT53" s="509">
        <f t="shared" si="62"/>
        <v>0.10295440320000002</v>
      </c>
      <c r="BU53" s="466">
        <f t="shared" si="63"/>
        <v>0</v>
      </c>
    </row>
    <row r="54" spans="1:73" ht="12.6" customHeight="1">
      <c r="A54" s="482" t="s">
        <v>72</v>
      </c>
      <c r="B54" s="457">
        <f>SUM(B26:B53)</f>
        <v>2760</v>
      </c>
      <c r="C54" s="458"/>
      <c r="D54" s="457">
        <f>SUM(D26:D53)</f>
        <v>0</v>
      </c>
      <c r="E54" s="457">
        <f>SUM(E26:E53)</f>
        <v>0</v>
      </c>
      <c r="F54" s="457"/>
      <c r="G54" s="511">
        <f>SUM(G26:G53)</f>
        <v>0</v>
      </c>
      <c r="H54" s="457">
        <f>SUM(H26:H53)</f>
        <v>15</v>
      </c>
      <c r="I54" s="457">
        <f>SUM(I26:I53)</f>
        <v>0</v>
      </c>
      <c r="J54" s="457"/>
      <c r="K54" s="511">
        <f>SUM(K26:K53)</f>
        <v>0</v>
      </c>
      <c r="L54" s="457">
        <f>SUM(L26:L53)</f>
        <v>255</v>
      </c>
      <c r="M54" s="457">
        <f>SUM(M26:M53)</f>
        <v>35</v>
      </c>
      <c r="N54" s="457"/>
      <c r="O54" s="511">
        <f>SUM(O26:O53)</f>
        <v>0.26930213657142854</v>
      </c>
      <c r="P54" s="457">
        <f>SUM(P26:P53)</f>
        <v>235</v>
      </c>
      <c r="Q54" s="457">
        <f>SUM(Q26:Q53)</f>
        <v>0</v>
      </c>
      <c r="R54" s="457"/>
      <c r="S54" s="511">
        <f t="shared" ref="S54:Y54" si="64">SUM(S26:S53)</f>
        <v>0</v>
      </c>
      <c r="T54" s="457">
        <f t="shared" si="64"/>
        <v>220</v>
      </c>
      <c r="U54" s="457">
        <f t="shared" si="64"/>
        <v>19</v>
      </c>
      <c r="V54" s="457">
        <f t="shared" si="64"/>
        <v>828</v>
      </c>
      <c r="W54" s="511">
        <f t="shared" si="64"/>
        <v>0.10295440320000002</v>
      </c>
      <c r="X54" s="457">
        <f t="shared" si="64"/>
        <v>285</v>
      </c>
      <c r="Y54" s="457">
        <f t="shared" si="64"/>
        <v>0</v>
      </c>
      <c r="Z54" s="457">
        <f>SUM(Z26:Z53)</f>
        <v>0</v>
      </c>
      <c r="AA54" s="511">
        <f t="shared" ref="AA54" si="65">SUM(AA26:AA53)</f>
        <v>0</v>
      </c>
      <c r="AB54" s="457">
        <f>SUM(AB26:AB53)</f>
        <v>235</v>
      </c>
      <c r="AC54" s="457">
        <f t="shared" ref="AC54" si="66">SUM(AC26:AC53)</f>
        <v>0</v>
      </c>
      <c r="AD54" s="457">
        <f>SUM(AD26:AD53)</f>
        <v>0</v>
      </c>
      <c r="AE54" s="511">
        <f t="shared" ref="AE54" si="67">SUM(AE26:AE53)</f>
        <v>0</v>
      </c>
      <c r="AF54" s="457">
        <f>SUM(AF26:AF53)</f>
        <v>270</v>
      </c>
      <c r="AG54" s="457">
        <f t="shared" ref="AG54" si="68">SUM(AG26:AG53)</f>
        <v>19</v>
      </c>
      <c r="AH54" s="457">
        <f>SUM(AH26:AH53)</f>
        <v>4238</v>
      </c>
      <c r="AI54" s="511">
        <f t="shared" ref="AI54" si="69">SUM(AI26:AI53)</f>
        <v>0.19786748200000001</v>
      </c>
      <c r="AJ54" s="457">
        <f>SUM(AJ26:AJ53)</f>
        <v>350</v>
      </c>
      <c r="AK54" s="457">
        <f t="shared" ref="AK54" si="70">SUM(AK26:AK53)</f>
        <v>0</v>
      </c>
      <c r="AL54" s="457">
        <f>SUM(AL26:AL53)</f>
        <v>0</v>
      </c>
      <c r="AM54" s="511">
        <f t="shared" ref="AM54" si="71">SUM(AM26:AM53)</f>
        <v>0</v>
      </c>
      <c r="AN54" s="457">
        <f>SUM(AN26:AN53)</f>
        <v>290</v>
      </c>
      <c r="AO54" s="457">
        <f t="shared" ref="AO54" si="72">SUM(AO26:AO53)</f>
        <v>0</v>
      </c>
      <c r="AP54" s="457">
        <f>SUM(AP26:AP53)</f>
        <v>0</v>
      </c>
      <c r="AQ54" s="511">
        <f t="shared" ref="AQ54" si="73">SUM(AQ26:AQ53)</f>
        <v>0</v>
      </c>
      <c r="AR54" s="457">
        <f>SUM(AR26:AR53)</f>
        <v>315</v>
      </c>
      <c r="AS54" s="457">
        <f t="shared" ref="AS54" si="74">SUM(AS26:AS53)</f>
        <v>37</v>
      </c>
      <c r="AT54" s="457">
        <f>SUM(AT26:AT53)</f>
        <v>5139</v>
      </c>
      <c r="AU54" s="511">
        <f t="shared" ref="AU54" si="75">SUM(AU26:AU53)</f>
        <v>0.31358699094833897</v>
      </c>
      <c r="AV54" s="457">
        <f>SUM(AV26:AV53)</f>
        <v>290</v>
      </c>
      <c r="AW54" s="457">
        <f t="shared" ref="AW54" si="76">SUM(AW26:AW53)</f>
        <v>0</v>
      </c>
      <c r="AX54" s="457">
        <f>SUM(AX26:AX53)</f>
        <v>0</v>
      </c>
      <c r="AY54" s="511">
        <f t="shared" ref="AY54:BN54" si="77">SUM(AY26:AY53)</f>
        <v>0</v>
      </c>
      <c r="AZ54" s="457">
        <f t="shared" si="77"/>
        <v>270</v>
      </c>
      <c r="BA54" s="457">
        <f t="shared" si="77"/>
        <v>35</v>
      </c>
      <c r="BB54" s="457">
        <f t="shared" si="77"/>
        <v>0.26930213657142854</v>
      </c>
      <c r="BC54" s="457">
        <f t="shared" si="77"/>
        <v>740</v>
      </c>
      <c r="BD54" s="457">
        <f t="shared" si="77"/>
        <v>19</v>
      </c>
      <c r="BE54" s="457">
        <f t="shared" si="77"/>
        <v>0.10295440320000002</v>
      </c>
      <c r="BF54" s="457">
        <f t="shared" si="77"/>
        <v>855</v>
      </c>
      <c r="BG54" s="457">
        <f t="shared" si="77"/>
        <v>19</v>
      </c>
      <c r="BH54" s="457">
        <f t="shared" si="77"/>
        <v>0.19786748200000001</v>
      </c>
      <c r="BI54" s="457">
        <f t="shared" si="77"/>
        <v>895</v>
      </c>
      <c r="BJ54" s="457">
        <f t="shared" si="77"/>
        <v>37</v>
      </c>
      <c r="BK54" s="457">
        <f t="shared" si="77"/>
        <v>0.31358699094833897</v>
      </c>
      <c r="BL54" s="457">
        <f t="shared" si="77"/>
        <v>2760</v>
      </c>
      <c r="BM54" s="457">
        <f t="shared" si="77"/>
        <v>110</v>
      </c>
      <c r="BN54" s="457">
        <f t="shared" si="77"/>
        <v>0.8837110127197676</v>
      </c>
      <c r="BO54" s="525">
        <f>IFERROR(BM54/BL54,0)</f>
        <v>3.9855072463768113E-2</v>
      </c>
      <c r="BP54" s="472"/>
      <c r="BQ54" s="457">
        <f t="shared" ref="BQ54:BR54" si="78">SUM(BQ26:BQ53)</f>
        <v>1245</v>
      </c>
      <c r="BR54" s="457" t="e">
        <f t="shared" si="78"/>
        <v>#REF!</v>
      </c>
      <c r="BS54" s="467">
        <f t="shared" si="34"/>
        <v>0</v>
      </c>
      <c r="BT54" s="511">
        <f t="shared" ref="BT54" si="79">SUM(BT26:BT53)</f>
        <v>0.37225653977142859</v>
      </c>
      <c r="BU54" s="525">
        <f t="shared" si="63"/>
        <v>0</v>
      </c>
    </row>
    <row r="55" spans="1:73" ht="12.6" customHeight="1">
      <c r="A55" s="254"/>
      <c r="B55" s="254"/>
      <c r="C55" s="461"/>
      <c r="D55" s="254"/>
      <c r="E55" s="254"/>
      <c r="F55" s="254"/>
      <c r="G55" s="513"/>
      <c r="H55" s="254"/>
      <c r="I55" s="254"/>
      <c r="J55" s="254"/>
      <c r="K55" s="513"/>
      <c r="L55" s="254"/>
      <c r="M55" s="254"/>
      <c r="N55" s="254"/>
      <c r="O55" s="513"/>
      <c r="P55" s="254"/>
      <c r="Q55" s="254"/>
      <c r="R55" s="254"/>
      <c r="S55" s="513"/>
      <c r="T55" s="254"/>
      <c r="U55" s="254"/>
      <c r="V55" s="254"/>
      <c r="W55" s="513"/>
      <c r="X55" s="254"/>
      <c r="Y55" s="254"/>
      <c r="Z55" s="254"/>
      <c r="AA55" s="513"/>
      <c r="AB55" s="254"/>
      <c r="AC55" s="254"/>
      <c r="AD55" s="254"/>
      <c r="AE55" s="513"/>
      <c r="AF55" s="254"/>
      <c r="AG55" s="254"/>
      <c r="AH55" s="254"/>
      <c r="AI55" s="513"/>
      <c r="AJ55" s="254"/>
      <c r="AK55" s="254"/>
      <c r="AL55" s="254"/>
      <c r="AM55" s="513"/>
      <c r="AN55" s="254"/>
      <c r="AO55" s="254"/>
      <c r="AP55" s="254"/>
      <c r="AQ55" s="513"/>
      <c r="AR55" s="254"/>
      <c r="AS55" s="254"/>
      <c r="AT55" s="254"/>
      <c r="AU55" s="513"/>
      <c r="AV55" s="254"/>
      <c r="AW55" s="254"/>
      <c r="AX55" s="254"/>
      <c r="AY55" s="513"/>
      <c r="AZ55" s="254"/>
      <c r="BA55" s="461"/>
      <c r="BB55" s="513"/>
      <c r="BC55" s="254"/>
      <c r="BD55" s="461"/>
      <c r="BE55" s="461"/>
      <c r="BF55" s="461"/>
      <c r="BG55" s="254"/>
      <c r="BH55" s="461"/>
      <c r="BI55" s="254"/>
      <c r="BJ55" s="254"/>
      <c r="BK55" s="461"/>
      <c r="BL55" s="254"/>
      <c r="BM55" s="254"/>
      <c r="BN55" s="461"/>
      <c r="BO55" s="469">
        <f t="shared" si="36"/>
        <v>0</v>
      </c>
      <c r="BP55" s="472"/>
      <c r="BQ55" s="254"/>
      <c r="BR55" s="495"/>
      <c r="BS55" s="469">
        <f t="shared" si="34"/>
        <v>0</v>
      </c>
      <c r="BT55" s="529"/>
      <c r="BU55" s="469">
        <f t="shared" si="63"/>
        <v>0</v>
      </c>
    </row>
    <row r="56" spans="1:73" ht="12.6" customHeight="1">
      <c r="A56" s="254" t="s">
        <v>56</v>
      </c>
      <c r="B56" s="129">
        <f>D56+H56+L56+P56+T56+X56+AB56+AF56+AJ56+AN56+AR56+AV56</f>
        <v>0</v>
      </c>
      <c r="C56" s="257">
        <v>36</v>
      </c>
      <c r="D56" s="129"/>
      <c r="E56" s="129"/>
      <c r="F56" s="129"/>
      <c r="G56" s="509">
        <f t="shared" ref="G56:G60" si="80">E56*(F56-C56)*66.47/10^7</f>
        <v>0</v>
      </c>
      <c r="H56" s="129"/>
      <c r="I56" s="129"/>
      <c r="J56" s="129"/>
      <c r="K56" s="509">
        <f>I56*(J56-C56)*66.91/10^7</f>
        <v>0</v>
      </c>
      <c r="L56" s="129"/>
      <c r="M56" s="129"/>
      <c r="N56" s="129"/>
      <c r="O56" s="509">
        <f>M56*(N56-C56)*67.28/10^7</f>
        <v>0</v>
      </c>
      <c r="P56" s="129"/>
      <c r="Q56" s="129"/>
      <c r="R56" s="129"/>
      <c r="S56" s="509">
        <f t="shared" ref="S56:S60" si="81">Q56*(R56-C56)*67.2/10^7</f>
        <v>0</v>
      </c>
      <c r="T56" s="129"/>
      <c r="U56" s="129"/>
      <c r="V56" s="129">
        <f>(T56*U56)/10^6</f>
        <v>0</v>
      </c>
      <c r="W56" s="509">
        <f t="shared" ref="W56:W60" si="82">U56*(V56-C56)*66.93/10^7</f>
        <v>0</v>
      </c>
      <c r="X56" s="129"/>
      <c r="Y56" s="129"/>
      <c r="Z56" s="129"/>
      <c r="AA56" s="509">
        <f t="shared" ref="AA56:AA60" si="83">Y56*(Z56-C56)*66.69/10^7</f>
        <v>0</v>
      </c>
      <c r="AB56" s="129"/>
      <c r="AC56" s="129"/>
      <c r="AD56" s="129"/>
      <c r="AE56" s="509">
        <f>AC56*(AD56-G56)*66.73/10^7</f>
        <v>0</v>
      </c>
      <c r="AF56" s="129"/>
      <c r="AG56" s="129"/>
      <c r="AH56" s="129"/>
      <c r="AI56" s="509">
        <f>AG56*(AH56-K56)*67.58/10^7</f>
        <v>0</v>
      </c>
      <c r="AJ56" s="129"/>
      <c r="AK56" s="129"/>
      <c r="AL56" s="129"/>
      <c r="AM56" s="509">
        <f>AK56*(AL56-O56)*67.91/10^7</f>
        <v>0</v>
      </c>
      <c r="AN56" s="129"/>
      <c r="AO56" s="129"/>
      <c r="AP56" s="129"/>
      <c r="AQ56" s="509">
        <f>AO56*(AP56-S56)*68.01/10^7</f>
        <v>0</v>
      </c>
      <c r="AR56" s="129"/>
      <c r="AS56" s="129"/>
      <c r="AT56" s="129"/>
      <c r="AU56" s="509">
        <f>AS56*(AT56-W56)*67.01/10^7</f>
        <v>0</v>
      </c>
      <c r="AV56" s="129"/>
      <c r="AW56" s="129"/>
      <c r="AX56" s="129"/>
      <c r="AY56" s="509">
        <f t="shared" ref="AY56:AY60" si="84">AW56*(AX56-AA56)*66.69/10^7</f>
        <v>0</v>
      </c>
      <c r="AZ56" s="23">
        <f t="shared" ref="AZ56:BA60" si="85">+D56+H56+L56</f>
        <v>0</v>
      </c>
      <c r="BA56" s="23">
        <f t="shared" si="85"/>
        <v>0</v>
      </c>
      <c r="BB56" s="509">
        <f t="shared" ref="BB56:BB60" si="86">+G56+K56+O56</f>
        <v>0</v>
      </c>
      <c r="BC56" s="23">
        <f t="shared" ref="BC56:BD60" si="87">+P56+T56+X56</f>
        <v>0</v>
      </c>
      <c r="BD56" s="257">
        <f t="shared" si="87"/>
        <v>0</v>
      </c>
      <c r="BE56" s="257">
        <f t="shared" ref="BE56:BE60" si="88">S56+W56+AA56</f>
        <v>0</v>
      </c>
      <c r="BF56" s="257">
        <f t="shared" ref="BF56:BG60" si="89">AB56+AF56+AJ56</f>
        <v>0</v>
      </c>
      <c r="BG56" s="23">
        <f t="shared" si="89"/>
        <v>0</v>
      </c>
      <c r="BH56" s="257">
        <f t="shared" ref="BH56:BH60" si="90">AE56+AI56+AM56</f>
        <v>0</v>
      </c>
      <c r="BI56" s="23">
        <f t="shared" ref="BI56:BJ60" si="91">+AN56+AR56+AV56</f>
        <v>0</v>
      </c>
      <c r="BJ56" s="23">
        <f t="shared" si="91"/>
        <v>0</v>
      </c>
      <c r="BK56" s="257">
        <f t="shared" ref="BK56:BK60" si="92">AQ56+AU56+AY56</f>
        <v>0</v>
      </c>
      <c r="BL56" s="23">
        <f t="shared" ref="BL56:BN60" si="93">AZ56+BC56+BF56+BI56</f>
        <v>0</v>
      </c>
      <c r="BM56" s="23">
        <f t="shared" si="93"/>
        <v>0</v>
      </c>
      <c r="BN56" s="257">
        <f t="shared" si="93"/>
        <v>0</v>
      </c>
      <c r="BO56" s="466">
        <f t="shared" ref="BO56:BO60" si="94">IFERROR(BM56/BL56,0)</f>
        <v>0</v>
      </c>
      <c r="BP56" s="472"/>
      <c r="BQ56" s="23">
        <f>D56+H56+L56+P56+T56+X56+AB56</f>
        <v>0</v>
      </c>
      <c r="BR56" s="23" t="e">
        <f>E56+I56+M56+Q56+U56+Y56+#REF!</f>
        <v>#REF!</v>
      </c>
      <c r="BS56" s="466">
        <f t="shared" si="34"/>
        <v>0</v>
      </c>
      <c r="BT56" s="509">
        <f>G56+K56+O56+S56+W56+AA56</f>
        <v>0</v>
      </c>
      <c r="BU56" s="466">
        <f t="shared" si="63"/>
        <v>0</v>
      </c>
    </row>
    <row r="57" spans="1:73" ht="12.6" customHeight="1">
      <c r="A57" s="254" t="s">
        <v>57</v>
      </c>
      <c r="B57" s="129">
        <f>D57+H57+L57+P57+T57+X57+AB57+AF57+AJ57+AN57+AR57+AV57</f>
        <v>0</v>
      </c>
      <c r="C57" s="257">
        <v>36</v>
      </c>
      <c r="D57" s="129"/>
      <c r="E57" s="129"/>
      <c r="F57" s="129"/>
      <c r="G57" s="509">
        <f t="shared" si="80"/>
        <v>0</v>
      </c>
      <c r="H57" s="129"/>
      <c r="I57" s="129"/>
      <c r="J57" s="129"/>
      <c r="K57" s="509">
        <f>I57*(J57-C57)*66.91/10^7</f>
        <v>0</v>
      </c>
      <c r="L57" s="129"/>
      <c r="M57" s="129"/>
      <c r="N57" s="129"/>
      <c r="O57" s="509">
        <f>M57*(N57-C57)*67.28/10^7</f>
        <v>0</v>
      </c>
      <c r="P57" s="129"/>
      <c r="Q57" s="129"/>
      <c r="R57" s="129"/>
      <c r="S57" s="509">
        <f t="shared" si="81"/>
        <v>0</v>
      </c>
      <c r="T57" s="129"/>
      <c r="U57" s="129"/>
      <c r="V57" s="129">
        <f>(T57*U57)/10^6</f>
        <v>0</v>
      </c>
      <c r="W57" s="509">
        <f t="shared" si="82"/>
        <v>0</v>
      </c>
      <c r="X57" s="129"/>
      <c r="Y57" s="129"/>
      <c r="Z57" s="129"/>
      <c r="AA57" s="509">
        <f t="shared" si="83"/>
        <v>0</v>
      </c>
      <c r="AB57" s="129"/>
      <c r="AC57" s="129"/>
      <c r="AD57" s="129"/>
      <c r="AE57" s="509">
        <f>AC57*(AD57-G57)*66.73/10^7</f>
        <v>0</v>
      </c>
      <c r="AF57" s="129"/>
      <c r="AG57" s="129"/>
      <c r="AH57" s="129"/>
      <c r="AI57" s="509">
        <f>AG57*(AH57-K57)*67.58/10^7</f>
        <v>0</v>
      </c>
      <c r="AJ57" s="129"/>
      <c r="AK57" s="129"/>
      <c r="AL57" s="129"/>
      <c r="AM57" s="509">
        <f>AK57*(AL57-O57)*67.91/10^7</f>
        <v>0</v>
      </c>
      <c r="AN57" s="129"/>
      <c r="AO57" s="129"/>
      <c r="AP57" s="129"/>
      <c r="AQ57" s="509">
        <f>AO57*(AP57-S57)*68.01/10^7</f>
        <v>0</v>
      </c>
      <c r="AR57" s="129"/>
      <c r="AS57" s="129"/>
      <c r="AT57" s="129"/>
      <c r="AU57" s="509">
        <f>AS57*(AT57-W57)*67.01/10^7</f>
        <v>0</v>
      </c>
      <c r="AV57" s="129"/>
      <c r="AW57" s="129"/>
      <c r="AX57" s="129"/>
      <c r="AY57" s="509">
        <f t="shared" si="84"/>
        <v>0</v>
      </c>
      <c r="AZ57" s="23">
        <f t="shared" si="85"/>
        <v>0</v>
      </c>
      <c r="BA57" s="23">
        <f t="shared" si="85"/>
        <v>0</v>
      </c>
      <c r="BB57" s="509">
        <f t="shared" si="86"/>
        <v>0</v>
      </c>
      <c r="BC57" s="23">
        <f t="shared" si="87"/>
        <v>0</v>
      </c>
      <c r="BD57" s="257">
        <f t="shared" si="87"/>
        <v>0</v>
      </c>
      <c r="BE57" s="257">
        <f t="shared" si="88"/>
        <v>0</v>
      </c>
      <c r="BF57" s="257">
        <f t="shared" si="89"/>
        <v>0</v>
      </c>
      <c r="BG57" s="23">
        <f t="shared" si="89"/>
        <v>0</v>
      </c>
      <c r="BH57" s="257">
        <f t="shared" si="90"/>
        <v>0</v>
      </c>
      <c r="BI57" s="23">
        <f t="shared" si="91"/>
        <v>0</v>
      </c>
      <c r="BJ57" s="23">
        <f t="shared" si="91"/>
        <v>0</v>
      </c>
      <c r="BK57" s="257">
        <f t="shared" si="92"/>
        <v>0</v>
      </c>
      <c r="BL57" s="23">
        <f t="shared" si="93"/>
        <v>0</v>
      </c>
      <c r="BM57" s="23">
        <f t="shared" si="93"/>
        <v>0</v>
      </c>
      <c r="BN57" s="257">
        <f t="shared" si="93"/>
        <v>0</v>
      </c>
      <c r="BO57" s="466">
        <f t="shared" si="94"/>
        <v>0</v>
      </c>
      <c r="BP57" s="472"/>
      <c r="BQ57" s="23">
        <f>D57+H57+L57+P57+T57+X57+AB57</f>
        <v>0</v>
      </c>
      <c r="BR57" s="23" t="e">
        <f>E57+I57+M57+Q57+U57+Y57+#REF!</f>
        <v>#REF!</v>
      </c>
      <c r="BS57" s="466">
        <f t="shared" si="34"/>
        <v>0</v>
      </c>
      <c r="BT57" s="509">
        <f>G57+K57+O57+S57+W57+AA57</f>
        <v>0</v>
      </c>
      <c r="BU57" s="466">
        <f t="shared" si="63"/>
        <v>0</v>
      </c>
    </row>
    <row r="58" spans="1:73" ht="12.6" customHeight="1">
      <c r="A58" s="254" t="s">
        <v>58</v>
      </c>
      <c r="B58" s="129">
        <f>D58+H58+L58+P58+T58+X58+AB58+AF58+AJ58+AN58+AR58+AV58</f>
        <v>0</v>
      </c>
      <c r="C58" s="257"/>
      <c r="D58" s="129"/>
      <c r="E58" s="129"/>
      <c r="F58" s="129"/>
      <c r="G58" s="509">
        <f t="shared" si="80"/>
        <v>0</v>
      </c>
      <c r="H58" s="129"/>
      <c r="I58" s="129"/>
      <c r="J58" s="129"/>
      <c r="K58" s="509">
        <f>I58*(J58-C58)*66.91/10^7</f>
        <v>0</v>
      </c>
      <c r="L58" s="129"/>
      <c r="M58" s="129"/>
      <c r="N58" s="129"/>
      <c r="O58" s="509">
        <f>M58*(N58-C58)*67.28/10^7</f>
        <v>0</v>
      </c>
      <c r="P58" s="129"/>
      <c r="Q58" s="129"/>
      <c r="R58" s="129"/>
      <c r="S58" s="509">
        <f t="shared" si="81"/>
        <v>0</v>
      </c>
      <c r="T58" s="129"/>
      <c r="U58" s="129"/>
      <c r="V58" s="129">
        <f>(T58*U58)/10^6</f>
        <v>0</v>
      </c>
      <c r="W58" s="509">
        <f t="shared" si="82"/>
        <v>0</v>
      </c>
      <c r="X58" s="129"/>
      <c r="Y58" s="129"/>
      <c r="Z58" s="129"/>
      <c r="AA58" s="509">
        <f t="shared" si="83"/>
        <v>0</v>
      </c>
      <c r="AB58" s="129"/>
      <c r="AC58" s="129"/>
      <c r="AD58" s="129"/>
      <c r="AE58" s="509">
        <f>AC58*(AD58-G58)*66.73/10^7</f>
        <v>0</v>
      </c>
      <c r="AF58" s="129"/>
      <c r="AG58" s="129"/>
      <c r="AH58" s="129"/>
      <c r="AI58" s="509">
        <f>AG58*(AH58-K58)*67.58/10^7</f>
        <v>0</v>
      </c>
      <c r="AJ58" s="129"/>
      <c r="AK58" s="129"/>
      <c r="AL58" s="129"/>
      <c r="AM58" s="509">
        <f>AK58*(AL58-O58)*67.91/10^7</f>
        <v>0</v>
      </c>
      <c r="AN58" s="129"/>
      <c r="AO58" s="129">
        <v>79</v>
      </c>
      <c r="AP58" s="129">
        <v>737</v>
      </c>
      <c r="AQ58" s="509">
        <f>AO58*(AP58-S58)*68.01/10^7</f>
        <v>0.39597462300000003</v>
      </c>
      <c r="AR58" s="129"/>
      <c r="AS58" s="129"/>
      <c r="AT58" s="129"/>
      <c r="AU58" s="509">
        <f>AS58*(AT58-W58)*67.01/10^7</f>
        <v>0</v>
      </c>
      <c r="AV58" s="129"/>
      <c r="AW58" s="129"/>
      <c r="AX58" s="129"/>
      <c r="AY58" s="509">
        <f t="shared" si="84"/>
        <v>0</v>
      </c>
      <c r="AZ58" s="23">
        <f t="shared" si="85"/>
        <v>0</v>
      </c>
      <c r="BA58" s="23">
        <f t="shared" si="85"/>
        <v>0</v>
      </c>
      <c r="BB58" s="509">
        <f t="shared" si="86"/>
        <v>0</v>
      </c>
      <c r="BC58" s="23">
        <f t="shared" si="87"/>
        <v>0</v>
      </c>
      <c r="BD58" s="257">
        <f t="shared" si="87"/>
        <v>0</v>
      </c>
      <c r="BE58" s="257">
        <f t="shared" si="88"/>
        <v>0</v>
      </c>
      <c r="BF58" s="257">
        <f t="shared" si="89"/>
        <v>0</v>
      </c>
      <c r="BG58" s="23">
        <f t="shared" si="89"/>
        <v>0</v>
      </c>
      <c r="BH58" s="257">
        <f t="shared" si="90"/>
        <v>0</v>
      </c>
      <c r="BI58" s="23">
        <f t="shared" si="91"/>
        <v>0</v>
      </c>
      <c r="BJ58" s="23">
        <f t="shared" si="91"/>
        <v>79</v>
      </c>
      <c r="BK58" s="257">
        <f t="shared" si="92"/>
        <v>0.39597462300000003</v>
      </c>
      <c r="BL58" s="23">
        <f t="shared" si="93"/>
        <v>0</v>
      </c>
      <c r="BM58" s="23">
        <f t="shared" si="93"/>
        <v>79</v>
      </c>
      <c r="BN58" s="257">
        <f t="shared" si="93"/>
        <v>0.39597462300000003</v>
      </c>
      <c r="BO58" s="466">
        <f t="shared" si="94"/>
        <v>0</v>
      </c>
      <c r="BP58" s="472"/>
      <c r="BQ58" s="23">
        <f>D58+H58+L58+P58+T58+X58+AB58</f>
        <v>0</v>
      </c>
      <c r="BR58" s="23" t="e">
        <f>E58+I58+M58+Q58+U58+Y58+#REF!</f>
        <v>#REF!</v>
      </c>
      <c r="BS58" s="466">
        <f t="shared" si="34"/>
        <v>0</v>
      </c>
      <c r="BT58" s="509">
        <f>G58+K58+O58+S58+W58+AA58</f>
        <v>0</v>
      </c>
      <c r="BU58" s="466">
        <f t="shared" si="63"/>
        <v>0</v>
      </c>
    </row>
    <row r="59" spans="1:73" ht="12.6" customHeight="1">
      <c r="A59" s="254" t="s">
        <v>103</v>
      </c>
      <c r="B59" s="129">
        <f>D59+H59+L59+P59+T59+X59+AB59+AF59+AJ59+AN59+AR59+AV59</f>
        <v>0</v>
      </c>
      <c r="C59" s="257"/>
      <c r="D59" s="129"/>
      <c r="E59" s="129"/>
      <c r="F59" s="129"/>
      <c r="G59" s="509">
        <f t="shared" si="80"/>
        <v>0</v>
      </c>
      <c r="H59" s="129"/>
      <c r="I59" s="129"/>
      <c r="J59" s="129"/>
      <c r="K59" s="509">
        <f>I59*(J59-C59)*66.91/10^7</f>
        <v>0</v>
      </c>
      <c r="L59" s="129"/>
      <c r="M59" s="129"/>
      <c r="N59" s="129"/>
      <c r="O59" s="509">
        <f>M59*(N59-C59)*67.28/10^7</f>
        <v>0</v>
      </c>
      <c r="P59" s="129"/>
      <c r="Q59" s="129"/>
      <c r="R59" s="129"/>
      <c r="S59" s="509">
        <f t="shared" si="81"/>
        <v>0</v>
      </c>
      <c r="T59" s="129"/>
      <c r="U59" s="129"/>
      <c r="V59" s="129">
        <f>(T59*U59)/10^6</f>
        <v>0</v>
      </c>
      <c r="W59" s="509">
        <f t="shared" si="82"/>
        <v>0</v>
      </c>
      <c r="X59" s="129"/>
      <c r="Y59" s="129"/>
      <c r="Z59" s="129"/>
      <c r="AA59" s="509">
        <f t="shared" si="83"/>
        <v>0</v>
      </c>
      <c r="AB59" s="129"/>
      <c r="AC59" s="129"/>
      <c r="AD59" s="129"/>
      <c r="AE59" s="509">
        <f>AC59*(AD59-G59)*66.73/10^7</f>
        <v>0</v>
      </c>
      <c r="AF59" s="129"/>
      <c r="AG59" s="129"/>
      <c r="AH59" s="129"/>
      <c r="AI59" s="509">
        <f>AG59*(AH59-K59)*67.58/10^7</f>
        <v>0</v>
      </c>
      <c r="AJ59" s="129"/>
      <c r="AK59" s="129"/>
      <c r="AL59" s="129"/>
      <c r="AM59" s="509">
        <f>AK59*(AL59-O59)*67.91/10^7</f>
        <v>0</v>
      </c>
      <c r="AN59" s="129"/>
      <c r="AO59" s="129"/>
      <c r="AP59" s="129"/>
      <c r="AQ59" s="509">
        <f>AO59*(AP59-S59)*68.01/10^7</f>
        <v>0</v>
      </c>
      <c r="AR59" s="129"/>
      <c r="AS59" s="129"/>
      <c r="AT59" s="129"/>
      <c r="AU59" s="509">
        <f>AS59*(AT59-W59)*67.01/10^7</f>
        <v>0</v>
      </c>
      <c r="AV59" s="129"/>
      <c r="AW59" s="129"/>
      <c r="AX59" s="129"/>
      <c r="AY59" s="509">
        <f t="shared" si="84"/>
        <v>0</v>
      </c>
      <c r="AZ59" s="23">
        <f t="shared" si="85"/>
        <v>0</v>
      </c>
      <c r="BA59" s="23">
        <f t="shared" si="85"/>
        <v>0</v>
      </c>
      <c r="BB59" s="509">
        <f t="shared" si="86"/>
        <v>0</v>
      </c>
      <c r="BC59" s="23">
        <f t="shared" si="87"/>
        <v>0</v>
      </c>
      <c r="BD59" s="257">
        <f t="shared" si="87"/>
        <v>0</v>
      </c>
      <c r="BE59" s="257">
        <f t="shared" si="88"/>
        <v>0</v>
      </c>
      <c r="BF59" s="257">
        <f t="shared" si="89"/>
        <v>0</v>
      </c>
      <c r="BG59" s="23">
        <f t="shared" si="89"/>
        <v>0</v>
      </c>
      <c r="BH59" s="257">
        <f t="shared" si="90"/>
        <v>0</v>
      </c>
      <c r="BI59" s="23">
        <f t="shared" si="91"/>
        <v>0</v>
      </c>
      <c r="BJ59" s="23">
        <f t="shared" si="91"/>
        <v>0</v>
      </c>
      <c r="BK59" s="257">
        <f t="shared" si="92"/>
        <v>0</v>
      </c>
      <c r="BL59" s="23">
        <f t="shared" si="93"/>
        <v>0</v>
      </c>
      <c r="BM59" s="23">
        <f t="shared" si="93"/>
        <v>0</v>
      </c>
      <c r="BN59" s="257">
        <f t="shared" si="93"/>
        <v>0</v>
      </c>
      <c r="BO59" s="466">
        <f t="shared" si="94"/>
        <v>0</v>
      </c>
      <c r="BP59" s="472"/>
      <c r="BQ59" s="23">
        <f>D59+H59+L59+P59+T59+X59+AB59</f>
        <v>0</v>
      </c>
      <c r="BR59" s="23" t="e">
        <f>E59+I59+M59+Q59+U59+Y59+#REF!</f>
        <v>#REF!</v>
      </c>
      <c r="BS59" s="466">
        <f t="shared" si="34"/>
        <v>0</v>
      </c>
      <c r="BT59" s="509">
        <f>G59+K59+O59+S59+W59+AA59</f>
        <v>0</v>
      </c>
      <c r="BU59" s="466">
        <f t="shared" si="63"/>
        <v>0</v>
      </c>
    </row>
    <row r="60" spans="1:73" ht="12.6" customHeight="1">
      <c r="A60" s="254" t="s">
        <v>59</v>
      </c>
      <c r="B60" s="129">
        <f>D60+H60+L60+P60+T60+X60+AB60+AF60+AJ60+AN60+AR60+AV60</f>
        <v>0</v>
      </c>
      <c r="C60" s="257"/>
      <c r="D60" s="129"/>
      <c r="E60" s="129"/>
      <c r="F60" s="129"/>
      <c r="G60" s="509">
        <f t="shared" si="80"/>
        <v>0</v>
      </c>
      <c r="H60" s="129"/>
      <c r="I60" s="129"/>
      <c r="J60" s="129"/>
      <c r="K60" s="509">
        <f>I60*(J60-C60)*66.91/10^7</f>
        <v>0</v>
      </c>
      <c r="L60" s="129"/>
      <c r="M60" s="129"/>
      <c r="N60" s="129"/>
      <c r="O60" s="509">
        <f>M60*(N60-C60)*67.28/10^7</f>
        <v>0</v>
      </c>
      <c r="P60" s="129"/>
      <c r="Q60" s="129"/>
      <c r="R60" s="129"/>
      <c r="S60" s="509">
        <f t="shared" si="81"/>
        <v>0</v>
      </c>
      <c r="T60" s="129"/>
      <c r="U60" s="129"/>
      <c r="V60" s="129">
        <f>(T60*U60)/10^6</f>
        <v>0</v>
      </c>
      <c r="W60" s="509">
        <f t="shared" si="82"/>
        <v>0</v>
      </c>
      <c r="X60" s="129"/>
      <c r="Y60" s="129"/>
      <c r="Z60" s="129"/>
      <c r="AA60" s="509">
        <f t="shared" si="83"/>
        <v>0</v>
      </c>
      <c r="AB60" s="129"/>
      <c r="AC60" s="129"/>
      <c r="AD60" s="129"/>
      <c r="AE60" s="509">
        <f>AC60*(AD60-G60)*66.73/10^7</f>
        <v>0</v>
      </c>
      <c r="AF60" s="129"/>
      <c r="AG60" s="129"/>
      <c r="AH60" s="129"/>
      <c r="AI60" s="509">
        <f>AG60*(AH60-K60)*67.58/10^7</f>
        <v>0</v>
      </c>
      <c r="AJ60" s="129"/>
      <c r="AK60" s="129"/>
      <c r="AL60" s="129"/>
      <c r="AM60" s="509">
        <f>AK60*(AL60-O60)*67.91/10^7</f>
        <v>0</v>
      </c>
      <c r="AN60" s="129"/>
      <c r="AO60" s="129"/>
      <c r="AP60" s="129"/>
      <c r="AQ60" s="509">
        <f>AO60*(AP60-S60)*68.01/10^7</f>
        <v>0</v>
      </c>
      <c r="AR60" s="129"/>
      <c r="AS60" s="129"/>
      <c r="AT60" s="129"/>
      <c r="AU60" s="509">
        <f>AS60*(AT60-W60)*67.01/10^7</f>
        <v>0</v>
      </c>
      <c r="AV60" s="129"/>
      <c r="AW60" s="129"/>
      <c r="AX60" s="129"/>
      <c r="AY60" s="509">
        <f t="shared" si="84"/>
        <v>0</v>
      </c>
      <c r="AZ60" s="23">
        <f t="shared" si="85"/>
        <v>0</v>
      </c>
      <c r="BA60" s="23">
        <f t="shared" si="85"/>
        <v>0</v>
      </c>
      <c r="BB60" s="509">
        <f t="shared" si="86"/>
        <v>0</v>
      </c>
      <c r="BC60" s="23">
        <f t="shared" si="87"/>
        <v>0</v>
      </c>
      <c r="BD60" s="257">
        <f t="shared" si="87"/>
        <v>0</v>
      </c>
      <c r="BE60" s="257">
        <f t="shared" si="88"/>
        <v>0</v>
      </c>
      <c r="BF60" s="257">
        <f t="shared" si="89"/>
        <v>0</v>
      </c>
      <c r="BG60" s="23">
        <f t="shared" si="89"/>
        <v>0</v>
      </c>
      <c r="BH60" s="257">
        <f t="shared" si="90"/>
        <v>0</v>
      </c>
      <c r="BI60" s="23">
        <f t="shared" si="91"/>
        <v>0</v>
      </c>
      <c r="BJ60" s="23">
        <f t="shared" si="91"/>
        <v>0</v>
      </c>
      <c r="BK60" s="257">
        <f t="shared" si="92"/>
        <v>0</v>
      </c>
      <c r="BL60" s="23">
        <f t="shared" si="93"/>
        <v>0</v>
      </c>
      <c r="BM60" s="23">
        <f t="shared" si="93"/>
        <v>0</v>
      </c>
      <c r="BN60" s="257">
        <f t="shared" si="93"/>
        <v>0</v>
      </c>
      <c r="BO60" s="466">
        <f t="shared" si="94"/>
        <v>0</v>
      </c>
      <c r="BP60" s="472"/>
      <c r="BQ60" s="23">
        <f>D60+H60+L60+P60+T60+X60+AB60</f>
        <v>0</v>
      </c>
      <c r="BR60" s="23" t="e">
        <f>E60+I60+M60+Q60+U60+Y60+#REF!</f>
        <v>#REF!</v>
      </c>
      <c r="BS60" s="466">
        <f t="shared" si="34"/>
        <v>0</v>
      </c>
      <c r="BT60" s="509">
        <f>G60+K60+O60+S60+W60+AA60</f>
        <v>0</v>
      </c>
      <c r="BU60" s="466">
        <f t="shared" si="63"/>
        <v>0</v>
      </c>
    </row>
    <row r="61" spans="1:73" ht="12.6" customHeight="1">
      <c r="A61" s="482" t="s">
        <v>0</v>
      </c>
      <c r="B61" s="457">
        <f>SUM(B56:B60)</f>
        <v>0</v>
      </c>
      <c r="C61" s="458"/>
      <c r="D61" s="457">
        <f>SUM(D56:D60)</f>
        <v>0</v>
      </c>
      <c r="E61" s="457">
        <f>SUM(E56:E60)</f>
        <v>0</v>
      </c>
      <c r="F61" s="457"/>
      <c r="G61" s="511"/>
      <c r="H61" s="457">
        <f>SUM(H56:H60)</f>
        <v>0</v>
      </c>
      <c r="I61" s="457">
        <f>SUM(I56:I60)</f>
        <v>0</v>
      </c>
      <c r="J61" s="457"/>
      <c r="K61" s="511"/>
      <c r="L61" s="457">
        <f>SUM(L56:L60)</f>
        <v>0</v>
      </c>
      <c r="M61" s="457">
        <f>SUM(M56:M60)</f>
        <v>0</v>
      </c>
      <c r="N61" s="457"/>
      <c r="O61" s="511"/>
      <c r="P61" s="457">
        <f>SUM(P56:P60)</f>
        <v>0</v>
      </c>
      <c r="Q61" s="457">
        <f>SUM(Q56:Q60)</f>
        <v>0</v>
      </c>
      <c r="R61" s="457"/>
      <c r="S61" s="511"/>
      <c r="T61" s="457">
        <f>SUM(T56:T60)</f>
        <v>0</v>
      </c>
      <c r="U61" s="457">
        <f>IF(ISERROR(V61/T61*1000000),0,(V61/T61*1000000))</f>
        <v>0</v>
      </c>
      <c r="V61" s="457">
        <f t="shared" ref="V61:AB61" si="95">SUM(V56:V60)</f>
        <v>0</v>
      </c>
      <c r="W61" s="511">
        <f t="shared" si="95"/>
        <v>0</v>
      </c>
      <c r="X61" s="457">
        <f t="shared" si="95"/>
        <v>0</v>
      </c>
      <c r="Y61" s="457">
        <f t="shared" si="95"/>
        <v>0</v>
      </c>
      <c r="Z61" s="457">
        <f t="shared" si="95"/>
        <v>0</v>
      </c>
      <c r="AA61" s="511">
        <f t="shared" ref="AA61" si="96">SUM(AA56:AA60)</f>
        <v>0</v>
      </c>
      <c r="AB61" s="457">
        <f t="shared" si="95"/>
        <v>0</v>
      </c>
      <c r="AC61" s="457">
        <f t="shared" ref="AC61:AE61" si="97">SUM(AC56:AC60)</f>
        <v>0</v>
      </c>
      <c r="AD61" s="457">
        <f t="shared" si="97"/>
        <v>0</v>
      </c>
      <c r="AE61" s="511">
        <f t="shared" si="97"/>
        <v>0</v>
      </c>
      <c r="AF61" s="457">
        <f>SUM(AF56:AF60)</f>
        <v>0</v>
      </c>
      <c r="AG61" s="457">
        <f t="shared" ref="AG61:AI61" si="98">SUM(AG56:AG60)</f>
        <v>0</v>
      </c>
      <c r="AH61" s="457">
        <f t="shared" si="98"/>
        <v>0</v>
      </c>
      <c r="AI61" s="511">
        <f t="shared" si="98"/>
        <v>0</v>
      </c>
      <c r="AJ61" s="457">
        <f>SUM(AJ56:AJ60)</f>
        <v>0</v>
      </c>
      <c r="AK61" s="457">
        <f t="shared" ref="AK61:AM61" si="99">SUM(AK56:AK60)</f>
        <v>0</v>
      </c>
      <c r="AL61" s="457">
        <f t="shared" si="99"/>
        <v>0</v>
      </c>
      <c r="AM61" s="511">
        <f t="shared" si="99"/>
        <v>0</v>
      </c>
      <c r="AN61" s="457">
        <f>SUM(AN56:AN60)</f>
        <v>0</v>
      </c>
      <c r="AO61" s="457">
        <f t="shared" ref="AO61:AQ61" si="100">SUM(AO56:AO60)</f>
        <v>79</v>
      </c>
      <c r="AP61" s="457">
        <f t="shared" si="100"/>
        <v>737</v>
      </c>
      <c r="AQ61" s="511">
        <f t="shared" si="100"/>
        <v>0.39597462300000003</v>
      </c>
      <c r="AR61" s="457">
        <f>SUM(AR56:AR60)</f>
        <v>0</v>
      </c>
      <c r="AS61" s="457">
        <f t="shared" ref="AS61:AU61" si="101">SUM(AS56:AS60)</f>
        <v>0</v>
      </c>
      <c r="AT61" s="457">
        <f t="shared" si="101"/>
        <v>0</v>
      </c>
      <c r="AU61" s="511">
        <f t="shared" si="101"/>
        <v>0</v>
      </c>
      <c r="AV61" s="457">
        <f>SUM(AV56:AV60)</f>
        <v>0</v>
      </c>
      <c r="AW61" s="457">
        <f t="shared" ref="AW61:AY61" si="102">SUM(AW56:AW60)</f>
        <v>0</v>
      </c>
      <c r="AX61" s="457">
        <f t="shared" si="102"/>
        <v>0</v>
      </c>
      <c r="AY61" s="511">
        <f t="shared" si="102"/>
        <v>0</v>
      </c>
      <c r="AZ61" s="457">
        <f t="shared" ref="AZ61:BN61" si="103">SUM(AZ56:AZ60)</f>
        <v>0</v>
      </c>
      <c r="BA61" s="457">
        <f t="shared" si="103"/>
        <v>0</v>
      </c>
      <c r="BB61" s="457">
        <f t="shared" si="103"/>
        <v>0</v>
      </c>
      <c r="BC61" s="457">
        <f t="shared" si="103"/>
        <v>0</v>
      </c>
      <c r="BD61" s="457">
        <f t="shared" si="103"/>
        <v>0</v>
      </c>
      <c r="BE61" s="457">
        <f t="shared" si="103"/>
        <v>0</v>
      </c>
      <c r="BF61" s="457">
        <f t="shared" si="103"/>
        <v>0</v>
      </c>
      <c r="BG61" s="457">
        <f t="shared" si="103"/>
        <v>0</v>
      </c>
      <c r="BH61" s="457">
        <f t="shared" si="103"/>
        <v>0</v>
      </c>
      <c r="BI61" s="457">
        <f t="shared" si="103"/>
        <v>0</v>
      </c>
      <c r="BJ61" s="457">
        <f t="shared" si="103"/>
        <v>79</v>
      </c>
      <c r="BK61" s="457">
        <f t="shared" si="103"/>
        <v>0.39597462300000003</v>
      </c>
      <c r="BL61" s="457">
        <f t="shared" si="103"/>
        <v>0</v>
      </c>
      <c r="BM61" s="457">
        <f t="shared" si="103"/>
        <v>79</v>
      </c>
      <c r="BN61" s="457">
        <f t="shared" si="103"/>
        <v>0.39597462300000003</v>
      </c>
      <c r="BO61" s="525">
        <f>IFERROR(BM61/BL61,0)</f>
        <v>0</v>
      </c>
      <c r="BP61" s="472"/>
      <c r="BQ61" s="457">
        <f t="shared" ref="BQ61:BR61" si="104">SUM(BQ56:BQ60)</f>
        <v>0</v>
      </c>
      <c r="BR61" s="457" t="e">
        <f t="shared" si="104"/>
        <v>#REF!</v>
      </c>
      <c r="BS61" s="467">
        <f t="shared" si="34"/>
        <v>0</v>
      </c>
      <c r="BT61" s="511">
        <f t="shared" ref="BT61" si="105">SUM(BT56:BT60)</f>
        <v>0</v>
      </c>
      <c r="BU61" s="525">
        <f t="shared" si="63"/>
        <v>0</v>
      </c>
    </row>
    <row r="62" spans="1:73" ht="12.6" customHeight="1">
      <c r="A62" s="254"/>
      <c r="B62" s="254"/>
      <c r="C62" s="461"/>
      <c r="D62" s="254"/>
      <c r="E62" s="254"/>
      <c r="F62" s="254"/>
      <c r="G62" s="513"/>
      <c r="H62" s="254"/>
      <c r="I62" s="254"/>
      <c r="J62" s="254"/>
      <c r="K62" s="513"/>
      <c r="L62" s="254"/>
      <c r="M62" s="254"/>
      <c r="N62" s="254"/>
      <c r="O62" s="513"/>
      <c r="P62" s="254"/>
      <c r="Q62" s="254"/>
      <c r="R62" s="254"/>
      <c r="S62" s="513"/>
      <c r="T62" s="254"/>
      <c r="U62" s="254"/>
      <c r="V62" s="254"/>
      <c r="W62" s="513"/>
      <c r="X62" s="254"/>
      <c r="Y62" s="254"/>
      <c r="Z62" s="254"/>
      <c r="AA62" s="513"/>
      <c r="AB62" s="254"/>
      <c r="AC62" s="254"/>
      <c r="AD62" s="254"/>
      <c r="AE62" s="513"/>
      <c r="AF62" s="254"/>
      <c r="AG62" s="254"/>
      <c r="AH62" s="254"/>
      <c r="AI62" s="513"/>
      <c r="AJ62" s="254"/>
      <c r="AK62" s="254"/>
      <c r="AL62" s="254"/>
      <c r="AM62" s="513"/>
      <c r="AN62" s="254"/>
      <c r="AO62" s="254"/>
      <c r="AP62" s="254"/>
      <c r="AQ62" s="513"/>
      <c r="AR62" s="254"/>
      <c r="AS62" s="254"/>
      <c r="AT62" s="254"/>
      <c r="AU62" s="513"/>
      <c r="AV62" s="254"/>
      <c r="AW62" s="254"/>
      <c r="AX62" s="254"/>
      <c r="AY62" s="513"/>
      <c r="AZ62" s="462"/>
      <c r="BA62" s="463"/>
      <c r="BB62" s="513"/>
      <c r="BC62" s="462"/>
      <c r="BD62" s="463"/>
      <c r="BE62" s="463"/>
      <c r="BF62" s="463"/>
      <c r="BG62" s="462"/>
      <c r="BH62" s="463"/>
      <c r="BI62" s="462"/>
      <c r="BJ62" s="462"/>
      <c r="BK62" s="463"/>
      <c r="BL62" s="462"/>
      <c r="BM62" s="462"/>
      <c r="BN62" s="463"/>
      <c r="BO62" s="469">
        <f t="shared" si="36"/>
        <v>0</v>
      </c>
      <c r="BP62" s="472"/>
      <c r="BQ62" s="462"/>
      <c r="BR62" s="462"/>
      <c r="BS62" s="469">
        <f t="shared" si="34"/>
        <v>0</v>
      </c>
      <c r="BT62" s="529"/>
      <c r="BU62" s="469">
        <f t="shared" si="63"/>
        <v>0</v>
      </c>
    </row>
    <row r="63" spans="1:73" ht="12.6" customHeight="1">
      <c r="A63" s="254" t="s">
        <v>60</v>
      </c>
      <c r="B63" s="129">
        <f>D63+H63+L63+P63+T63+X63+AB63+AF63+AJ63+AN63+AR63+AV63</f>
        <v>0</v>
      </c>
      <c r="C63" s="257">
        <v>0</v>
      </c>
      <c r="D63" s="129"/>
      <c r="E63" s="129"/>
      <c r="F63" s="129"/>
      <c r="G63" s="509"/>
      <c r="H63" s="129"/>
      <c r="I63" s="129"/>
      <c r="J63" s="129"/>
      <c r="K63" s="509"/>
      <c r="L63" s="129"/>
      <c r="M63" s="129"/>
      <c r="N63" s="129"/>
      <c r="O63" s="509"/>
      <c r="P63" s="129"/>
      <c r="Q63" s="129"/>
      <c r="R63" s="129"/>
      <c r="S63" s="509">
        <f t="shared" ref="S63:S64" si="106">Q63*(R63-C63)*67.2/10^7</f>
        <v>0</v>
      </c>
      <c r="T63" s="129"/>
      <c r="U63" s="129"/>
      <c r="V63" s="129">
        <f>(T63*U63)/10^6</f>
        <v>0</v>
      </c>
      <c r="W63" s="509">
        <f t="shared" ref="W63:W64" si="107">U63*(V63-C63)*66.93/10^7</f>
        <v>0</v>
      </c>
      <c r="X63" s="129"/>
      <c r="Y63" s="129"/>
      <c r="Z63" s="129"/>
      <c r="AA63" s="509">
        <f t="shared" ref="AA63:AA64" si="108">Y63*(Z63-C63)*66.69/10^7</f>
        <v>0</v>
      </c>
      <c r="AB63" s="129"/>
      <c r="AC63" s="129"/>
      <c r="AD63" s="129"/>
      <c r="AE63" s="509">
        <f>AC63*(AD63-G63)*66.73/10^7</f>
        <v>0</v>
      </c>
      <c r="AF63" s="129"/>
      <c r="AG63" s="129"/>
      <c r="AH63" s="129"/>
      <c r="AI63" s="509">
        <f>AG63*(AH63-K63)*67.58/10^7</f>
        <v>0</v>
      </c>
      <c r="AJ63" s="129"/>
      <c r="AK63" s="129"/>
      <c r="AL63" s="129"/>
      <c r="AM63" s="509">
        <f>AK63*(AL63-O63)*67.91/10^7</f>
        <v>0</v>
      </c>
      <c r="AN63" s="129"/>
      <c r="AO63" s="129"/>
      <c r="AP63" s="129"/>
      <c r="AQ63" s="509">
        <f>AO63*(AP63-S63)*68.01/10^7</f>
        <v>0</v>
      </c>
      <c r="AR63" s="129"/>
      <c r="AS63" s="129"/>
      <c r="AT63" s="129"/>
      <c r="AU63" s="509">
        <f>AS63*(AT63-W63)*67.01/10^7</f>
        <v>0</v>
      </c>
      <c r="AV63" s="129"/>
      <c r="AW63" s="129"/>
      <c r="AX63" s="129"/>
      <c r="AY63" s="509">
        <f t="shared" ref="AY63:AY64" si="109">AW63*(AX63-AA63)*66.69/10^7</f>
        <v>0</v>
      </c>
      <c r="AZ63" s="23">
        <f t="shared" ref="AZ63:BA64" si="110">+D63+H63+L63</f>
        <v>0</v>
      </c>
      <c r="BA63" s="23">
        <f t="shared" si="110"/>
        <v>0</v>
      </c>
      <c r="BB63" s="509">
        <f t="shared" ref="BB63:BB64" si="111">+G63+K63+O63</f>
        <v>0</v>
      </c>
      <c r="BC63" s="23">
        <f t="shared" ref="BC63:BD64" si="112">+P63+T63+X63</f>
        <v>0</v>
      </c>
      <c r="BD63" s="257">
        <f t="shared" si="112"/>
        <v>0</v>
      </c>
      <c r="BE63" s="257">
        <f t="shared" ref="BE63:BE64" si="113">S63+W63+AA63</f>
        <v>0</v>
      </c>
      <c r="BF63" s="257">
        <f t="shared" ref="BF63:BG64" si="114">AB63+AF63+AJ63</f>
        <v>0</v>
      </c>
      <c r="BG63" s="23">
        <f t="shared" si="114"/>
        <v>0</v>
      </c>
      <c r="BH63" s="257">
        <f t="shared" ref="BH63:BH64" si="115">AE63+AI63+AM63</f>
        <v>0</v>
      </c>
      <c r="BI63" s="23">
        <f t="shared" ref="BI63:BJ64" si="116">+AN63+AR63+AV63</f>
        <v>0</v>
      </c>
      <c r="BJ63" s="23">
        <f t="shared" si="116"/>
        <v>0</v>
      </c>
      <c r="BK63" s="257">
        <f t="shared" ref="BK63:BK64" si="117">AQ63+AU63+AY63</f>
        <v>0</v>
      </c>
      <c r="BL63" s="23">
        <f t="shared" ref="BL63:BN64" si="118">AZ63+BC63+BF63+BI63</f>
        <v>0</v>
      </c>
      <c r="BM63" s="23">
        <f t="shared" si="118"/>
        <v>0</v>
      </c>
      <c r="BN63" s="257">
        <f t="shared" si="118"/>
        <v>0</v>
      </c>
      <c r="BO63" s="466">
        <f t="shared" ref="BO63:BO64" si="119">IFERROR(BM63/BL63,0)</f>
        <v>0</v>
      </c>
      <c r="BP63" s="472"/>
      <c r="BQ63" s="23">
        <f>D63+H63+L63+P63+T63+X63+AB63</f>
        <v>0</v>
      </c>
      <c r="BR63" s="23" t="e">
        <f>E63+I63+M63+Q63+U63+Y63+#REF!</f>
        <v>#REF!</v>
      </c>
      <c r="BS63" s="466">
        <f t="shared" si="34"/>
        <v>0</v>
      </c>
      <c r="BT63" s="509">
        <f>G63+K63+O63+S63+W63+AA63</f>
        <v>0</v>
      </c>
      <c r="BU63" s="466">
        <f t="shared" si="63"/>
        <v>0</v>
      </c>
    </row>
    <row r="64" spans="1:73" ht="12.6" customHeight="1">
      <c r="A64" s="254" t="s">
        <v>61</v>
      </c>
      <c r="B64" s="129">
        <f>D64+H64+L64+P64+T64+X64+AB64+AF64+AJ64+AN64+AR64+AV64</f>
        <v>0</v>
      </c>
      <c r="C64" s="257">
        <v>0</v>
      </c>
      <c r="D64" s="129"/>
      <c r="E64" s="129"/>
      <c r="F64" s="129"/>
      <c r="G64" s="509"/>
      <c r="H64" s="129"/>
      <c r="I64" s="129"/>
      <c r="J64" s="129"/>
      <c r="K64" s="509"/>
      <c r="L64" s="129"/>
      <c r="M64" s="129"/>
      <c r="N64" s="129"/>
      <c r="O64" s="509"/>
      <c r="P64" s="129"/>
      <c r="Q64" s="129"/>
      <c r="R64" s="129"/>
      <c r="S64" s="509">
        <f t="shared" si="106"/>
        <v>0</v>
      </c>
      <c r="T64" s="129"/>
      <c r="U64" s="129"/>
      <c r="V64" s="129">
        <f>(T64*U64)/10^6</f>
        <v>0</v>
      </c>
      <c r="W64" s="509">
        <f t="shared" si="107"/>
        <v>0</v>
      </c>
      <c r="X64" s="129"/>
      <c r="Y64" s="129"/>
      <c r="Z64" s="129"/>
      <c r="AA64" s="509">
        <f t="shared" si="108"/>
        <v>0</v>
      </c>
      <c r="AB64" s="129"/>
      <c r="AC64" s="129"/>
      <c r="AD64" s="129"/>
      <c r="AE64" s="509">
        <f>AC64*(AD64-G64)*66.73/10^7</f>
        <v>0</v>
      </c>
      <c r="AF64" s="129"/>
      <c r="AG64" s="129"/>
      <c r="AH64" s="129"/>
      <c r="AI64" s="509">
        <f>AG64*(AH64-K64)*67.58/10^7</f>
        <v>0</v>
      </c>
      <c r="AJ64" s="129"/>
      <c r="AK64" s="129"/>
      <c r="AL64" s="129"/>
      <c r="AM64" s="509">
        <f>AK64*(AL64-O64)*67.91/10^7</f>
        <v>0</v>
      </c>
      <c r="AN64" s="129"/>
      <c r="AO64" s="129"/>
      <c r="AP64" s="129"/>
      <c r="AQ64" s="509">
        <f>AO64*(AP64-S64)*68.01/10^7</f>
        <v>0</v>
      </c>
      <c r="AR64" s="129"/>
      <c r="AS64" s="129"/>
      <c r="AT64" s="129"/>
      <c r="AU64" s="509">
        <f>AS64*(AT64-W64)*67.01/10^7</f>
        <v>0</v>
      </c>
      <c r="AV64" s="129"/>
      <c r="AW64" s="129"/>
      <c r="AX64" s="129"/>
      <c r="AY64" s="509">
        <f t="shared" si="109"/>
        <v>0</v>
      </c>
      <c r="AZ64" s="23">
        <f t="shared" si="110"/>
        <v>0</v>
      </c>
      <c r="BA64" s="23">
        <f t="shared" si="110"/>
        <v>0</v>
      </c>
      <c r="BB64" s="509">
        <f t="shared" si="111"/>
        <v>0</v>
      </c>
      <c r="BC64" s="23">
        <f t="shared" si="112"/>
        <v>0</v>
      </c>
      <c r="BD64" s="257">
        <f t="shared" si="112"/>
        <v>0</v>
      </c>
      <c r="BE64" s="257">
        <f t="shared" si="113"/>
        <v>0</v>
      </c>
      <c r="BF64" s="257">
        <f t="shared" si="114"/>
        <v>0</v>
      </c>
      <c r="BG64" s="23">
        <f t="shared" si="114"/>
        <v>0</v>
      </c>
      <c r="BH64" s="257">
        <f t="shared" si="115"/>
        <v>0</v>
      </c>
      <c r="BI64" s="23">
        <f t="shared" si="116"/>
        <v>0</v>
      </c>
      <c r="BJ64" s="23">
        <f t="shared" si="116"/>
        <v>0</v>
      </c>
      <c r="BK64" s="257">
        <f t="shared" si="117"/>
        <v>0</v>
      </c>
      <c r="BL64" s="23">
        <f t="shared" si="118"/>
        <v>0</v>
      </c>
      <c r="BM64" s="23">
        <f t="shared" si="118"/>
        <v>0</v>
      </c>
      <c r="BN64" s="257">
        <f t="shared" si="118"/>
        <v>0</v>
      </c>
      <c r="BO64" s="466">
        <f t="shared" si="119"/>
        <v>0</v>
      </c>
      <c r="BP64" s="472"/>
      <c r="BQ64" s="23">
        <f>D64+H64+L64+P64+T64+X64+AB64</f>
        <v>0</v>
      </c>
      <c r="BR64" s="23" t="e">
        <f>E64+I64+M64+Q64+U64+Y64+#REF!</f>
        <v>#REF!</v>
      </c>
      <c r="BS64" s="466">
        <f t="shared" si="34"/>
        <v>0</v>
      </c>
      <c r="BT64" s="509">
        <f>G64+K64+O64+S64+W64+AA64</f>
        <v>0</v>
      </c>
      <c r="BU64" s="466">
        <f t="shared" si="63"/>
        <v>0</v>
      </c>
    </row>
    <row r="65" spans="1:73" ht="12.6" customHeight="1">
      <c r="A65" s="482" t="s">
        <v>104</v>
      </c>
      <c r="B65" s="457">
        <f>SUM(B63:B64)</f>
        <v>0</v>
      </c>
      <c r="C65" s="458"/>
      <c r="D65" s="457">
        <f>SUM(D63:D64)</f>
        <v>0</v>
      </c>
      <c r="E65" s="457">
        <f>SUM(E63:E64)</f>
        <v>0</v>
      </c>
      <c r="F65" s="457"/>
      <c r="G65" s="511">
        <f>SUM(G63:G64)</f>
        <v>0</v>
      </c>
      <c r="H65" s="457">
        <f>SUM(H63:H64)</f>
        <v>0</v>
      </c>
      <c r="I65" s="457">
        <f>SUM(I63:I64)</f>
        <v>0</v>
      </c>
      <c r="J65" s="457"/>
      <c r="K65" s="511">
        <f>SUM(K63:K64)</f>
        <v>0</v>
      </c>
      <c r="L65" s="457">
        <f>SUM(L63:L64)</f>
        <v>0</v>
      </c>
      <c r="M65" s="457">
        <f>SUM(M63:M64)</f>
        <v>0</v>
      </c>
      <c r="N65" s="457"/>
      <c r="O65" s="511">
        <f>SUM(O63:O64)</f>
        <v>0</v>
      </c>
      <c r="P65" s="457">
        <f>SUM(P63:P64)</f>
        <v>0</v>
      </c>
      <c r="Q65" s="457">
        <f>SUM(Q63:Q64)</f>
        <v>0</v>
      </c>
      <c r="R65" s="457"/>
      <c r="S65" s="511">
        <f>SUM(S63:S64)</f>
        <v>0</v>
      </c>
      <c r="T65" s="457">
        <f>SUM(T63:T64)</f>
        <v>0</v>
      </c>
      <c r="U65" s="457">
        <f>IF(ISERROR(V65/T65*1000000),0,(V65/T65*1000000))</f>
        <v>0</v>
      </c>
      <c r="V65" s="457">
        <f t="shared" ref="V65:AB65" si="120">SUM(V63:V64)</f>
        <v>0</v>
      </c>
      <c r="W65" s="511">
        <f t="shared" si="120"/>
        <v>0</v>
      </c>
      <c r="X65" s="457">
        <f t="shared" si="120"/>
        <v>0</v>
      </c>
      <c r="Y65" s="457">
        <f t="shared" si="120"/>
        <v>0</v>
      </c>
      <c r="Z65" s="457">
        <f t="shared" si="120"/>
        <v>0</v>
      </c>
      <c r="AA65" s="511">
        <f t="shared" ref="AA65" si="121">SUM(AA63:AA64)</f>
        <v>0</v>
      </c>
      <c r="AB65" s="457">
        <f t="shared" si="120"/>
        <v>0</v>
      </c>
      <c r="AC65" s="457">
        <f t="shared" ref="AC65:AE65" si="122">SUM(AC63:AC64)</f>
        <v>0</v>
      </c>
      <c r="AD65" s="457">
        <f t="shared" si="122"/>
        <v>0</v>
      </c>
      <c r="AE65" s="511">
        <f t="shared" si="122"/>
        <v>0</v>
      </c>
      <c r="AF65" s="457">
        <f>SUM(AF63:AF64)</f>
        <v>0</v>
      </c>
      <c r="AG65" s="457">
        <f t="shared" ref="AG65:AI65" si="123">SUM(AG63:AG64)</f>
        <v>0</v>
      </c>
      <c r="AH65" s="457">
        <f t="shared" si="123"/>
        <v>0</v>
      </c>
      <c r="AI65" s="511">
        <f t="shared" si="123"/>
        <v>0</v>
      </c>
      <c r="AJ65" s="457">
        <f>SUM(AJ63:AJ64)</f>
        <v>0</v>
      </c>
      <c r="AK65" s="457">
        <f t="shared" ref="AK65:AM65" si="124">SUM(AK63:AK64)</f>
        <v>0</v>
      </c>
      <c r="AL65" s="457">
        <f t="shared" si="124"/>
        <v>0</v>
      </c>
      <c r="AM65" s="511">
        <f t="shared" si="124"/>
        <v>0</v>
      </c>
      <c r="AN65" s="457">
        <f>SUM(AN63:AN64)</f>
        <v>0</v>
      </c>
      <c r="AO65" s="457">
        <f t="shared" ref="AO65:AQ65" si="125">SUM(AO63:AO64)</f>
        <v>0</v>
      </c>
      <c r="AP65" s="457">
        <f t="shared" si="125"/>
        <v>0</v>
      </c>
      <c r="AQ65" s="511">
        <f t="shared" si="125"/>
        <v>0</v>
      </c>
      <c r="AR65" s="457">
        <f>SUM(AR63:AR64)</f>
        <v>0</v>
      </c>
      <c r="AS65" s="457">
        <f t="shared" ref="AS65:AU65" si="126">SUM(AS63:AS64)</f>
        <v>0</v>
      </c>
      <c r="AT65" s="457">
        <f t="shared" si="126"/>
        <v>0</v>
      </c>
      <c r="AU65" s="511">
        <f t="shared" si="126"/>
        <v>0</v>
      </c>
      <c r="AV65" s="457">
        <f>SUM(AV63:AV64)</f>
        <v>0</v>
      </c>
      <c r="AW65" s="457">
        <f t="shared" ref="AW65:AY65" si="127">SUM(AW63:AW64)</f>
        <v>0</v>
      </c>
      <c r="AX65" s="457">
        <f t="shared" si="127"/>
        <v>0</v>
      </c>
      <c r="AY65" s="511">
        <f t="shared" si="127"/>
        <v>0</v>
      </c>
      <c r="AZ65" s="457">
        <f t="shared" ref="AZ65:BN65" si="128">SUM(AZ63:AZ64)</f>
        <v>0</v>
      </c>
      <c r="BA65" s="458">
        <f t="shared" si="128"/>
        <v>0</v>
      </c>
      <c r="BB65" s="511">
        <f t="shared" si="128"/>
        <v>0</v>
      </c>
      <c r="BC65" s="457">
        <f t="shared" si="128"/>
        <v>0</v>
      </c>
      <c r="BD65" s="458">
        <f t="shared" si="128"/>
        <v>0</v>
      </c>
      <c r="BE65" s="457">
        <f t="shared" si="128"/>
        <v>0</v>
      </c>
      <c r="BF65" s="457">
        <f t="shared" si="128"/>
        <v>0</v>
      </c>
      <c r="BG65" s="457">
        <f t="shared" si="128"/>
        <v>0</v>
      </c>
      <c r="BH65" s="457">
        <f t="shared" si="128"/>
        <v>0</v>
      </c>
      <c r="BI65" s="457">
        <f t="shared" si="128"/>
        <v>0</v>
      </c>
      <c r="BJ65" s="457">
        <f t="shared" si="128"/>
        <v>0</v>
      </c>
      <c r="BK65" s="457">
        <f t="shared" si="128"/>
        <v>0</v>
      </c>
      <c r="BL65" s="457">
        <f t="shared" si="128"/>
        <v>0</v>
      </c>
      <c r="BM65" s="457">
        <f t="shared" si="128"/>
        <v>0</v>
      </c>
      <c r="BN65" s="457">
        <f t="shared" si="128"/>
        <v>0</v>
      </c>
      <c r="BO65" s="525">
        <f>IFERROR(BM65/BL65,0)</f>
        <v>0</v>
      </c>
      <c r="BP65" s="472"/>
      <c r="BQ65" s="457">
        <f t="shared" ref="BQ65:BR65" si="129">SUM(BQ63:BQ64)</f>
        <v>0</v>
      </c>
      <c r="BR65" s="457" t="e">
        <f t="shared" si="129"/>
        <v>#REF!</v>
      </c>
      <c r="BS65" s="467">
        <f t="shared" si="34"/>
        <v>0</v>
      </c>
      <c r="BT65" s="530">
        <f t="shared" ref="BT65" si="130">SUM(BT63:BT64)</f>
        <v>0</v>
      </c>
      <c r="BU65" s="525">
        <f t="shared" si="63"/>
        <v>0</v>
      </c>
    </row>
    <row r="66" spans="1:73" ht="12.6" customHeight="1">
      <c r="A66" s="254"/>
      <c r="B66" s="254"/>
      <c r="C66" s="461"/>
      <c r="D66" s="254"/>
      <c r="E66" s="254"/>
      <c r="F66" s="254"/>
      <c r="G66" s="513"/>
      <c r="H66" s="254"/>
      <c r="I66" s="254"/>
      <c r="J66" s="254"/>
      <c r="K66" s="513"/>
      <c r="L66" s="254"/>
      <c r="M66" s="254"/>
      <c r="N66" s="254"/>
      <c r="O66" s="513"/>
      <c r="P66" s="254"/>
      <c r="Q66" s="254"/>
      <c r="R66" s="254"/>
      <c r="S66" s="513"/>
      <c r="T66" s="254"/>
      <c r="U66" s="254"/>
      <c r="V66" s="254"/>
      <c r="W66" s="513"/>
      <c r="X66" s="254"/>
      <c r="Y66" s="254"/>
      <c r="Z66" s="254"/>
      <c r="AA66" s="513"/>
      <c r="AB66" s="254"/>
      <c r="AC66" s="254"/>
      <c r="AD66" s="254"/>
      <c r="AE66" s="513"/>
      <c r="AF66" s="254"/>
      <c r="AG66" s="254"/>
      <c r="AH66" s="254"/>
      <c r="AI66" s="513"/>
      <c r="AJ66" s="254"/>
      <c r="AK66" s="254"/>
      <c r="AL66" s="254"/>
      <c r="AM66" s="513"/>
      <c r="AN66" s="254"/>
      <c r="AO66" s="254"/>
      <c r="AP66" s="254"/>
      <c r="AQ66" s="513"/>
      <c r="AR66" s="254"/>
      <c r="AS66" s="254"/>
      <c r="AT66" s="254"/>
      <c r="AU66" s="513"/>
      <c r="AV66" s="254"/>
      <c r="AW66" s="254"/>
      <c r="AX66" s="254"/>
      <c r="AY66" s="513"/>
      <c r="AZ66" s="462"/>
      <c r="BA66" s="463"/>
      <c r="BB66" s="513"/>
      <c r="BC66" s="462"/>
      <c r="BD66" s="463"/>
      <c r="BE66" s="463"/>
      <c r="BF66" s="463"/>
      <c r="BG66" s="462"/>
      <c r="BH66" s="463"/>
      <c r="BI66" s="462"/>
      <c r="BJ66" s="462"/>
      <c r="BK66" s="463"/>
      <c r="BL66" s="462"/>
      <c r="BM66" s="462"/>
      <c r="BN66" s="463"/>
      <c r="BO66" s="469">
        <f t="shared" si="36"/>
        <v>0</v>
      </c>
      <c r="BP66" s="472"/>
      <c r="BQ66" s="462"/>
      <c r="BR66" s="462"/>
      <c r="BS66" s="469">
        <f t="shared" si="34"/>
        <v>0</v>
      </c>
      <c r="BT66" s="531"/>
      <c r="BU66" s="469">
        <f t="shared" si="63"/>
        <v>0</v>
      </c>
    </row>
    <row r="67" spans="1:73" ht="12.6" hidden="1" customHeight="1">
      <c r="A67" s="482" t="s">
        <v>82</v>
      </c>
      <c r="B67" s="457">
        <f>B24+B54+B61</f>
        <v>16375</v>
      </c>
      <c r="C67" s="458"/>
      <c r="D67" s="457">
        <f>D24+D54+D61+D65</f>
        <v>360</v>
      </c>
      <c r="E67" s="457">
        <f>E24+E54+E61+E65</f>
        <v>341</v>
      </c>
      <c r="F67" s="457"/>
      <c r="G67" s="511">
        <f>G24+G54+G61+G65</f>
        <v>2.1197748290000002</v>
      </c>
      <c r="H67" s="457">
        <f>H24+H54+H61+H65</f>
        <v>1595</v>
      </c>
      <c r="I67" s="457">
        <f>I24+I54+I61+I65</f>
        <v>1326</v>
      </c>
      <c r="J67" s="457"/>
      <c r="K67" s="511">
        <f>K24+K54+K61+K65</f>
        <v>4.3154467638999989</v>
      </c>
      <c r="L67" s="457">
        <f>L24+L54+L61+L65</f>
        <v>1011</v>
      </c>
      <c r="M67" s="457">
        <f>M24+M54+M61+M65</f>
        <v>365</v>
      </c>
      <c r="N67" s="457"/>
      <c r="O67" s="511">
        <f>O24+O54+O61+O65</f>
        <v>1.8673434245714287</v>
      </c>
      <c r="P67" s="457">
        <f>P24+P54+P61+P65</f>
        <v>2033</v>
      </c>
      <c r="Q67" s="457">
        <f>Q24+Q54+Q61+Q65</f>
        <v>349</v>
      </c>
      <c r="R67" s="457"/>
      <c r="S67" s="511">
        <f t="shared" ref="S67:Y67" si="131">S24+S54+S61+S65</f>
        <v>1.7490883200000003</v>
      </c>
      <c r="T67" s="457">
        <f t="shared" si="131"/>
        <v>1000</v>
      </c>
      <c r="U67" s="457">
        <f t="shared" si="131"/>
        <v>1417</v>
      </c>
      <c r="V67" s="457">
        <f t="shared" si="131"/>
        <v>828</v>
      </c>
      <c r="W67" s="511">
        <f t="shared" si="131"/>
        <v>9.0497525460000006</v>
      </c>
      <c r="X67" s="457">
        <f t="shared" si="131"/>
        <v>2123</v>
      </c>
      <c r="Y67" s="457">
        <f t="shared" si="131"/>
        <v>552</v>
      </c>
      <c r="Z67" s="457">
        <f>Z24+Z54+Z61+Z65</f>
        <v>0</v>
      </c>
      <c r="AA67" s="511">
        <f t="shared" ref="AA67" si="132">AA24+AA54+AA61+AA65</f>
        <v>4.1133418326000006</v>
      </c>
      <c r="AB67" s="457">
        <f>AB24+AB54+AB61+AB65</f>
        <v>973</v>
      </c>
      <c r="AC67" s="457">
        <f t="shared" ref="AC67" si="133">AC24+AC54+AC61+AC65</f>
        <v>304</v>
      </c>
      <c r="AD67" s="457">
        <f>AD24+AD54+AD61+AD65</f>
        <v>0</v>
      </c>
      <c r="AE67" s="511">
        <f t="shared" ref="AE67" si="134">AE24+AE54+AE61+AE65</f>
        <v>1.8974733241985251</v>
      </c>
      <c r="AF67" s="457">
        <f>AF24+AF54+AF61+AF65</f>
        <v>2028</v>
      </c>
      <c r="AG67" s="457">
        <f t="shared" ref="AG67" si="135">AG24+AG54+AG61+AG65</f>
        <v>314</v>
      </c>
      <c r="AH67" s="457">
        <f>AH24+AH54+AH61+AH65</f>
        <v>4238</v>
      </c>
      <c r="AI67" s="511">
        <f t="shared" ref="AI67" si="136">AI24+AI54+AI61+AI65</f>
        <v>1.4603838119676675</v>
      </c>
      <c r="AJ67" s="457">
        <f>AJ24+AJ54+AJ61+AJ65</f>
        <v>1108</v>
      </c>
      <c r="AK67" s="457">
        <f t="shared" ref="AK67" si="137">AK24+AK54+AK61+AK65</f>
        <v>310</v>
      </c>
      <c r="AL67" s="457">
        <f>AL24+AL54+AL61+AL65</f>
        <v>0</v>
      </c>
      <c r="AM67" s="511">
        <f t="shared" ref="AM67" si="138">AM24+AM54+AM61+AM65</f>
        <v>2.2091088856079808</v>
      </c>
      <c r="AN67" s="457">
        <f>AN24+AN54+AN61+AN65</f>
        <v>1088</v>
      </c>
      <c r="AO67" s="457">
        <f t="shared" ref="AO67" si="139">AO24+AO54+AO61+AO65</f>
        <v>931</v>
      </c>
      <c r="AP67" s="457">
        <f>AP24+AP54+AP61+AP65</f>
        <v>737</v>
      </c>
      <c r="AQ67" s="511">
        <f t="shared" ref="AQ67" si="140">AQ24+AQ54+AQ61+AQ65</f>
        <v>7.3454588735361401</v>
      </c>
      <c r="AR67" s="457">
        <f>AR24+AR54+AR61+AR65</f>
        <v>2033</v>
      </c>
      <c r="AS67" s="457">
        <f t="shared" ref="AS67" si="141">AS24+AS54+AS61+AS65</f>
        <v>602</v>
      </c>
      <c r="AT67" s="457">
        <f>AT24+AT54+AT61+AT65</f>
        <v>5139</v>
      </c>
      <c r="AU67" s="511">
        <f t="shared" ref="AU67" si="142">AU24+AU54+AU61+AU65</f>
        <v>1.8673113154756766</v>
      </c>
      <c r="AV67" s="457">
        <f>AV24+AV54+AV61+AV65</f>
        <v>1023</v>
      </c>
      <c r="AW67" s="457">
        <f t="shared" ref="AW67" si="143">AW24+AW54+AW61+AW65</f>
        <v>0</v>
      </c>
      <c r="AX67" s="457">
        <f>AX24+AX54+AX61+AX65</f>
        <v>0</v>
      </c>
      <c r="AY67" s="511">
        <f t="shared" ref="AY67:BK67" si="144">AY24+AY54+AY61+AY65</f>
        <v>0</v>
      </c>
      <c r="AZ67" s="458">
        <f t="shared" si="144"/>
        <v>2966</v>
      </c>
      <c r="BA67" s="458">
        <f t="shared" si="144"/>
        <v>2032</v>
      </c>
      <c r="BB67" s="511">
        <f t="shared" si="144"/>
        <v>8.3025650174714265</v>
      </c>
      <c r="BC67" s="457">
        <f t="shared" si="144"/>
        <v>5156</v>
      </c>
      <c r="BD67" s="458">
        <f t="shared" si="144"/>
        <v>2318</v>
      </c>
      <c r="BE67" s="458"/>
      <c r="BF67" s="458"/>
      <c r="BG67" s="457">
        <f t="shared" si="144"/>
        <v>928</v>
      </c>
      <c r="BH67" s="458">
        <f t="shared" si="144"/>
        <v>5.5669660217741752</v>
      </c>
      <c r="BI67" s="457">
        <f t="shared" si="144"/>
        <v>4144</v>
      </c>
      <c r="BJ67" s="457"/>
      <c r="BK67" s="458">
        <f t="shared" si="144"/>
        <v>9.212770189011815</v>
      </c>
      <c r="BL67" s="457">
        <v>25101</v>
      </c>
      <c r="BM67" s="457"/>
      <c r="BN67" s="458" t="e">
        <v>#REF!</v>
      </c>
      <c r="BO67" s="525">
        <f t="shared" si="36"/>
        <v>2724.5876631046626</v>
      </c>
      <c r="BP67" s="472"/>
      <c r="BQ67" s="457">
        <f t="shared" ref="BQ67:BR67" si="145">BQ24+BQ54+BQ61+BQ65</f>
        <v>9095</v>
      </c>
      <c r="BR67" s="457" t="e">
        <f t="shared" si="145"/>
        <v>#REF!</v>
      </c>
      <c r="BS67" s="467">
        <f t="shared" si="34"/>
        <v>0</v>
      </c>
      <c r="BT67" s="530">
        <f t="shared" ref="BT67" si="146">BT24+BT54+BT61+BT65</f>
        <v>23.214747716071425</v>
      </c>
      <c r="BU67" s="525">
        <f t="shared" si="63"/>
        <v>0</v>
      </c>
    </row>
    <row r="68" spans="1:73" ht="12.6" hidden="1" customHeight="1">
      <c r="A68" s="254"/>
      <c r="B68" s="254"/>
      <c r="C68" s="461"/>
      <c r="D68" s="254"/>
      <c r="E68" s="254"/>
      <c r="F68" s="254"/>
      <c r="G68" s="513"/>
      <c r="H68" s="254"/>
      <c r="I68" s="254"/>
      <c r="J68" s="254"/>
      <c r="K68" s="513"/>
      <c r="L68" s="254"/>
      <c r="M68" s="254"/>
      <c r="N68" s="254"/>
      <c r="O68" s="513"/>
      <c r="P68" s="254"/>
      <c r="Q68" s="254"/>
      <c r="R68" s="254"/>
      <c r="S68" s="513"/>
      <c r="T68" s="254"/>
      <c r="U68" s="254"/>
      <c r="V68" s="254"/>
      <c r="W68" s="513"/>
      <c r="X68" s="254"/>
      <c r="Y68" s="254"/>
      <c r="Z68" s="254"/>
      <c r="AA68" s="513"/>
      <c r="AB68" s="254"/>
      <c r="AC68" s="254"/>
      <c r="AD68" s="254"/>
      <c r="AE68" s="513"/>
      <c r="AF68" s="254"/>
      <c r="AG68" s="254"/>
      <c r="AH68" s="254"/>
      <c r="AI68" s="513"/>
      <c r="AJ68" s="254"/>
      <c r="AK68" s="254"/>
      <c r="AL68" s="254"/>
      <c r="AM68" s="513"/>
      <c r="AN68" s="254"/>
      <c r="AO68" s="254"/>
      <c r="AP68" s="254"/>
      <c r="AQ68" s="513"/>
      <c r="AR68" s="254"/>
      <c r="AS68" s="254"/>
      <c r="AT68" s="254"/>
      <c r="AU68" s="513"/>
      <c r="AV68" s="254"/>
      <c r="AW68" s="254"/>
      <c r="AX68" s="254"/>
      <c r="AY68" s="513"/>
      <c r="AZ68" s="462"/>
      <c r="BA68" s="463"/>
      <c r="BB68" s="513"/>
      <c r="BC68" s="462"/>
      <c r="BD68" s="257">
        <v>0</v>
      </c>
      <c r="BE68" s="257"/>
      <c r="BF68" s="257"/>
      <c r="BG68" s="462" t="e">
        <f>A68+#REF!+#REF!+#REF!+#REF!+#REF!+#REF!+#REF!+#REF!+#REF!+#REF!+#REF!</f>
        <v>#REF!</v>
      </c>
      <c r="BH68" s="463" t="e">
        <f>+#REF!+#REF!+#REF!+#REF!+#REF!+#REF!+#REF!+#REF!+#REF!+#REF!+#REF!+BI68+#REF!</f>
        <v>#REF!</v>
      </c>
      <c r="BI68" s="462" t="e">
        <f>#REF!+#REF!+#REF!+#REF!+#REF!+#REF!+#REF!+#REF!+#REF!+#REF!+#REF!+#REF!</f>
        <v>#REF!</v>
      </c>
      <c r="BJ68" s="462"/>
      <c r="BK68" s="463" t="e">
        <f>+H68+L68+P68+T68+X68+AB68+AF68+AJ68+AN68+AR68+AV68+BL68+D68</f>
        <v>#REF!</v>
      </c>
      <c r="BL68" s="462" t="e">
        <v>#REF!</v>
      </c>
      <c r="BM68" s="462"/>
      <c r="BN68" s="463">
        <v>0</v>
      </c>
      <c r="BO68" s="469">
        <f t="shared" si="36"/>
        <v>0</v>
      </c>
      <c r="BP68" s="472"/>
      <c r="BQ68" s="462"/>
      <c r="BR68" s="462"/>
      <c r="BS68" s="469">
        <f t="shared" si="34"/>
        <v>0</v>
      </c>
      <c r="BT68" s="531"/>
      <c r="BU68" s="469">
        <f t="shared" si="63"/>
        <v>0</v>
      </c>
    </row>
    <row r="69" spans="1:73" ht="12.6" hidden="1" customHeight="1">
      <c r="A69" s="482" t="s">
        <v>81</v>
      </c>
      <c r="B69" s="498">
        <f>D69+H69+L69+P69+T69+X69+AB69+AF69+AJ69+AN69+AR69+AV69</f>
        <v>0</v>
      </c>
      <c r="C69" s="499"/>
      <c r="D69" s="498"/>
      <c r="E69" s="498"/>
      <c r="F69" s="498"/>
      <c r="G69" s="514"/>
      <c r="H69" s="498"/>
      <c r="I69" s="498"/>
      <c r="J69" s="498"/>
      <c r="K69" s="514"/>
      <c r="L69" s="498"/>
      <c r="M69" s="498"/>
      <c r="N69" s="498"/>
      <c r="O69" s="514"/>
      <c r="P69" s="498"/>
      <c r="Q69" s="498"/>
      <c r="R69" s="498"/>
      <c r="S69" s="514"/>
      <c r="T69" s="498"/>
      <c r="U69" s="498"/>
      <c r="V69" s="498">
        <f>(T69*U69)/10^6</f>
        <v>0</v>
      </c>
      <c r="W69" s="514">
        <f>U69*(V69-C69)*66.93/10^7</f>
        <v>0</v>
      </c>
      <c r="X69" s="498"/>
      <c r="Y69" s="498"/>
      <c r="Z69" s="498"/>
      <c r="AA69" s="514">
        <f>Y69*(Z69-G69)*66.93/10^7</f>
        <v>0</v>
      </c>
      <c r="AB69" s="498"/>
      <c r="AC69" s="498"/>
      <c r="AD69" s="498"/>
      <c r="AE69" s="514">
        <f>AC69*(AD69-K69)*66.93/10^7</f>
        <v>0</v>
      </c>
      <c r="AF69" s="498"/>
      <c r="AG69" s="498"/>
      <c r="AH69" s="498"/>
      <c r="AI69" s="514">
        <f>AG69*(AH69-O69)*66.93/10^7</f>
        <v>0</v>
      </c>
      <c r="AJ69" s="498"/>
      <c r="AK69" s="498"/>
      <c r="AL69" s="498"/>
      <c r="AM69" s="514">
        <f>AK69*(AL69-S69)*66.93/10^7</f>
        <v>0</v>
      </c>
      <c r="AN69" s="498"/>
      <c r="AO69" s="498"/>
      <c r="AP69" s="498"/>
      <c r="AQ69" s="514">
        <f>AO69*(AP69-W69)*66.93/10^7</f>
        <v>0</v>
      </c>
      <c r="AR69" s="498"/>
      <c r="AS69" s="498"/>
      <c r="AT69" s="498"/>
      <c r="AU69" s="514"/>
      <c r="AV69" s="498"/>
      <c r="AW69" s="498"/>
      <c r="AX69" s="498"/>
      <c r="AY69" s="514">
        <f>AW69*(AX69-AE69)*66.93/10^7</f>
        <v>0</v>
      </c>
      <c r="AZ69" s="257">
        <f>+D69+H69+L69</f>
        <v>0</v>
      </c>
      <c r="BA69" s="23">
        <f>+E69+I69+M69</f>
        <v>0</v>
      </c>
      <c r="BB69" s="514">
        <f>+G69+K69+O69</f>
        <v>0</v>
      </c>
      <c r="BC69" s="257">
        <f>+P69+T69+X69</f>
        <v>0</v>
      </c>
      <c r="BD69" s="257">
        <v>0</v>
      </c>
      <c r="BE69" s="257"/>
      <c r="BF69" s="257"/>
      <c r="BG69" s="257">
        <f>+AB69+AF69+AJ69</f>
        <v>0</v>
      </c>
      <c r="BH69" s="257" t="e">
        <f>+#REF!+#REF!+#REF!</f>
        <v>#REF!</v>
      </c>
      <c r="BI69" s="257">
        <f>+AN69+AR69+AV69</f>
        <v>0</v>
      </c>
      <c r="BJ69" s="257"/>
      <c r="BK69" s="257" t="e">
        <f>+#REF!+#REF!+#REF!</f>
        <v>#REF!</v>
      </c>
      <c r="BL69" s="257">
        <v>0</v>
      </c>
      <c r="BM69" s="257"/>
      <c r="BN69" s="257" t="e">
        <v>#REF!</v>
      </c>
      <c r="BO69" s="466">
        <f t="shared" si="36"/>
        <v>0</v>
      </c>
      <c r="BP69" s="472"/>
      <c r="BQ69" s="23">
        <f>D69+H69+L69+P69+T69+X69+AB69</f>
        <v>0</v>
      </c>
      <c r="BR69" s="23" t="e">
        <f>E69+I69+M69+Q69+U69+Y69+#REF!</f>
        <v>#REF!</v>
      </c>
      <c r="BS69" s="466">
        <f t="shared" si="34"/>
        <v>0</v>
      </c>
      <c r="BT69" s="509">
        <f>G69+K69+O69+S69+W69+AA69</f>
        <v>0</v>
      </c>
      <c r="BU69" s="466">
        <f t="shared" si="63"/>
        <v>0</v>
      </c>
    </row>
    <row r="70" spans="1:73" ht="12.6" hidden="1" customHeight="1">
      <c r="A70" s="254"/>
      <c r="B70" s="462"/>
      <c r="C70" s="463"/>
      <c r="D70" s="462"/>
      <c r="E70" s="462"/>
      <c r="F70" s="462"/>
      <c r="G70" s="515"/>
      <c r="H70" s="462"/>
      <c r="I70" s="462"/>
      <c r="J70" s="462"/>
      <c r="K70" s="515"/>
      <c r="L70" s="462"/>
      <c r="M70" s="462"/>
      <c r="N70" s="462"/>
      <c r="O70" s="515"/>
      <c r="P70" s="462"/>
      <c r="Q70" s="462"/>
      <c r="R70" s="462"/>
      <c r="S70" s="515"/>
      <c r="T70" s="462"/>
      <c r="U70" s="462"/>
      <c r="V70" s="462"/>
      <c r="W70" s="515"/>
      <c r="X70" s="462"/>
      <c r="Y70" s="462"/>
      <c r="Z70" s="462"/>
      <c r="AA70" s="515"/>
      <c r="AB70" s="462"/>
      <c r="AC70" s="462"/>
      <c r="AD70" s="462"/>
      <c r="AE70" s="515"/>
      <c r="AF70" s="462"/>
      <c r="AG70" s="462"/>
      <c r="AH70" s="462"/>
      <c r="AI70" s="515"/>
      <c r="AJ70" s="462"/>
      <c r="AK70" s="462"/>
      <c r="AL70" s="462"/>
      <c r="AM70" s="515"/>
      <c r="AN70" s="462"/>
      <c r="AO70" s="462"/>
      <c r="AP70" s="462"/>
      <c r="AQ70" s="515"/>
      <c r="AR70" s="462"/>
      <c r="AS70" s="462"/>
      <c r="AT70" s="462"/>
      <c r="AU70" s="515"/>
      <c r="AV70" s="462"/>
      <c r="AW70" s="462"/>
      <c r="AX70" s="462"/>
      <c r="AY70" s="515"/>
      <c r="AZ70" s="462"/>
      <c r="BA70" s="463"/>
      <c r="BB70" s="515"/>
      <c r="BC70" s="462"/>
      <c r="BD70" s="257">
        <v>0</v>
      </c>
      <c r="BE70" s="257"/>
      <c r="BF70" s="257"/>
      <c r="BG70" s="462" t="e">
        <f>A70+#REF!+#REF!+#REF!+#REF!+#REF!+#REF!+#REF!+#REF!+#REF!+#REF!+#REF!</f>
        <v>#REF!</v>
      </c>
      <c r="BH70" s="463" t="e">
        <f>+#REF!+#REF!+#REF!+#REF!+#REF!+#REF!+#REF!+#REF!+#REF!+#REF!+#REF!+BI70+#REF!</f>
        <v>#REF!</v>
      </c>
      <c r="BI70" s="462" t="e">
        <f>#REF!+#REF!+#REF!+#REF!+#REF!+#REF!+#REF!+#REF!+#REF!+#REF!+#REF!+#REF!</f>
        <v>#REF!</v>
      </c>
      <c r="BJ70" s="462"/>
      <c r="BK70" s="463" t="e">
        <f>+H70+L70+P70+T70+X70+AB70+AF70+AJ70+AN70+AR70+AV70+BL70+D70</f>
        <v>#REF!</v>
      </c>
      <c r="BL70" s="462" t="e">
        <v>#REF!</v>
      </c>
      <c r="BM70" s="462"/>
      <c r="BN70" s="463">
        <v>0</v>
      </c>
      <c r="BO70" s="469">
        <f t="shared" si="36"/>
        <v>0</v>
      </c>
      <c r="BP70" s="472"/>
      <c r="BQ70" s="462"/>
      <c r="BR70" s="462"/>
      <c r="BS70" s="469">
        <f t="shared" si="34"/>
        <v>0</v>
      </c>
      <c r="BT70" s="531"/>
      <c r="BU70" s="469">
        <f t="shared" ref="BU70:BU81" si="147">IFERROR(BR70/B70,0)</f>
        <v>0</v>
      </c>
    </row>
    <row r="71" spans="1:73" ht="12.6" hidden="1" customHeight="1">
      <c r="A71" s="482" t="s">
        <v>9</v>
      </c>
      <c r="B71" s="457">
        <f>+B67+B69</f>
        <v>16375</v>
      </c>
      <c r="C71" s="458"/>
      <c r="D71" s="457">
        <f>+D67+D69</f>
        <v>360</v>
      </c>
      <c r="E71" s="457">
        <f>+E67+E69</f>
        <v>341</v>
      </c>
      <c r="F71" s="457"/>
      <c r="G71" s="511">
        <f>+G67+G69</f>
        <v>2.1197748290000002</v>
      </c>
      <c r="H71" s="457">
        <f>+H67+H69</f>
        <v>1595</v>
      </c>
      <c r="I71" s="457">
        <f>+I67+I69</f>
        <v>1326</v>
      </c>
      <c r="J71" s="457"/>
      <c r="K71" s="511">
        <f>+K67+K69</f>
        <v>4.3154467638999989</v>
      </c>
      <c r="L71" s="457">
        <f>+L67+L69</f>
        <v>1011</v>
      </c>
      <c r="M71" s="457">
        <f>+M67+M69</f>
        <v>365</v>
      </c>
      <c r="N71" s="457"/>
      <c r="O71" s="511">
        <f>+O67+O69</f>
        <v>1.8673434245714287</v>
      </c>
      <c r="P71" s="457">
        <f>+P67+P69</f>
        <v>2033</v>
      </c>
      <c r="Q71" s="457">
        <f>+Q67+Q69</f>
        <v>349</v>
      </c>
      <c r="R71" s="457"/>
      <c r="S71" s="511">
        <f t="shared" ref="S71:Y71" si="148">+S67+S69</f>
        <v>1.7490883200000003</v>
      </c>
      <c r="T71" s="457">
        <f t="shared" si="148"/>
        <v>1000</v>
      </c>
      <c r="U71" s="457">
        <f t="shared" si="148"/>
        <v>1417</v>
      </c>
      <c r="V71" s="457">
        <f t="shared" si="148"/>
        <v>828</v>
      </c>
      <c r="W71" s="511">
        <f t="shared" si="148"/>
        <v>9.0497525460000006</v>
      </c>
      <c r="X71" s="457">
        <f t="shared" si="148"/>
        <v>2123</v>
      </c>
      <c r="Y71" s="457">
        <f t="shared" si="148"/>
        <v>552</v>
      </c>
      <c r="Z71" s="457">
        <f>+Z67+Z69</f>
        <v>0</v>
      </c>
      <c r="AA71" s="511">
        <f t="shared" ref="AA71" si="149">+AA67+AA69</f>
        <v>4.1133418326000006</v>
      </c>
      <c r="AB71" s="457">
        <f>+AB67+AB69</f>
        <v>973</v>
      </c>
      <c r="AC71" s="457">
        <f t="shared" ref="AC71" si="150">+AC67+AC69</f>
        <v>304</v>
      </c>
      <c r="AD71" s="457">
        <f>+AD67+AD69</f>
        <v>0</v>
      </c>
      <c r="AE71" s="511">
        <f t="shared" ref="AE71" si="151">+AE67+AE69</f>
        <v>1.8974733241985251</v>
      </c>
      <c r="AF71" s="457">
        <f>+AF67+AF69</f>
        <v>2028</v>
      </c>
      <c r="AG71" s="457">
        <f t="shared" ref="AG71" si="152">+AG67+AG69</f>
        <v>314</v>
      </c>
      <c r="AH71" s="457">
        <f>+AH67+AH69</f>
        <v>4238</v>
      </c>
      <c r="AI71" s="511">
        <f t="shared" ref="AI71" si="153">+AI67+AI69</f>
        <v>1.4603838119676675</v>
      </c>
      <c r="AJ71" s="457">
        <f>+AJ67+AJ69</f>
        <v>1108</v>
      </c>
      <c r="AK71" s="457">
        <f t="shared" ref="AK71" si="154">+AK67+AK69</f>
        <v>310</v>
      </c>
      <c r="AL71" s="457">
        <f>+AL67+AL69</f>
        <v>0</v>
      </c>
      <c r="AM71" s="511">
        <f t="shared" ref="AM71" si="155">+AM67+AM69</f>
        <v>2.2091088856079808</v>
      </c>
      <c r="AN71" s="457">
        <f>+AN67+AN69</f>
        <v>1088</v>
      </c>
      <c r="AO71" s="457">
        <f t="shared" ref="AO71" si="156">+AO67+AO69</f>
        <v>931</v>
      </c>
      <c r="AP71" s="457">
        <f>+AP67+AP69</f>
        <v>737</v>
      </c>
      <c r="AQ71" s="511">
        <f t="shared" ref="AQ71" si="157">+AQ67+AQ69</f>
        <v>7.3454588735361401</v>
      </c>
      <c r="AR71" s="457">
        <f>+AR67+AR69</f>
        <v>2033</v>
      </c>
      <c r="AS71" s="457">
        <f t="shared" ref="AS71" si="158">+AS67+AS69</f>
        <v>602</v>
      </c>
      <c r="AT71" s="457">
        <f>+AT67+AT69</f>
        <v>5139</v>
      </c>
      <c r="AU71" s="511">
        <f t="shared" ref="AU71" si="159">+AU67+AU69</f>
        <v>1.8673113154756766</v>
      </c>
      <c r="AV71" s="457">
        <f>+AV67+AV69</f>
        <v>1023</v>
      </c>
      <c r="AW71" s="457">
        <f t="shared" ref="AW71" si="160">+AW67+AW69</f>
        <v>0</v>
      </c>
      <c r="AX71" s="457">
        <f>+AX67+AX69</f>
        <v>0</v>
      </c>
      <c r="AY71" s="511">
        <f t="shared" ref="AY71:BK71" si="161">+AY67+AY69</f>
        <v>0</v>
      </c>
      <c r="AZ71" s="458">
        <f t="shared" si="161"/>
        <v>2966</v>
      </c>
      <c r="BA71" s="458">
        <f t="shared" si="161"/>
        <v>2032</v>
      </c>
      <c r="BB71" s="511">
        <f t="shared" si="161"/>
        <v>8.3025650174714265</v>
      </c>
      <c r="BC71" s="458">
        <f t="shared" si="161"/>
        <v>5156</v>
      </c>
      <c r="BD71" s="458">
        <f t="shared" si="161"/>
        <v>2318</v>
      </c>
      <c r="BE71" s="458"/>
      <c r="BF71" s="458"/>
      <c r="BG71" s="458">
        <f t="shared" si="161"/>
        <v>928</v>
      </c>
      <c r="BH71" s="458" t="e">
        <f t="shared" si="161"/>
        <v>#REF!</v>
      </c>
      <c r="BI71" s="458">
        <f t="shared" si="161"/>
        <v>4144</v>
      </c>
      <c r="BJ71" s="458"/>
      <c r="BK71" s="458" t="e">
        <f t="shared" si="161"/>
        <v>#REF!</v>
      </c>
      <c r="BL71" s="458">
        <v>25101</v>
      </c>
      <c r="BM71" s="458"/>
      <c r="BN71" s="458" t="e">
        <v>#REF!</v>
      </c>
      <c r="BO71" s="525">
        <f t="shared" si="36"/>
        <v>0</v>
      </c>
      <c r="BP71" s="472"/>
      <c r="BQ71" s="457">
        <f t="shared" ref="BQ71:BR71" si="162">+BQ67+BQ69</f>
        <v>9095</v>
      </c>
      <c r="BR71" s="457" t="e">
        <f t="shared" si="162"/>
        <v>#REF!</v>
      </c>
      <c r="BS71" s="467">
        <f t="shared" ref="BS71:BS81" si="163">IFERROR(BR71/BQ71,0)</f>
        <v>0</v>
      </c>
      <c r="BT71" s="530">
        <f t="shared" ref="BT71" si="164">+BT67+BT69</f>
        <v>23.214747716071425</v>
      </c>
      <c r="BU71" s="525">
        <f t="shared" si="147"/>
        <v>0</v>
      </c>
    </row>
    <row r="72" spans="1:73" ht="12.6" hidden="1" customHeight="1">
      <c r="A72" s="482"/>
      <c r="B72" s="457"/>
      <c r="C72" s="458"/>
      <c r="D72" s="457"/>
      <c r="E72" s="457"/>
      <c r="F72" s="457"/>
      <c r="G72" s="516"/>
      <c r="H72" s="457"/>
      <c r="I72" s="457"/>
      <c r="J72" s="457"/>
      <c r="K72" s="516"/>
      <c r="L72" s="457"/>
      <c r="M72" s="457"/>
      <c r="N72" s="457"/>
      <c r="O72" s="516"/>
      <c r="P72" s="457"/>
      <c r="Q72" s="457"/>
      <c r="R72" s="457"/>
      <c r="S72" s="516"/>
      <c r="T72" s="457"/>
      <c r="U72" s="457"/>
      <c r="V72" s="457"/>
      <c r="W72" s="516"/>
      <c r="X72" s="457"/>
      <c r="Y72" s="457"/>
      <c r="Z72" s="457"/>
      <c r="AA72" s="516"/>
      <c r="AB72" s="457"/>
      <c r="AC72" s="457"/>
      <c r="AD72" s="457"/>
      <c r="AE72" s="516"/>
      <c r="AF72" s="457"/>
      <c r="AG72" s="457"/>
      <c r="AH72" s="457"/>
      <c r="AI72" s="516"/>
      <c r="AJ72" s="457"/>
      <c r="AK72" s="457"/>
      <c r="AL72" s="457"/>
      <c r="AM72" s="516"/>
      <c r="AN72" s="457"/>
      <c r="AO72" s="457"/>
      <c r="AP72" s="457"/>
      <c r="AQ72" s="516"/>
      <c r="AR72" s="457"/>
      <c r="AS72" s="457"/>
      <c r="AT72" s="457"/>
      <c r="AU72" s="516"/>
      <c r="AV72" s="457"/>
      <c r="AW72" s="457"/>
      <c r="AX72" s="457"/>
      <c r="AY72" s="516"/>
      <c r="AZ72" s="474"/>
      <c r="BA72" s="474"/>
      <c r="BB72" s="516"/>
      <c r="BC72" s="474"/>
      <c r="BD72" s="474"/>
      <c r="BE72" s="474"/>
      <c r="BF72" s="474"/>
      <c r="BG72" s="474"/>
      <c r="BH72" s="474"/>
      <c r="BI72" s="474"/>
      <c r="BJ72" s="474"/>
      <c r="BK72" s="474"/>
      <c r="BL72" s="474"/>
      <c r="BM72" s="474"/>
      <c r="BN72" s="474"/>
      <c r="BO72" s="525">
        <f t="shared" si="36"/>
        <v>0</v>
      </c>
      <c r="BP72" s="472"/>
      <c r="BQ72" s="458"/>
      <c r="BR72" s="457"/>
      <c r="BS72" s="467">
        <f t="shared" si="163"/>
        <v>0</v>
      </c>
      <c r="BT72" s="530"/>
      <c r="BU72" s="525">
        <f t="shared" si="147"/>
        <v>0</v>
      </c>
    </row>
    <row r="73" spans="1:73" ht="12.6" customHeight="1">
      <c r="A73" s="254" t="s">
        <v>109</v>
      </c>
      <c r="B73" s="129">
        <f>D73+H73+L73+P73+T73+X73+AB73+AF73+AJ73+AN73+AR73+AV73</f>
        <v>0</v>
      </c>
      <c r="C73" s="257"/>
      <c r="D73" s="129"/>
      <c r="E73" s="129"/>
      <c r="F73" s="129"/>
      <c r="G73" s="509">
        <f t="shared" ref="G73:G78" si="165">E73*(F73-C73)*66.47/10^7</f>
        <v>0</v>
      </c>
      <c r="H73" s="129"/>
      <c r="I73" s="129"/>
      <c r="J73" s="129"/>
      <c r="K73" s="509">
        <f t="shared" ref="K73:K78" si="166">I73*(J73-C73)*66.91/10^7</f>
        <v>0</v>
      </c>
      <c r="L73" s="129"/>
      <c r="M73" s="129"/>
      <c r="N73" s="129"/>
      <c r="O73" s="509"/>
      <c r="P73" s="129"/>
      <c r="Q73" s="129"/>
      <c r="R73" s="129"/>
      <c r="S73" s="509">
        <f t="shared" ref="S73:S78" si="167">Q73*(R73-C73)*67.2/10^7</f>
        <v>0</v>
      </c>
      <c r="T73" s="129"/>
      <c r="U73" s="129"/>
      <c r="V73" s="129">
        <f>(T73*U73)/10^6</f>
        <v>0</v>
      </c>
      <c r="W73" s="509">
        <f t="shared" ref="W73:W78" si="168">U73*(V73-C73)*66.93/10^7</f>
        <v>0</v>
      </c>
      <c r="X73" s="129"/>
      <c r="Y73" s="129"/>
      <c r="Z73" s="129"/>
      <c r="AA73" s="509">
        <f t="shared" ref="AA73:AA78" si="169">Y73*(Z73-C73)*66.69/10^7</f>
        <v>0</v>
      </c>
      <c r="AB73" s="129"/>
      <c r="AC73" s="129"/>
      <c r="AD73" s="129"/>
      <c r="AE73" s="509">
        <f t="shared" ref="AE73:AE78" si="170">AC73*(AD73-G73)*66.73/10^7</f>
        <v>0</v>
      </c>
      <c r="AF73" s="129"/>
      <c r="AG73" s="129"/>
      <c r="AH73" s="129"/>
      <c r="AI73" s="509">
        <f t="shared" ref="AI73:AI78" si="171">AG73*(AH73-K73)*67.58/10^7</f>
        <v>0</v>
      </c>
      <c r="AJ73" s="129"/>
      <c r="AK73" s="129"/>
      <c r="AL73" s="129"/>
      <c r="AM73" s="509">
        <f t="shared" ref="AM73:AM78" si="172">AK73*(AL73-O73)*67.91/10^7</f>
        <v>0</v>
      </c>
      <c r="AN73" s="129"/>
      <c r="AO73" s="129"/>
      <c r="AP73" s="129"/>
      <c r="AQ73" s="509">
        <f t="shared" ref="AQ73:AQ78" si="173">AO73*(AP73-S73)*68.01/10^7</f>
        <v>0</v>
      </c>
      <c r="AR73" s="129"/>
      <c r="AS73" s="129"/>
      <c r="AT73" s="129"/>
      <c r="AU73" s="509">
        <f t="shared" ref="AU73:AU78" si="174">AS73*(AT73-W73)*67.01/10^7</f>
        <v>0</v>
      </c>
      <c r="AV73" s="129"/>
      <c r="AW73" s="129"/>
      <c r="AX73" s="129"/>
      <c r="AY73" s="509">
        <f t="shared" ref="AY73:AY78" si="175">AW73*(AX73-AA73)*66.69/10^7</f>
        <v>0</v>
      </c>
      <c r="AZ73" s="23">
        <f t="shared" ref="AZ73:BA78" si="176">+D73+H73+L73</f>
        <v>0</v>
      </c>
      <c r="BA73" s="23">
        <f t="shared" si="176"/>
        <v>0</v>
      </c>
      <c r="BB73" s="509">
        <f t="shared" ref="BB73:BB78" si="177">+G73+K73+O73</f>
        <v>0</v>
      </c>
      <c r="BC73" s="23">
        <f t="shared" ref="BC73:BD78" si="178">+P73+T73+X73</f>
        <v>0</v>
      </c>
      <c r="BD73" s="257">
        <f t="shared" si="178"/>
        <v>0</v>
      </c>
      <c r="BE73" s="257">
        <f t="shared" ref="BE73:BE78" si="179">S73+W73+AA73</f>
        <v>0</v>
      </c>
      <c r="BF73" s="257">
        <f t="shared" ref="BF73:BG78" si="180">AB73+AF73+AJ73</f>
        <v>0</v>
      </c>
      <c r="BG73" s="23">
        <f t="shared" si="180"/>
        <v>0</v>
      </c>
      <c r="BH73" s="257">
        <f t="shared" ref="BH73:BH78" si="181">AE73+AI73+AM73</f>
        <v>0</v>
      </c>
      <c r="BI73" s="23">
        <f t="shared" ref="BI73:BJ78" si="182">+AN73+AR73+AV73</f>
        <v>0</v>
      </c>
      <c r="BJ73" s="23">
        <f t="shared" si="182"/>
        <v>0</v>
      </c>
      <c r="BK73" s="257">
        <f t="shared" ref="BK73:BK78" si="183">AQ73+AU73+AY73</f>
        <v>0</v>
      </c>
      <c r="BL73" s="23">
        <f t="shared" ref="BL73:BN78" si="184">AZ73+BC73+BF73+BI73</f>
        <v>0</v>
      </c>
      <c r="BM73" s="23">
        <f t="shared" si="184"/>
        <v>0</v>
      </c>
      <c r="BN73" s="257">
        <f t="shared" si="184"/>
        <v>0</v>
      </c>
      <c r="BO73" s="466">
        <f t="shared" ref="BO73:BO78" si="185">IFERROR(BM73/BL73,0)</f>
        <v>0</v>
      </c>
      <c r="BP73" s="472"/>
      <c r="BQ73" s="23">
        <f t="shared" ref="BQ73:BQ78" si="186">D73+H73+L73+P73+T73+X73+AB73</f>
        <v>0</v>
      </c>
      <c r="BR73" s="23" t="e">
        <f>E73+I73+M73+Q73+U73+Y73+#REF!</f>
        <v>#REF!</v>
      </c>
      <c r="BS73" s="466">
        <f t="shared" si="163"/>
        <v>0</v>
      </c>
      <c r="BT73" s="509">
        <f t="shared" ref="BT73:BT78" si="187">G73+K73+O73+S73+W73+AA73</f>
        <v>0</v>
      </c>
      <c r="BU73" s="466">
        <f t="shared" si="147"/>
        <v>0</v>
      </c>
    </row>
    <row r="74" spans="1:73" ht="12.6" customHeight="1">
      <c r="A74" s="254" t="s">
        <v>110</v>
      </c>
      <c r="B74" s="129">
        <f>D74+H74+L74+P74+T74+X74+AB74+AF74+AJ74+AN74+AR74+AV74</f>
        <v>0</v>
      </c>
      <c r="C74" s="257"/>
      <c r="D74" s="129"/>
      <c r="E74" s="129"/>
      <c r="F74" s="129"/>
      <c r="G74" s="509">
        <f t="shared" si="165"/>
        <v>0</v>
      </c>
      <c r="H74" s="129"/>
      <c r="I74" s="129"/>
      <c r="J74" s="129"/>
      <c r="K74" s="509">
        <f t="shared" si="166"/>
        <v>0</v>
      </c>
      <c r="L74" s="129"/>
      <c r="M74" s="129"/>
      <c r="N74" s="129"/>
      <c r="O74" s="509">
        <f>M74*(N74-C74)*67.28/10^7</f>
        <v>0</v>
      </c>
      <c r="P74" s="129"/>
      <c r="Q74" s="129"/>
      <c r="R74" s="129"/>
      <c r="S74" s="509">
        <f t="shared" si="167"/>
        <v>0</v>
      </c>
      <c r="T74" s="129"/>
      <c r="U74" s="129"/>
      <c r="V74" s="129">
        <f>(T74*U74)/10^6</f>
        <v>0</v>
      </c>
      <c r="W74" s="509">
        <f t="shared" si="168"/>
        <v>0</v>
      </c>
      <c r="X74" s="129"/>
      <c r="Y74" s="129"/>
      <c r="Z74" s="129"/>
      <c r="AA74" s="509">
        <f t="shared" si="169"/>
        <v>0</v>
      </c>
      <c r="AB74" s="129"/>
      <c r="AC74" s="129"/>
      <c r="AD74" s="129"/>
      <c r="AE74" s="509">
        <f t="shared" si="170"/>
        <v>0</v>
      </c>
      <c r="AF74" s="129"/>
      <c r="AG74" s="129"/>
      <c r="AH74" s="129"/>
      <c r="AI74" s="509">
        <f t="shared" si="171"/>
        <v>0</v>
      </c>
      <c r="AJ74" s="129"/>
      <c r="AK74" s="129"/>
      <c r="AL74" s="129"/>
      <c r="AM74" s="509">
        <f t="shared" si="172"/>
        <v>0</v>
      </c>
      <c r="AN74" s="129"/>
      <c r="AO74" s="129"/>
      <c r="AP74" s="129"/>
      <c r="AQ74" s="509">
        <f t="shared" si="173"/>
        <v>0</v>
      </c>
      <c r="AR74" s="129"/>
      <c r="AS74" s="129"/>
      <c r="AT74" s="129"/>
      <c r="AU74" s="509">
        <f t="shared" si="174"/>
        <v>0</v>
      </c>
      <c r="AV74" s="129"/>
      <c r="AW74" s="129"/>
      <c r="AX74" s="129"/>
      <c r="AY74" s="509">
        <f t="shared" si="175"/>
        <v>0</v>
      </c>
      <c r="AZ74" s="23">
        <f t="shared" si="176"/>
        <v>0</v>
      </c>
      <c r="BA74" s="23">
        <f t="shared" si="176"/>
        <v>0</v>
      </c>
      <c r="BB74" s="509">
        <f t="shared" si="177"/>
        <v>0</v>
      </c>
      <c r="BC74" s="23">
        <f t="shared" si="178"/>
        <v>0</v>
      </c>
      <c r="BD74" s="257">
        <f t="shared" si="178"/>
        <v>0</v>
      </c>
      <c r="BE74" s="257">
        <f t="shared" si="179"/>
        <v>0</v>
      </c>
      <c r="BF74" s="257">
        <f t="shared" si="180"/>
        <v>0</v>
      </c>
      <c r="BG74" s="23">
        <f t="shared" si="180"/>
        <v>0</v>
      </c>
      <c r="BH74" s="257">
        <f t="shared" si="181"/>
        <v>0</v>
      </c>
      <c r="BI74" s="23">
        <f t="shared" si="182"/>
        <v>0</v>
      </c>
      <c r="BJ74" s="23">
        <f t="shared" si="182"/>
        <v>0</v>
      </c>
      <c r="BK74" s="257">
        <f t="shared" si="183"/>
        <v>0</v>
      </c>
      <c r="BL74" s="23">
        <f t="shared" si="184"/>
        <v>0</v>
      </c>
      <c r="BM74" s="23">
        <f t="shared" si="184"/>
        <v>0</v>
      </c>
      <c r="BN74" s="257">
        <f t="shared" si="184"/>
        <v>0</v>
      </c>
      <c r="BO74" s="466">
        <f t="shared" si="185"/>
        <v>0</v>
      </c>
      <c r="BP74" s="472"/>
      <c r="BQ74" s="23">
        <f t="shared" si="186"/>
        <v>0</v>
      </c>
      <c r="BR74" s="23" t="e">
        <f>E74+I74+M74+Q74+U74+Y74+#REF!</f>
        <v>#REF!</v>
      </c>
      <c r="BS74" s="466">
        <f t="shared" si="163"/>
        <v>0</v>
      </c>
      <c r="BT74" s="509">
        <f t="shared" si="187"/>
        <v>0</v>
      </c>
      <c r="BU74" s="466">
        <f t="shared" si="147"/>
        <v>0</v>
      </c>
    </row>
    <row r="75" spans="1:73" ht="12.6" customHeight="1">
      <c r="A75" s="254" t="s">
        <v>132</v>
      </c>
      <c r="B75" s="129">
        <f>D75+H75+L75+P75+T75+X75+AB75+AF75+AJ75+AN75+AR75+AV75</f>
        <v>0</v>
      </c>
      <c r="C75" s="257"/>
      <c r="D75" s="129"/>
      <c r="E75" s="129"/>
      <c r="F75" s="129"/>
      <c r="G75" s="509">
        <f t="shared" si="165"/>
        <v>0</v>
      </c>
      <c r="H75" s="129"/>
      <c r="I75" s="129"/>
      <c r="J75" s="129"/>
      <c r="K75" s="509">
        <f t="shared" si="166"/>
        <v>0</v>
      </c>
      <c r="L75" s="129"/>
      <c r="M75" s="129"/>
      <c r="N75" s="129"/>
      <c r="O75" s="509">
        <f>M75*(N75-C75)*67.28/10^7</f>
        <v>0</v>
      </c>
      <c r="P75" s="129"/>
      <c r="Q75" s="129"/>
      <c r="R75" s="129"/>
      <c r="S75" s="509">
        <f t="shared" si="167"/>
        <v>0</v>
      </c>
      <c r="T75" s="129"/>
      <c r="U75" s="129"/>
      <c r="V75" s="129">
        <f>(T75*U75)/10^6</f>
        <v>0</v>
      </c>
      <c r="W75" s="509">
        <f t="shared" si="168"/>
        <v>0</v>
      </c>
      <c r="X75" s="129"/>
      <c r="Y75" s="129"/>
      <c r="Z75" s="129"/>
      <c r="AA75" s="509">
        <f t="shared" si="169"/>
        <v>0</v>
      </c>
      <c r="AB75" s="129"/>
      <c r="AC75" s="129"/>
      <c r="AD75" s="129"/>
      <c r="AE75" s="509">
        <f t="shared" si="170"/>
        <v>0</v>
      </c>
      <c r="AF75" s="129"/>
      <c r="AG75" s="129"/>
      <c r="AH75" s="129"/>
      <c r="AI75" s="509">
        <f t="shared" si="171"/>
        <v>0</v>
      </c>
      <c r="AJ75" s="129"/>
      <c r="AK75" s="129"/>
      <c r="AL75" s="129"/>
      <c r="AM75" s="509">
        <f t="shared" si="172"/>
        <v>0</v>
      </c>
      <c r="AN75" s="129"/>
      <c r="AO75" s="129"/>
      <c r="AP75" s="129"/>
      <c r="AQ75" s="509">
        <f t="shared" si="173"/>
        <v>0</v>
      </c>
      <c r="AR75" s="129"/>
      <c r="AS75" s="129"/>
      <c r="AT75" s="129"/>
      <c r="AU75" s="509">
        <f t="shared" si="174"/>
        <v>0</v>
      </c>
      <c r="AV75" s="129"/>
      <c r="AW75" s="129"/>
      <c r="AX75" s="129"/>
      <c r="AY75" s="509">
        <f t="shared" si="175"/>
        <v>0</v>
      </c>
      <c r="AZ75" s="23">
        <f t="shared" si="176"/>
        <v>0</v>
      </c>
      <c r="BA75" s="23">
        <f t="shared" si="176"/>
        <v>0</v>
      </c>
      <c r="BB75" s="509">
        <f t="shared" si="177"/>
        <v>0</v>
      </c>
      <c r="BC75" s="23">
        <f t="shared" si="178"/>
        <v>0</v>
      </c>
      <c r="BD75" s="257">
        <f t="shared" si="178"/>
        <v>0</v>
      </c>
      <c r="BE75" s="257">
        <f t="shared" si="179"/>
        <v>0</v>
      </c>
      <c r="BF75" s="257">
        <f t="shared" si="180"/>
        <v>0</v>
      </c>
      <c r="BG75" s="23">
        <f t="shared" si="180"/>
        <v>0</v>
      </c>
      <c r="BH75" s="257">
        <f t="shared" si="181"/>
        <v>0</v>
      </c>
      <c r="BI75" s="23">
        <f t="shared" si="182"/>
        <v>0</v>
      </c>
      <c r="BJ75" s="23">
        <f t="shared" si="182"/>
        <v>0</v>
      </c>
      <c r="BK75" s="257">
        <f t="shared" si="183"/>
        <v>0</v>
      </c>
      <c r="BL75" s="23">
        <f t="shared" si="184"/>
        <v>0</v>
      </c>
      <c r="BM75" s="23">
        <f t="shared" si="184"/>
        <v>0</v>
      </c>
      <c r="BN75" s="257">
        <f t="shared" si="184"/>
        <v>0</v>
      </c>
      <c r="BO75" s="466">
        <f t="shared" si="185"/>
        <v>0</v>
      </c>
      <c r="BP75" s="472"/>
      <c r="BQ75" s="23">
        <f t="shared" si="186"/>
        <v>0</v>
      </c>
      <c r="BR75" s="23" t="e">
        <f>E75+I75+M75+Q75+U75+Y75+#REF!</f>
        <v>#REF!</v>
      </c>
      <c r="BS75" s="466">
        <f t="shared" si="163"/>
        <v>0</v>
      </c>
      <c r="BT75" s="509">
        <f t="shared" si="187"/>
        <v>0</v>
      </c>
      <c r="BU75" s="466">
        <f t="shared" si="147"/>
        <v>0</v>
      </c>
    </row>
    <row r="76" spans="1:73" ht="12.6" customHeight="1">
      <c r="A76" s="254" t="s">
        <v>121</v>
      </c>
      <c r="B76" s="129"/>
      <c r="C76" s="257"/>
      <c r="D76" s="129"/>
      <c r="E76" s="129"/>
      <c r="F76" s="129"/>
      <c r="G76" s="509">
        <f t="shared" si="165"/>
        <v>0</v>
      </c>
      <c r="H76" s="129"/>
      <c r="I76" s="129"/>
      <c r="J76" s="129"/>
      <c r="K76" s="509">
        <f t="shared" si="166"/>
        <v>0</v>
      </c>
      <c r="L76" s="129"/>
      <c r="M76" s="129"/>
      <c r="N76" s="129"/>
      <c r="O76" s="509">
        <f>M76*(N76-C76)*67.28/10^7</f>
        <v>0</v>
      </c>
      <c r="P76" s="129"/>
      <c r="Q76" s="129"/>
      <c r="R76" s="129"/>
      <c r="S76" s="509">
        <f t="shared" si="167"/>
        <v>0</v>
      </c>
      <c r="T76" s="129"/>
      <c r="U76" s="129"/>
      <c r="V76" s="129"/>
      <c r="W76" s="509">
        <f t="shared" si="168"/>
        <v>0</v>
      </c>
      <c r="X76" s="129"/>
      <c r="Y76" s="129"/>
      <c r="Z76" s="129"/>
      <c r="AA76" s="509">
        <f t="shared" si="169"/>
        <v>0</v>
      </c>
      <c r="AB76" s="129"/>
      <c r="AC76" s="129"/>
      <c r="AD76" s="129"/>
      <c r="AE76" s="509">
        <f t="shared" si="170"/>
        <v>0</v>
      </c>
      <c r="AF76" s="129"/>
      <c r="AG76" s="129"/>
      <c r="AH76" s="129"/>
      <c r="AI76" s="509">
        <f t="shared" si="171"/>
        <v>0</v>
      </c>
      <c r="AJ76" s="129"/>
      <c r="AK76" s="129"/>
      <c r="AL76" s="129"/>
      <c r="AM76" s="509">
        <f t="shared" si="172"/>
        <v>0</v>
      </c>
      <c r="AN76" s="129"/>
      <c r="AO76" s="129"/>
      <c r="AP76" s="129"/>
      <c r="AQ76" s="509">
        <f t="shared" si="173"/>
        <v>0</v>
      </c>
      <c r="AR76" s="129"/>
      <c r="AS76" s="129"/>
      <c r="AT76" s="129"/>
      <c r="AU76" s="509">
        <f t="shared" si="174"/>
        <v>0</v>
      </c>
      <c r="AV76" s="129"/>
      <c r="AW76" s="129"/>
      <c r="AX76" s="129"/>
      <c r="AY76" s="509">
        <f t="shared" si="175"/>
        <v>0</v>
      </c>
      <c r="AZ76" s="23">
        <f t="shared" si="176"/>
        <v>0</v>
      </c>
      <c r="BA76" s="23">
        <f t="shared" si="176"/>
        <v>0</v>
      </c>
      <c r="BB76" s="509">
        <f t="shared" si="177"/>
        <v>0</v>
      </c>
      <c r="BC76" s="23">
        <f t="shared" si="178"/>
        <v>0</v>
      </c>
      <c r="BD76" s="257">
        <f t="shared" si="178"/>
        <v>0</v>
      </c>
      <c r="BE76" s="257">
        <f t="shared" si="179"/>
        <v>0</v>
      </c>
      <c r="BF76" s="257">
        <f t="shared" si="180"/>
        <v>0</v>
      </c>
      <c r="BG76" s="23">
        <f t="shared" si="180"/>
        <v>0</v>
      </c>
      <c r="BH76" s="257">
        <f t="shared" si="181"/>
        <v>0</v>
      </c>
      <c r="BI76" s="23">
        <f t="shared" si="182"/>
        <v>0</v>
      </c>
      <c r="BJ76" s="23">
        <f t="shared" si="182"/>
        <v>0</v>
      </c>
      <c r="BK76" s="257">
        <f t="shared" si="183"/>
        <v>0</v>
      </c>
      <c r="BL76" s="23">
        <f t="shared" si="184"/>
        <v>0</v>
      </c>
      <c r="BM76" s="23">
        <f t="shared" si="184"/>
        <v>0</v>
      </c>
      <c r="BN76" s="257">
        <f t="shared" si="184"/>
        <v>0</v>
      </c>
      <c r="BO76" s="466">
        <f t="shared" si="185"/>
        <v>0</v>
      </c>
      <c r="BP76" s="472"/>
      <c r="BQ76" s="23">
        <f t="shared" si="186"/>
        <v>0</v>
      </c>
      <c r="BR76" s="23" t="e">
        <f>E76+I76+M76+Q76+U76+Y76+#REF!</f>
        <v>#REF!</v>
      </c>
      <c r="BS76" s="466">
        <f t="shared" si="163"/>
        <v>0</v>
      </c>
      <c r="BT76" s="509">
        <f t="shared" si="187"/>
        <v>0</v>
      </c>
      <c r="BU76" s="466">
        <f t="shared" si="147"/>
        <v>0</v>
      </c>
    </row>
    <row r="77" spans="1:73" ht="12.6" customHeight="1">
      <c r="A77" s="254" t="s">
        <v>122</v>
      </c>
      <c r="B77" s="129">
        <f>D77+H77+L77+P77+T77+X77+AB77+AF77+AJ77+AN77+AR77+AV77</f>
        <v>0</v>
      </c>
      <c r="C77" s="257"/>
      <c r="D77" s="129"/>
      <c r="E77" s="129"/>
      <c r="F77" s="129"/>
      <c r="G77" s="509">
        <f t="shared" si="165"/>
        <v>0</v>
      </c>
      <c r="H77" s="129"/>
      <c r="I77" s="129"/>
      <c r="J77" s="129"/>
      <c r="K77" s="509">
        <f t="shared" si="166"/>
        <v>0</v>
      </c>
      <c r="L77" s="129"/>
      <c r="M77" s="129"/>
      <c r="N77" s="129"/>
      <c r="O77" s="509">
        <f>M77*(N77-C77)*67.28/10^7</f>
        <v>0</v>
      </c>
      <c r="P77" s="129"/>
      <c r="Q77" s="129"/>
      <c r="R77" s="129"/>
      <c r="S77" s="509">
        <f t="shared" si="167"/>
        <v>0</v>
      </c>
      <c r="T77" s="129"/>
      <c r="U77" s="129"/>
      <c r="V77" s="129">
        <f>(T77*U77)/10^6</f>
        <v>0</v>
      </c>
      <c r="W77" s="509">
        <f t="shared" si="168"/>
        <v>0</v>
      </c>
      <c r="X77" s="129"/>
      <c r="Y77" s="129"/>
      <c r="Z77" s="129"/>
      <c r="AA77" s="509">
        <f t="shared" si="169"/>
        <v>0</v>
      </c>
      <c r="AB77" s="129"/>
      <c r="AC77" s="129"/>
      <c r="AD77" s="129"/>
      <c r="AE77" s="509">
        <f t="shared" si="170"/>
        <v>0</v>
      </c>
      <c r="AF77" s="129"/>
      <c r="AG77" s="129"/>
      <c r="AH77" s="129"/>
      <c r="AI77" s="509">
        <f t="shared" si="171"/>
        <v>0</v>
      </c>
      <c r="AJ77" s="129"/>
      <c r="AK77" s="129"/>
      <c r="AL77" s="129"/>
      <c r="AM77" s="509">
        <f t="shared" si="172"/>
        <v>0</v>
      </c>
      <c r="AN77" s="129"/>
      <c r="AO77" s="129"/>
      <c r="AP77" s="129"/>
      <c r="AQ77" s="509">
        <f t="shared" si="173"/>
        <v>0</v>
      </c>
      <c r="AR77" s="129"/>
      <c r="AS77" s="129"/>
      <c r="AT77" s="129"/>
      <c r="AU77" s="509">
        <f t="shared" si="174"/>
        <v>0</v>
      </c>
      <c r="AV77" s="129"/>
      <c r="AW77" s="129"/>
      <c r="AX77" s="129"/>
      <c r="AY77" s="509">
        <f t="shared" si="175"/>
        <v>0</v>
      </c>
      <c r="AZ77" s="23">
        <f t="shared" si="176"/>
        <v>0</v>
      </c>
      <c r="BA77" s="23">
        <f t="shared" si="176"/>
        <v>0</v>
      </c>
      <c r="BB77" s="509">
        <f t="shared" si="177"/>
        <v>0</v>
      </c>
      <c r="BC77" s="23">
        <f t="shared" si="178"/>
        <v>0</v>
      </c>
      <c r="BD77" s="257">
        <f t="shared" si="178"/>
        <v>0</v>
      </c>
      <c r="BE77" s="257">
        <f t="shared" si="179"/>
        <v>0</v>
      </c>
      <c r="BF77" s="257">
        <f t="shared" si="180"/>
        <v>0</v>
      </c>
      <c r="BG77" s="23">
        <f t="shared" si="180"/>
        <v>0</v>
      </c>
      <c r="BH77" s="257">
        <f t="shared" si="181"/>
        <v>0</v>
      </c>
      <c r="BI77" s="23">
        <f t="shared" si="182"/>
        <v>0</v>
      </c>
      <c r="BJ77" s="23">
        <f t="shared" si="182"/>
        <v>0</v>
      </c>
      <c r="BK77" s="257">
        <f t="shared" si="183"/>
        <v>0</v>
      </c>
      <c r="BL77" s="23">
        <f t="shared" si="184"/>
        <v>0</v>
      </c>
      <c r="BM77" s="23">
        <f t="shared" si="184"/>
        <v>0</v>
      </c>
      <c r="BN77" s="257">
        <f t="shared" si="184"/>
        <v>0</v>
      </c>
      <c r="BO77" s="466">
        <f t="shared" si="185"/>
        <v>0</v>
      </c>
      <c r="BP77" s="472"/>
      <c r="BQ77" s="23">
        <f t="shared" si="186"/>
        <v>0</v>
      </c>
      <c r="BR77" s="23" t="e">
        <f>E77+I77+M77+Q77+U77+Y77+#REF!</f>
        <v>#REF!</v>
      </c>
      <c r="BS77" s="466">
        <f t="shared" si="163"/>
        <v>0</v>
      </c>
      <c r="BT77" s="509">
        <f t="shared" si="187"/>
        <v>0</v>
      </c>
      <c r="BU77" s="466">
        <f t="shared" si="147"/>
        <v>0</v>
      </c>
    </row>
    <row r="78" spans="1:73" ht="12.6" customHeight="1">
      <c r="A78" s="503" t="s">
        <v>123</v>
      </c>
      <c r="B78" s="129">
        <f>D78+H78+L78+P78+T78+X78+AB78+AF78+AJ78+AN78+AR78+AV78</f>
        <v>0</v>
      </c>
      <c r="C78" s="257"/>
      <c r="D78" s="129"/>
      <c r="E78" s="129"/>
      <c r="F78" s="129"/>
      <c r="G78" s="509">
        <f t="shared" si="165"/>
        <v>0</v>
      </c>
      <c r="H78" s="129"/>
      <c r="I78" s="129"/>
      <c r="J78" s="129"/>
      <c r="K78" s="509">
        <f t="shared" si="166"/>
        <v>0</v>
      </c>
      <c r="L78" s="129"/>
      <c r="M78" s="129"/>
      <c r="N78" s="129"/>
      <c r="O78" s="509">
        <f>M78*(N78-C78)*67.28/10^7</f>
        <v>0</v>
      </c>
      <c r="P78" s="129"/>
      <c r="Q78" s="129"/>
      <c r="R78" s="129"/>
      <c r="S78" s="509">
        <f t="shared" si="167"/>
        <v>0</v>
      </c>
      <c r="T78" s="129"/>
      <c r="U78" s="129"/>
      <c r="V78" s="129">
        <f>(T78*U78)/10^6</f>
        <v>0</v>
      </c>
      <c r="W78" s="509">
        <f t="shared" si="168"/>
        <v>0</v>
      </c>
      <c r="X78" s="129"/>
      <c r="Y78" s="129"/>
      <c r="Z78" s="129"/>
      <c r="AA78" s="509">
        <f t="shared" si="169"/>
        <v>0</v>
      </c>
      <c r="AB78" s="129"/>
      <c r="AC78" s="129"/>
      <c r="AD78" s="129"/>
      <c r="AE78" s="509">
        <f t="shared" si="170"/>
        <v>0</v>
      </c>
      <c r="AF78" s="129"/>
      <c r="AG78" s="129"/>
      <c r="AH78" s="129"/>
      <c r="AI78" s="509">
        <f t="shared" si="171"/>
        <v>0</v>
      </c>
      <c r="AJ78" s="129"/>
      <c r="AK78" s="129"/>
      <c r="AL78" s="129"/>
      <c r="AM78" s="509">
        <f t="shared" si="172"/>
        <v>0</v>
      </c>
      <c r="AN78" s="129"/>
      <c r="AO78" s="129"/>
      <c r="AP78" s="129"/>
      <c r="AQ78" s="509">
        <f t="shared" si="173"/>
        <v>0</v>
      </c>
      <c r="AR78" s="129"/>
      <c r="AS78" s="129"/>
      <c r="AT78" s="129"/>
      <c r="AU78" s="509">
        <f t="shared" si="174"/>
        <v>0</v>
      </c>
      <c r="AV78" s="129"/>
      <c r="AW78" s="129"/>
      <c r="AX78" s="129"/>
      <c r="AY78" s="509">
        <f t="shared" si="175"/>
        <v>0</v>
      </c>
      <c r="AZ78" s="23">
        <f t="shared" si="176"/>
        <v>0</v>
      </c>
      <c r="BA78" s="23">
        <f t="shared" si="176"/>
        <v>0</v>
      </c>
      <c r="BB78" s="509">
        <f t="shared" si="177"/>
        <v>0</v>
      </c>
      <c r="BC78" s="23">
        <f t="shared" si="178"/>
        <v>0</v>
      </c>
      <c r="BD78" s="257">
        <f t="shared" si="178"/>
        <v>0</v>
      </c>
      <c r="BE78" s="257">
        <f t="shared" si="179"/>
        <v>0</v>
      </c>
      <c r="BF78" s="257">
        <f t="shared" si="180"/>
        <v>0</v>
      </c>
      <c r="BG78" s="23">
        <f t="shared" si="180"/>
        <v>0</v>
      </c>
      <c r="BH78" s="257">
        <f t="shared" si="181"/>
        <v>0</v>
      </c>
      <c r="BI78" s="23">
        <f t="shared" si="182"/>
        <v>0</v>
      </c>
      <c r="BJ78" s="23">
        <f t="shared" si="182"/>
        <v>0</v>
      </c>
      <c r="BK78" s="257">
        <f t="shared" si="183"/>
        <v>0</v>
      </c>
      <c r="BL78" s="23">
        <f t="shared" si="184"/>
        <v>0</v>
      </c>
      <c r="BM78" s="23">
        <f t="shared" si="184"/>
        <v>0</v>
      </c>
      <c r="BN78" s="257">
        <f t="shared" si="184"/>
        <v>0</v>
      </c>
      <c r="BO78" s="466">
        <f t="shared" si="185"/>
        <v>0</v>
      </c>
      <c r="BP78" s="472"/>
      <c r="BQ78" s="23">
        <f t="shared" si="186"/>
        <v>0</v>
      </c>
      <c r="BR78" s="23" t="e">
        <f>E78+I78+M78+Q78+U78+Y78+#REF!</f>
        <v>#REF!</v>
      </c>
      <c r="BS78" s="466">
        <f t="shared" si="163"/>
        <v>0</v>
      </c>
      <c r="BT78" s="509">
        <f t="shared" si="187"/>
        <v>0</v>
      </c>
      <c r="BU78" s="466">
        <f t="shared" si="147"/>
        <v>0</v>
      </c>
    </row>
    <row r="79" spans="1:73" ht="12.6" customHeight="1">
      <c r="A79" s="482" t="s">
        <v>108</v>
      </c>
      <c r="B79" s="457">
        <f>SUM(B73:B78)</f>
        <v>0</v>
      </c>
      <c r="C79" s="458"/>
      <c r="D79" s="457">
        <f>SUM(D73:D78)</f>
        <v>0</v>
      </c>
      <c r="E79" s="457">
        <f>SUM(E73:E78)</f>
        <v>0</v>
      </c>
      <c r="F79" s="457"/>
      <c r="G79" s="511">
        <f>SUM(G73:G78)</f>
        <v>0</v>
      </c>
      <c r="H79" s="457">
        <f>SUM(H73:H78)</f>
        <v>0</v>
      </c>
      <c r="I79" s="457"/>
      <c r="J79" s="457"/>
      <c r="K79" s="511">
        <f>SUM(K73:K78)</f>
        <v>0</v>
      </c>
      <c r="L79" s="457">
        <f>SUM(L73:L78)</f>
        <v>0</v>
      </c>
      <c r="M79" s="457">
        <f>SUM(M73:M78)</f>
        <v>0</v>
      </c>
      <c r="N79" s="457"/>
      <c r="O79" s="511">
        <f>SUM(O73:O78)</f>
        <v>0</v>
      </c>
      <c r="P79" s="457">
        <f>SUM(P73:P78)</f>
        <v>0</v>
      </c>
      <c r="Q79" s="457">
        <f>SUM(Q73:Q78)</f>
        <v>0</v>
      </c>
      <c r="R79" s="457"/>
      <c r="S79" s="511">
        <f t="shared" ref="S79:X79" si="188">SUM(S73:S78)</f>
        <v>0</v>
      </c>
      <c r="T79" s="457">
        <f t="shared" si="188"/>
        <v>0</v>
      </c>
      <c r="U79" s="457">
        <f t="shared" si="188"/>
        <v>0</v>
      </c>
      <c r="V79" s="457">
        <f t="shared" si="188"/>
        <v>0</v>
      </c>
      <c r="W79" s="511">
        <f t="shared" si="188"/>
        <v>0</v>
      </c>
      <c r="X79" s="457">
        <f t="shared" si="188"/>
        <v>0</v>
      </c>
      <c r="Y79" s="457">
        <f t="shared" ref="Y79" si="189">SUM(Y73:Y78)</f>
        <v>0</v>
      </c>
      <c r="Z79" s="457">
        <f>SUM(Z73:Z78)</f>
        <v>0</v>
      </c>
      <c r="AA79" s="511">
        <f t="shared" ref="AA79" si="190">SUM(AA73:AA78)</f>
        <v>0</v>
      </c>
      <c r="AB79" s="457">
        <f>SUM(AB73:AB78)</f>
        <v>0</v>
      </c>
      <c r="AC79" s="457">
        <f t="shared" ref="AC79" si="191">SUM(AC73:AC78)</f>
        <v>0</v>
      </c>
      <c r="AD79" s="457">
        <f>SUM(AD73:AD78)</f>
        <v>0</v>
      </c>
      <c r="AE79" s="511">
        <f t="shared" ref="AE79" si="192">SUM(AE73:AE78)</f>
        <v>0</v>
      </c>
      <c r="AF79" s="457">
        <f>SUM(AF73:AF78)</f>
        <v>0</v>
      </c>
      <c r="AG79" s="457">
        <f t="shared" ref="AG79" si="193">SUM(AG73:AG78)</f>
        <v>0</v>
      </c>
      <c r="AH79" s="457">
        <f>SUM(AH73:AH78)</f>
        <v>0</v>
      </c>
      <c r="AI79" s="511">
        <f t="shared" ref="AI79" si="194">SUM(AI73:AI78)</f>
        <v>0</v>
      </c>
      <c r="AJ79" s="457">
        <f>SUM(AJ73:AJ78)</f>
        <v>0</v>
      </c>
      <c r="AK79" s="457">
        <f t="shared" ref="AK79" si="195">SUM(AK73:AK78)</f>
        <v>0</v>
      </c>
      <c r="AL79" s="457">
        <f>SUM(AL73:AL78)</f>
        <v>0</v>
      </c>
      <c r="AM79" s="511">
        <f t="shared" ref="AM79" si="196">SUM(AM73:AM78)</f>
        <v>0</v>
      </c>
      <c r="AN79" s="457">
        <f>SUM(AN73:AN78)</f>
        <v>0</v>
      </c>
      <c r="AO79" s="457">
        <f t="shared" ref="AO79" si="197">SUM(AO73:AO78)</f>
        <v>0</v>
      </c>
      <c r="AP79" s="457">
        <f>SUM(AP73:AP78)</f>
        <v>0</v>
      </c>
      <c r="AQ79" s="511">
        <f t="shared" ref="AQ79" si="198">SUM(AQ73:AQ78)</f>
        <v>0</v>
      </c>
      <c r="AR79" s="457">
        <f>SUM(AR73:AR78)</f>
        <v>0</v>
      </c>
      <c r="AS79" s="457">
        <f t="shared" ref="AS79" si="199">SUM(AS73:AS78)</f>
        <v>0</v>
      </c>
      <c r="AT79" s="457">
        <f>SUM(AT73:AT78)</f>
        <v>0</v>
      </c>
      <c r="AU79" s="511">
        <f t="shared" ref="AU79" si="200">SUM(AU73:AU78)</f>
        <v>0</v>
      </c>
      <c r="AV79" s="457">
        <f>SUM(AV73:AV78)</f>
        <v>0</v>
      </c>
      <c r="AW79" s="457">
        <f t="shared" ref="AW79" si="201">SUM(AW73:AW78)</f>
        <v>0</v>
      </c>
      <c r="AX79" s="457">
        <f>SUM(AX73:AX78)</f>
        <v>0</v>
      </c>
      <c r="AY79" s="511">
        <f t="shared" ref="AY79" si="202">SUM(AY73:AY78)</f>
        <v>0</v>
      </c>
      <c r="AZ79" s="457">
        <f t="shared" ref="AZ79:BN79" si="203">SUM(AZ73:AZ78)</f>
        <v>0</v>
      </c>
      <c r="BA79" s="458">
        <f t="shared" si="203"/>
        <v>0</v>
      </c>
      <c r="BB79" s="511">
        <f t="shared" si="203"/>
        <v>0</v>
      </c>
      <c r="BC79" s="457">
        <f t="shared" si="203"/>
        <v>0</v>
      </c>
      <c r="BD79" s="458">
        <f t="shared" si="203"/>
        <v>0</v>
      </c>
      <c r="BE79" s="458">
        <f t="shared" si="203"/>
        <v>0</v>
      </c>
      <c r="BF79" s="458">
        <f t="shared" si="203"/>
        <v>0</v>
      </c>
      <c r="BG79" s="458">
        <f t="shared" si="203"/>
        <v>0</v>
      </c>
      <c r="BH79" s="458">
        <f t="shared" si="203"/>
        <v>0</v>
      </c>
      <c r="BI79" s="458">
        <f t="shared" si="203"/>
        <v>0</v>
      </c>
      <c r="BJ79" s="458">
        <f t="shared" si="203"/>
        <v>0</v>
      </c>
      <c r="BK79" s="458">
        <f t="shared" si="203"/>
        <v>0</v>
      </c>
      <c r="BL79" s="458">
        <f t="shared" si="203"/>
        <v>0</v>
      </c>
      <c r="BM79" s="458">
        <f t="shared" si="203"/>
        <v>0</v>
      </c>
      <c r="BN79" s="458">
        <f t="shared" si="203"/>
        <v>0</v>
      </c>
      <c r="BO79" s="525">
        <f>IFERROR(BM79/BL79,0)</f>
        <v>0</v>
      </c>
      <c r="BP79" s="472"/>
      <c r="BQ79" s="457">
        <f t="shared" ref="BQ79:BR79" si="204">SUM(BQ73:BQ78)</f>
        <v>0</v>
      </c>
      <c r="BR79" s="458" t="e">
        <f t="shared" si="204"/>
        <v>#REF!</v>
      </c>
      <c r="BS79" s="467">
        <f t="shared" si="163"/>
        <v>0</v>
      </c>
      <c r="BT79" s="530">
        <f t="shared" ref="BT79" si="205">SUM(BT73:BT78)</f>
        <v>0</v>
      </c>
      <c r="BU79" s="525">
        <f t="shared" si="147"/>
        <v>0</v>
      </c>
    </row>
    <row r="80" spans="1:73" s="4" customFormat="1" ht="12.6" customHeight="1">
      <c r="A80" s="508"/>
      <c r="B80" s="464"/>
      <c r="C80" s="465"/>
      <c r="D80" s="464"/>
      <c r="E80" s="464"/>
      <c r="F80" s="464"/>
      <c r="G80" s="516"/>
      <c r="H80" s="464"/>
      <c r="I80" s="464"/>
      <c r="J80" s="464"/>
      <c r="K80" s="516"/>
      <c r="L80" s="464"/>
      <c r="M80" s="464"/>
      <c r="N80" s="464"/>
      <c r="O80" s="516"/>
      <c r="P80" s="464"/>
      <c r="Q80" s="464"/>
      <c r="R80" s="464"/>
      <c r="S80" s="516"/>
      <c r="T80" s="464"/>
      <c r="U80" s="464"/>
      <c r="V80" s="464"/>
      <c r="W80" s="516"/>
      <c r="X80" s="464"/>
      <c r="Y80" s="464"/>
      <c r="Z80" s="464"/>
      <c r="AA80" s="516"/>
      <c r="AB80" s="464"/>
      <c r="AC80" s="464"/>
      <c r="AD80" s="464"/>
      <c r="AE80" s="516"/>
      <c r="AF80" s="464"/>
      <c r="AG80" s="464"/>
      <c r="AH80" s="464"/>
      <c r="AI80" s="516"/>
      <c r="AJ80" s="464"/>
      <c r="AK80" s="464"/>
      <c r="AL80" s="464"/>
      <c r="AM80" s="516"/>
      <c r="AN80" s="464"/>
      <c r="AO80" s="464"/>
      <c r="AP80" s="464"/>
      <c r="AQ80" s="516"/>
      <c r="AR80" s="464"/>
      <c r="AS80" s="464"/>
      <c r="AT80" s="464"/>
      <c r="AU80" s="516"/>
      <c r="AV80" s="464"/>
      <c r="AW80" s="464"/>
      <c r="AX80" s="464"/>
      <c r="AY80" s="516"/>
      <c r="AZ80" s="474"/>
      <c r="BA80" s="474"/>
      <c r="BB80" s="516"/>
      <c r="BC80" s="474"/>
      <c r="BD80" s="474"/>
      <c r="BE80" s="474"/>
      <c r="BF80" s="474"/>
      <c r="BG80" s="474"/>
      <c r="BH80" s="474"/>
      <c r="BI80" s="474"/>
      <c r="BJ80" s="474"/>
      <c r="BK80" s="474"/>
      <c r="BL80" s="474"/>
      <c r="BM80" s="474"/>
      <c r="BN80" s="474"/>
      <c r="BO80" s="527">
        <f t="shared" si="36"/>
        <v>0</v>
      </c>
      <c r="BP80" s="477"/>
      <c r="BQ80" s="464"/>
      <c r="BR80" s="465"/>
      <c r="BS80" s="470">
        <f t="shared" si="163"/>
        <v>0</v>
      </c>
      <c r="BT80" s="532"/>
      <c r="BU80" s="527">
        <f t="shared" si="147"/>
        <v>0</v>
      </c>
    </row>
    <row r="81" spans="1:73" ht="12.6" customHeight="1">
      <c r="A81" s="482" t="s">
        <v>233</v>
      </c>
      <c r="B81" s="457">
        <f>B71+B79</f>
        <v>16375</v>
      </c>
      <c r="C81" s="457"/>
      <c r="D81" s="457">
        <f t="shared" ref="D81:E81" si="206">D24+D54+D61+D65+D79</f>
        <v>360</v>
      </c>
      <c r="E81" s="457">
        <f t="shared" si="206"/>
        <v>341</v>
      </c>
      <c r="F81" s="483"/>
      <c r="G81" s="511">
        <f t="shared" ref="G81" si="207">G24+G54+G61+G65+G79</f>
        <v>2.1197748290000002</v>
      </c>
      <c r="H81" s="457">
        <f t="shared" ref="H81:AV81" si="208">H24+H54+H61+H65+H79</f>
        <v>1595</v>
      </c>
      <c r="I81" s="457">
        <f t="shared" si="208"/>
        <v>1326</v>
      </c>
      <c r="J81" s="457"/>
      <c r="K81" s="511">
        <f t="shared" ref="K81" si="209">K24+K54+K61+K65+K79</f>
        <v>4.3154467638999989</v>
      </c>
      <c r="L81" s="457">
        <f t="shared" si="208"/>
        <v>1011</v>
      </c>
      <c r="M81" s="457">
        <f t="shared" si="208"/>
        <v>365</v>
      </c>
      <c r="N81" s="457"/>
      <c r="O81" s="511">
        <f t="shared" ref="O81" si="210">O24+O54+O61+O65+O79</f>
        <v>1.8673434245714287</v>
      </c>
      <c r="P81" s="457">
        <f t="shared" si="208"/>
        <v>2033</v>
      </c>
      <c r="Q81" s="457">
        <f t="shared" ref="Q81" si="211">Q24+Q54+Q61+Q65+Q79</f>
        <v>349</v>
      </c>
      <c r="R81" s="457"/>
      <c r="S81" s="511">
        <f t="shared" ref="S81" si="212">S24+S54+S61+S65+S79</f>
        <v>1.7490883200000003</v>
      </c>
      <c r="T81" s="457">
        <f t="shared" si="208"/>
        <v>1000</v>
      </c>
      <c r="U81" s="457">
        <f t="shared" si="208"/>
        <v>1417</v>
      </c>
      <c r="V81" s="457">
        <f t="shared" si="208"/>
        <v>828</v>
      </c>
      <c r="W81" s="511">
        <f t="shared" si="208"/>
        <v>9.0497525460000006</v>
      </c>
      <c r="X81" s="457">
        <f t="shared" si="208"/>
        <v>2123</v>
      </c>
      <c r="Y81" s="457">
        <f t="shared" ref="Y81" si="213">Y24+Y54+Y61+Y65+Y79</f>
        <v>552</v>
      </c>
      <c r="Z81" s="457">
        <f t="shared" si="208"/>
        <v>0</v>
      </c>
      <c r="AA81" s="511">
        <f t="shared" ref="AA81" si="214">AA24+AA54+AA61+AA65+AA79</f>
        <v>4.1133418326000006</v>
      </c>
      <c r="AB81" s="457">
        <f t="shared" si="208"/>
        <v>973</v>
      </c>
      <c r="AC81" s="457">
        <f t="shared" si="208"/>
        <v>304</v>
      </c>
      <c r="AD81" s="457">
        <f t="shared" ref="AD81:AE81" si="215">AD24+AD54+AD61+AD65+AD79</f>
        <v>0</v>
      </c>
      <c r="AE81" s="511">
        <f t="shared" si="215"/>
        <v>1.8974733241985251</v>
      </c>
      <c r="AF81" s="457">
        <f t="shared" si="208"/>
        <v>2028</v>
      </c>
      <c r="AG81" s="457">
        <f t="shared" ref="AG81:AI81" si="216">AG24+AG54+AG61+AG65+AG79</f>
        <v>314</v>
      </c>
      <c r="AH81" s="457">
        <f t="shared" si="216"/>
        <v>4238</v>
      </c>
      <c r="AI81" s="511">
        <f t="shared" si="216"/>
        <v>1.4603838119676675</v>
      </c>
      <c r="AJ81" s="457">
        <f t="shared" si="208"/>
        <v>1108</v>
      </c>
      <c r="AK81" s="457">
        <f t="shared" si="208"/>
        <v>310</v>
      </c>
      <c r="AL81" s="457">
        <f t="shared" si="208"/>
        <v>0</v>
      </c>
      <c r="AM81" s="511">
        <f t="shared" si="208"/>
        <v>2.2091088856079808</v>
      </c>
      <c r="AN81" s="457">
        <f t="shared" si="208"/>
        <v>1088</v>
      </c>
      <c r="AO81" s="457">
        <f t="shared" ref="AO81:AQ81" si="217">AO24+AO54+AO61+AO65+AO79</f>
        <v>931</v>
      </c>
      <c r="AP81" s="457">
        <f t="shared" si="217"/>
        <v>737</v>
      </c>
      <c r="AQ81" s="511">
        <f t="shared" si="217"/>
        <v>7.3454588735361401</v>
      </c>
      <c r="AR81" s="457">
        <f t="shared" si="208"/>
        <v>2033</v>
      </c>
      <c r="AS81" s="457">
        <f t="shared" si="208"/>
        <v>602</v>
      </c>
      <c r="AT81" s="457">
        <f t="shared" si="208"/>
        <v>5139</v>
      </c>
      <c r="AU81" s="511">
        <f t="shared" si="208"/>
        <v>1.8673113154756766</v>
      </c>
      <c r="AV81" s="457">
        <f t="shared" si="208"/>
        <v>1023</v>
      </c>
      <c r="AW81" s="457">
        <f t="shared" ref="AW81:AY81" si="218">AW24+AW54+AW61+AW65+AW79</f>
        <v>0</v>
      </c>
      <c r="AX81" s="457">
        <f t="shared" si="218"/>
        <v>0</v>
      </c>
      <c r="AY81" s="511">
        <f t="shared" si="218"/>
        <v>0</v>
      </c>
      <c r="AZ81" s="458">
        <f t="shared" ref="AZ81:BA81" si="219">+D81+H81+L81</f>
        <v>2966</v>
      </c>
      <c r="BA81" s="458">
        <f t="shared" si="219"/>
        <v>2032</v>
      </c>
      <c r="BB81" s="511">
        <f>+G81+K81+O81</f>
        <v>8.3025650174714283</v>
      </c>
      <c r="BC81" s="458">
        <f>+P81+T81+X81</f>
        <v>5156</v>
      </c>
      <c r="BD81" s="458">
        <f>+Q81+U81+Y81</f>
        <v>2318</v>
      </c>
      <c r="BE81" s="458">
        <f>S81+W81+AA81</f>
        <v>14.912182698600002</v>
      </c>
      <c r="BF81" s="458">
        <f>AB81+AF81+AJ81</f>
        <v>4109</v>
      </c>
      <c r="BG81" s="458">
        <f>AC81+AG81+AK81</f>
        <v>928</v>
      </c>
      <c r="BH81" s="458">
        <f>AE81+AI81+AM81</f>
        <v>5.5669660217741734</v>
      </c>
      <c r="BI81" s="458">
        <f>+AN81+AR81+AV81</f>
        <v>4144</v>
      </c>
      <c r="BJ81" s="458">
        <f>+AO81+AS81+AW81</f>
        <v>1533</v>
      </c>
      <c r="BK81" s="458">
        <f>AQ81+AU81+AY81</f>
        <v>9.2127701890118168</v>
      </c>
      <c r="BL81" s="458">
        <f>AZ81+BC81+BF81+BI81</f>
        <v>16375</v>
      </c>
      <c r="BM81" s="458">
        <f t="shared" ref="BM81:BN81" si="220">BA81+BD81+BG81+BJ81</f>
        <v>6811</v>
      </c>
      <c r="BN81" s="458">
        <f t="shared" si="220"/>
        <v>37.99448392685742</v>
      </c>
      <c r="BO81" s="525">
        <f>IFERROR(BM81/BL81,0)</f>
        <v>0.41593893129770992</v>
      </c>
      <c r="BP81" s="472"/>
      <c r="BQ81" s="457">
        <f t="shared" ref="BQ81:BR81" si="221">BQ24+BQ54+BQ61+BQ65+BQ79</f>
        <v>9095</v>
      </c>
      <c r="BR81" s="457" t="e">
        <f t="shared" si="221"/>
        <v>#REF!</v>
      </c>
      <c r="BS81" s="467">
        <f t="shared" si="163"/>
        <v>0</v>
      </c>
      <c r="BT81" s="530">
        <f t="shared" ref="BT81" si="222">BT24+BT54+BT61+BT65+BT79</f>
        <v>23.214747716071425</v>
      </c>
      <c r="BU81" s="525">
        <f t="shared" si="147"/>
        <v>0</v>
      </c>
    </row>
    <row r="82" spans="1:73" ht="12.6" customHeight="1">
      <c r="BJ82" s="21"/>
      <c r="BK82" s="21"/>
      <c r="BL82" s="21"/>
      <c r="BM82" s="21"/>
      <c r="BN82" s="21"/>
    </row>
    <row r="83" spans="1:73" ht="12.6" customHeight="1">
      <c r="A83" s="482" t="s">
        <v>241</v>
      </c>
      <c r="B83" s="457"/>
      <c r="C83" s="457"/>
      <c r="D83" s="457"/>
      <c r="E83" s="457"/>
      <c r="F83" s="457"/>
      <c r="G83" s="511">
        <f>SUM(G6:G14)+SUM(G16:G20)+G31+G33+G39+G40+G47+G41</f>
        <v>0.45683767479999993</v>
      </c>
      <c r="H83" s="457"/>
      <c r="I83" s="457"/>
      <c r="J83" s="457"/>
      <c r="K83" s="511">
        <f>SUM(K6:K14)+SUM(K16:K20)+K31+K33+K39+K40+K47+K41</f>
        <v>3.2838712062999997</v>
      </c>
      <c r="L83" s="457"/>
      <c r="M83" s="457"/>
      <c r="N83" s="457"/>
      <c r="O83" s="511">
        <f>SUM(O6:O14)+SUM(O16:O20)+O31+O33+O39+O40+O47+O41</f>
        <v>0.46716338960000003</v>
      </c>
      <c r="P83" s="457"/>
      <c r="Q83" s="457"/>
      <c r="R83" s="457"/>
      <c r="S83" s="511">
        <f>SUM(S6:S14)+SUM(S16:S20)+S31+S33+S39+S40+S47+S41</f>
        <v>0.51955008000000003</v>
      </c>
      <c r="T83" s="457"/>
      <c r="U83" s="457"/>
      <c r="V83" s="457"/>
      <c r="W83" s="511">
        <f>SUM(W6:W14)+SUM(W16:W20)+W31+W33+W39+W40+W47+W41</f>
        <v>6.9247116599999998</v>
      </c>
      <c r="X83" s="457"/>
      <c r="Y83" s="457"/>
      <c r="Z83" s="457"/>
      <c r="AA83" s="511">
        <f>SUM(AA6:AA14)+SUM(AA16:AA20)+AA31+AA33+AA39+AA40+AA47+AA41</f>
        <v>0.27424261799999999</v>
      </c>
      <c r="AB83" s="457"/>
      <c r="AC83" s="457"/>
      <c r="AD83" s="457"/>
      <c r="AE83" s="511">
        <f>SUM(AE6:AE14)+SUM(AE16:AE20)+AE31+AE33+AE39+AE40+AE47+AE41</f>
        <v>0.79971901200000006</v>
      </c>
      <c r="AF83" s="458"/>
      <c r="AG83" s="457"/>
      <c r="AH83" s="457"/>
      <c r="AI83" s="511">
        <f>SUM(AI6:AI14)+SUM(AI16:AI20)+AI31+AI33+AI39+AI40+AI47+AI41</f>
        <v>0.82932148600000011</v>
      </c>
      <c r="AJ83" s="458"/>
      <c r="AK83" s="457"/>
      <c r="AL83" s="457"/>
      <c r="AM83" s="511">
        <f>SUM(AM6:AM14)+SUM(AM16:AM20)+AM31+AM33+AM39+AM40+AM47+AM41</f>
        <v>0.36039182099994704</v>
      </c>
      <c r="AN83" s="458"/>
      <c r="AO83" s="457"/>
      <c r="AP83" s="457"/>
      <c r="AQ83" s="511">
        <f>SUM(AQ6:AQ14)+SUM(AQ16:AQ20)+AQ31+AQ33+AQ39+AQ40+AQ47+AQ41</f>
        <v>2.3333050881774722</v>
      </c>
      <c r="AR83" s="458">
        <f t="shared" ref="AR83:AV85" si="223">AR26+AR56+AR63+AR67+AR81</f>
        <v>4066</v>
      </c>
      <c r="AS83" s="457"/>
      <c r="AT83" s="457"/>
      <c r="AU83" s="511">
        <f>SUM(AU6:AU14)+SUM(AU16:AU20)+AU31+AU33+AU39+AU40+AU47+AU41</f>
        <v>1.2026016660000001</v>
      </c>
      <c r="AV83" s="458">
        <f t="shared" si="223"/>
        <v>2046</v>
      </c>
      <c r="AW83" s="457"/>
      <c r="AX83" s="457"/>
      <c r="AY83" s="511">
        <f>SUM(AY6:AY14)+SUM(AY16:AY20)+AY31+AY33+AY39+AY40+AY47+AY41</f>
        <v>0</v>
      </c>
      <c r="AZ83" s="458">
        <f t="shared" ref="AZ83:BA85" si="224">+D83+H83+L83</f>
        <v>0</v>
      </c>
      <c r="BA83" s="458">
        <f t="shared" si="224"/>
        <v>0</v>
      </c>
      <c r="BB83" s="511">
        <f t="shared" ref="BB83:BB85" si="225">+G83+K83+O83</f>
        <v>4.2078722706999994</v>
      </c>
      <c r="BC83" s="458">
        <f t="shared" ref="BC83:BD85" si="226">+P83+T83+X83</f>
        <v>0</v>
      </c>
      <c r="BD83" s="458">
        <f t="shared" si="226"/>
        <v>0</v>
      </c>
      <c r="BE83" s="458">
        <f t="shared" ref="BE83:BE85" si="227">S83+W83+AA83</f>
        <v>7.7185043579999997</v>
      </c>
      <c r="BF83" s="458">
        <f t="shared" ref="BF83:BG85" si="228">AB83+AF83+AJ83</f>
        <v>0</v>
      </c>
      <c r="BG83" s="458">
        <f t="shared" si="228"/>
        <v>0</v>
      </c>
      <c r="BH83" s="458">
        <f t="shared" ref="BH83:BH85" si="229">AE83+AI83+AM83</f>
        <v>1.9894323189999472</v>
      </c>
      <c r="BI83" s="458">
        <f t="shared" ref="BI83:BJ85" si="230">+AN83+AR83+AV83</f>
        <v>6112</v>
      </c>
      <c r="BJ83" s="458">
        <f t="shared" si="230"/>
        <v>0</v>
      </c>
      <c r="BK83" s="458">
        <f t="shared" ref="BK83:BK85" si="231">AQ83+AU83+AY83</f>
        <v>3.5359067541774722</v>
      </c>
      <c r="BL83" s="458">
        <f t="shared" ref="BL83:BN85" si="232">AZ83+BC83+BF83+BI83</f>
        <v>6112</v>
      </c>
      <c r="BM83" s="458">
        <f t="shared" si="232"/>
        <v>0</v>
      </c>
      <c r="BN83" s="458">
        <f t="shared" si="232"/>
        <v>17.451715701877418</v>
      </c>
      <c r="BO83" s="525">
        <f t="shared" ref="BO83:BO85" si="233">IFERROR(BM83/BL83,0)</f>
        <v>0</v>
      </c>
      <c r="BQ83" s="457"/>
      <c r="BR83" s="457"/>
      <c r="BS83" s="525"/>
      <c r="BT83" s="511">
        <f>SUM(BT6:BT14)+SUM(BT16:BT20)+BT31+BT33+BT39+BT40+BT47+BT41</f>
        <v>11.9263766287</v>
      </c>
      <c r="BU83" s="525"/>
    </row>
    <row r="84" spans="1:73" ht="12.6" customHeight="1">
      <c r="AF84" s="21"/>
      <c r="AJ84" s="21"/>
      <c r="AN84" s="21"/>
      <c r="BJ84" s="21"/>
      <c r="BK84" s="21"/>
      <c r="BL84" s="21"/>
      <c r="BM84" s="21"/>
      <c r="BN84" s="21"/>
    </row>
    <row r="85" spans="1:73" ht="12.6" customHeight="1">
      <c r="A85" s="482" t="s">
        <v>242</v>
      </c>
      <c r="B85" s="457"/>
      <c r="C85" s="457"/>
      <c r="D85" s="457"/>
      <c r="E85" s="457"/>
      <c r="F85" s="457"/>
      <c r="G85" s="530">
        <f>G81-G83</f>
        <v>1.6629371542000002</v>
      </c>
      <c r="H85" s="457"/>
      <c r="I85" s="457"/>
      <c r="J85" s="457"/>
      <c r="K85" s="530">
        <f>K81-K83</f>
        <v>1.0315755575999992</v>
      </c>
      <c r="L85" s="457"/>
      <c r="M85" s="457"/>
      <c r="N85" s="457"/>
      <c r="O85" s="530">
        <f>O81-O83</f>
        <v>1.4001800349714286</v>
      </c>
      <c r="P85" s="457"/>
      <c r="Q85" s="457"/>
      <c r="R85" s="457"/>
      <c r="S85" s="530">
        <f>S81-S83</f>
        <v>1.2295382400000001</v>
      </c>
      <c r="T85" s="457"/>
      <c r="U85" s="457"/>
      <c r="V85" s="457"/>
      <c r="W85" s="530">
        <f>W81-W83</f>
        <v>2.1250408860000007</v>
      </c>
      <c r="X85" s="457"/>
      <c r="Y85" s="457"/>
      <c r="Z85" s="457"/>
      <c r="AA85" s="530">
        <f>AA81-AA83</f>
        <v>3.8390992146000005</v>
      </c>
      <c r="AB85" s="457"/>
      <c r="AC85" s="457"/>
      <c r="AD85" s="457"/>
      <c r="AE85" s="530">
        <f>AE81-AE83</f>
        <v>1.0977543121985249</v>
      </c>
      <c r="AF85" s="458"/>
      <c r="AG85" s="457"/>
      <c r="AH85" s="457"/>
      <c r="AI85" s="530">
        <f>AI81-AI83</f>
        <v>0.63106232596766743</v>
      </c>
      <c r="AJ85" s="458"/>
      <c r="AK85" s="457"/>
      <c r="AL85" s="457"/>
      <c r="AM85" s="530">
        <f>AM81-AM83</f>
        <v>1.8487170646080338</v>
      </c>
      <c r="AN85" s="458"/>
      <c r="AO85" s="457"/>
      <c r="AP85" s="457"/>
      <c r="AQ85" s="530">
        <f>AQ81-AQ83</f>
        <v>5.0121537853586684</v>
      </c>
      <c r="AR85" s="458">
        <f t="shared" si="223"/>
        <v>4066</v>
      </c>
      <c r="AS85" s="457"/>
      <c r="AT85" s="457"/>
      <c r="AU85" s="530">
        <f>AU81-AU83</f>
        <v>0.66470964947567657</v>
      </c>
      <c r="AV85" s="458">
        <f t="shared" si="223"/>
        <v>2046</v>
      </c>
      <c r="AW85" s="457"/>
      <c r="AX85" s="457"/>
      <c r="AY85" s="530">
        <f>AY81-AY83</f>
        <v>0</v>
      </c>
      <c r="AZ85" s="458">
        <f t="shared" si="224"/>
        <v>0</v>
      </c>
      <c r="BA85" s="458">
        <f t="shared" si="224"/>
        <v>0</v>
      </c>
      <c r="BB85" s="511">
        <f t="shared" si="225"/>
        <v>4.094692746771428</v>
      </c>
      <c r="BC85" s="458">
        <f t="shared" si="226"/>
        <v>0</v>
      </c>
      <c r="BD85" s="458">
        <f t="shared" si="226"/>
        <v>0</v>
      </c>
      <c r="BE85" s="458">
        <f t="shared" si="227"/>
        <v>7.1936783406000018</v>
      </c>
      <c r="BF85" s="458">
        <f t="shared" si="228"/>
        <v>0</v>
      </c>
      <c r="BG85" s="458">
        <f t="shared" si="228"/>
        <v>0</v>
      </c>
      <c r="BH85" s="458">
        <f t="shared" si="229"/>
        <v>3.5775337027742262</v>
      </c>
      <c r="BI85" s="458">
        <f t="shared" si="230"/>
        <v>6112</v>
      </c>
      <c r="BJ85" s="458">
        <f t="shared" si="230"/>
        <v>0</v>
      </c>
      <c r="BK85" s="458">
        <f t="shared" si="231"/>
        <v>5.6768634348343454</v>
      </c>
      <c r="BL85" s="458">
        <f t="shared" si="232"/>
        <v>6112</v>
      </c>
      <c r="BM85" s="458">
        <f t="shared" si="232"/>
        <v>0</v>
      </c>
      <c r="BN85" s="458">
        <f t="shared" si="232"/>
        <v>20.542768224980001</v>
      </c>
      <c r="BO85" s="525">
        <f t="shared" si="233"/>
        <v>0</v>
      </c>
      <c r="BQ85" s="457"/>
      <c r="BR85" s="457"/>
      <c r="BS85" s="525"/>
      <c r="BT85" s="530">
        <f>BT81-BT83</f>
        <v>11.288371087371425</v>
      </c>
      <c r="BU85" s="525"/>
    </row>
  </sheetData>
  <mergeCells count="19">
    <mergeCell ref="T4:W4"/>
    <mergeCell ref="AV4:AY4"/>
    <mergeCell ref="AF4:AI4"/>
    <mergeCell ref="AJ4:AM4"/>
    <mergeCell ref="AN4:AQ4"/>
    <mergeCell ref="AR4:AU4"/>
    <mergeCell ref="A4:A5"/>
    <mergeCell ref="D4:G4"/>
    <mergeCell ref="H4:K4"/>
    <mergeCell ref="P4:S4"/>
    <mergeCell ref="L4:O4"/>
    <mergeCell ref="AZ4:BB4"/>
    <mergeCell ref="BC4:BE4"/>
    <mergeCell ref="BF4:BH4"/>
    <mergeCell ref="BQ4:BT4"/>
    <mergeCell ref="X4:AA4"/>
    <mergeCell ref="AB4:AE4"/>
    <mergeCell ref="BI4:BK4"/>
    <mergeCell ref="BL4:BO4"/>
  </mergeCells>
  <phoneticPr fontId="7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85"/>
  <sheetViews>
    <sheetView workbookViewId="0">
      <pane xSplit="2" ySplit="5" topLeftCell="AY63" activePane="bottomRight" state="frozen"/>
      <selection activeCell="J5" sqref="J5"/>
      <selection pane="topRight" activeCell="J5" sqref="J5"/>
      <selection pane="bottomLeft" activeCell="J5" sqref="J5"/>
      <selection pane="bottomRight" activeCell="BL87" sqref="BL87"/>
    </sheetView>
  </sheetViews>
  <sheetFormatPr defaultRowHeight="12.6" customHeight="1"/>
  <cols>
    <col min="1" max="1" width="20.42578125" customWidth="1"/>
    <col min="2" max="3" width="9.42578125" customWidth="1"/>
    <col min="4" max="11" width="9.28515625" customWidth="1"/>
    <col min="12" max="51" width="9.140625" customWidth="1"/>
    <col min="52" max="61" width="9.140625" style="21" customWidth="1"/>
    <col min="62" max="67" width="9.140625" customWidth="1"/>
    <col min="68" max="68" width="4.28515625" customWidth="1"/>
    <col min="69" max="69" width="10.28515625" bestFit="1" customWidth="1"/>
    <col min="70" max="70" width="9.28515625" bestFit="1" customWidth="1"/>
    <col min="72" max="73" width="9.140625" customWidth="1"/>
  </cols>
  <sheetData>
    <row r="1" spans="1:73" s="21" customFormat="1" ht="12.6" customHeight="1">
      <c r="A1" s="28" t="s">
        <v>102</v>
      </c>
    </row>
    <row r="2" spans="1:73" ht="15.75" customHeight="1">
      <c r="A2" s="85" t="s">
        <v>139</v>
      </c>
      <c r="C2" s="53"/>
      <c r="H2" s="21"/>
      <c r="I2" s="21"/>
      <c r="J2" s="21"/>
      <c r="K2" s="21"/>
      <c r="L2" s="53"/>
      <c r="M2" s="53"/>
      <c r="N2" s="53"/>
      <c r="O2" s="53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</row>
    <row r="3" spans="1:73" ht="12.6" customHeight="1">
      <c r="A3" s="20"/>
      <c r="B3" s="53"/>
      <c r="C3" s="53"/>
      <c r="D3" s="53"/>
      <c r="E3" s="53"/>
      <c r="F3" s="53"/>
      <c r="G3" s="53"/>
      <c r="L3" s="53"/>
      <c r="M3" s="53"/>
      <c r="N3" s="53"/>
      <c r="O3" s="53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</row>
    <row r="4" spans="1:73" s="1" customFormat="1" ht="12.6" customHeight="1">
      <c r="A4" s="545" t="s">
        <v>10</v>
      </c>
      <c r="B4" s="490" t="s">
        <v>134</v>
      </c>
      <c r="C4" s="490"/>
      <c r="D4" s="544">
        <v>42461</v>
      </c>
      <c r="E4" s="544"/>
      <c r="F4" s="544"/>
      <c r="G4" s="544"/>
      <c r="H4" s="544">
        <f>D4+31</f>
        <v>42492</v>
      </c>
      <c r="I4" s="544"/>
      <c r="J4" s="544"/>
      <c r="K4" s="544"/>
      <c r="L4" s="544">
        <f>H4+31</f>
        <v>42523</v>
      </c>
      <c r="M4" s="544"/>
      <c r="N4" s="544"/>
      <c r="O4" s="544"/>
      <c r="P4" s="544">
        <f>L4+31</f>
        <v>42554</v>
      </c>
      <c r="Q4" s="544"/>
      <c r="R4" s="544"/>
      <c r="S4" s="544"/>
      <c r="T4" s="544">
        <f>P4+31</f>
        <v>42585</v>
      </c>
      <c r="U4" s="544"/>
      <c r="V4" s="544"/>
      <c r="W4" s="544"/>
      <c r="X4" s="544">
        <f>T4+31</f>
        <v>42616</v>
      </c>
      <c r="Y4" s="544"/>
      <c r="Z4" s="544"/>
      <c r="AA4" s="544"/>
      <c r="AB4" s="541">
        <f>X4+31</f>
        <v>42647</v>
      </c>
      <c r="AC4" s="542"/>
      <c r="AD4" s="542"/>
      <c r="AE4" s="543"/>
      <c r="AF4" s="541">
        <f>AB4+31</f>
        <v>42678</v>
      </c>
      <c r="AG4" s="542"/>
      <c r="AH4" s="542"/>
      <c r="AI4" s="543"/>
      <c r="AJ4" s="541">
        <f>AF4+31</f>
        <v>42709</v>
      </c>
      <c r="AK4" s="542"/>
      <c r="AL4" s="542"/>
      <c r="AM4" s="543"/>
      <c r="AN4" s="541">
        <f>AJ4+31</f>
        <v>42740</v>
      </c>
      <c r="AO4" s="542"/>
      <c r="AP4" s="542"/>
      <c r="AQ4" s="543"/>
      <c r="AR4" s="541">
        <f>AN4+31</f>
        <v>42771</v>
      </c>
      <c r="AS4" s="542"/>
      <c r="AT4" s="542"/>
      <c r="AU4" s="543"/>
      <c r="AV4" s="541">
        <f>AR4+31</f>
        <v>42802</v>
      </c>
      <c r="AW4" s="542"/>
      <c r="AX4" s="542"/>
      <c r="AY4" s="543"/>
      <c r="AZ4" s="541" t="s">
        <v>19</v>
      </c>
      <c r="BA4" s="542"/>
      <c r="BB4" s="543"/>
      <c r="BC4" s="541" t="s">
        <v>20</v>
      </c>
      <c r="BD4" s="542"/>
      <c r="BE4" s="543"/>
      <c r="BF4" s="541" t="s">
        <v>21</v>
      </c>
      <c r="BG4" s="542"/>
      <c r="BH4" s="543"/>
      <c r="BI4" s="544" t="s">
        <v>22</v>
      </c>
      <c r="BJ4" s="544"/>
      <c r="BK4" s="544"/>
      <c r="BL4" s="541" t="s">
        <v>246</v>
      </c>
      <c r="BM4" s="542"/>
      <c r="BN4" s="542"/>
      <c r="BO4" s="543"/>
      <c r="BP4" s="471"/>
      <c r="BQ4" s="541" t="s">
        <v>244</v>
      </c>
      <c r="BR4" s="542"/>
      <c r="BS4" s="542"/>
      <c r="BT4" s="543"/>
      <c r="BU4" s="524"/>
    </row>
    <row r="5" spans="1:73" s="1" customFormat="1" ht="36" customHeight="1">
      <c r="A5" s="545"/>
      <c r="B5" s="456" t="s">
        <v>68</v>
      </c>
      <c r="C5" s="456" t="s">
        <v>225</v>
      </c>
      <c r="D5" s="456" t="s">
        <v>229</v>
      </c>
      <c r="E5" s="456" t="s">
        <v>212</v>
      </c>
      <c r="F5" s="456" t="s">
        <v>213</v>
      </c>
      <c r="G5" s="456" t="s">
        <v>234</v>
      </c>
      <c r="H5" s="456" t="s">
        <v>229</v>
      </c>
      <c r="I5" s="456" t="s">
        <v>212</v>
      </c>
      <c r="J5" s="456" t="s">
        <v>213</v>
      </c>
      <c r="K5" s="456" t="s">
        <v>234</v>
      </c>
      <c r="L5" s="456" t="s">
        <v>229</v>
      </c>
      <c r="M5" s="456" t="s">
        <v>212</v>
      </c>
      <c r="N5" s="456" t="s">
        <v>213</v>
      </c>
      <c r="O5" s="456" t="s">
        <v>234</v>
      </c>
      <c r="P5" s="456" t="s">
        <v>229</v>
      </c>
      <c r="Q5" s="456" t="s">
        <v>212</v>
      </c>
      <c r="R5" s="456" t="s">
        <v>213</v>
      </c>
      <c r="S5" s="456" t="s">
        <v>234</v>
      </c>
      <c r="T5" s="456" t="s">
        <v>229</v>
      </c>
      <c r="U5" s="456" t="s">
        <v>212</v>
      </c>
      <c r="V5" s="456" t="s">
        <v>213</v>
      </c>
      <c r="W5" s="456" t="s">
        <v>234</v>
      </c>
      <c r="X5" s="456" t="s">
        <v>229</v>
      </c>
      <c r="Y5" s="456" t="s">
        <v>212</v>
      </c>
      <c r="Z5" s="456" t="s">
        <v>213</v>
      </c>
      <c r="AA5" s="456" t="s">
        <v>234</v>
      </c>
      <c r="AB5" s="456" t="s">
        <v>229</v>
      </c>
      <c r="AC5" s="456" t="s">
        <v>212</v>
      </c>
      <c r="AD5" s="456" t="s">
        <v>213</v>
      </c>
      <c r="AE5" s="456" t="s">
        <v>234</v>
      </c>
      <c r="AF5" s="456" t="s">
        <v>229</v>
      </c>
      <c r="AG5" s="456" t="s">
        <v>212</v>
      </c>
      <c r="AH5" s="456" t="s">
        <v>213</v>
      </c>
      <c r="AI5" s="456" t="s">
        <v>234</v>
      </c>
      <c r="AJ5" s="456" t="s">
        <v>229</v>
      </c>
      <c r="AK5" s="456" t="s">
        <v>212</v>
      </c>
      <c r="AL5" s="456" t="s">
        <v>213</v>
      </c>
      <c r="AM5" s="456" t="s">
        <v>234</v>
      </c>
      <c r="AN5" s="456" t="s">
        <v>229</v>
      </c>
      <c r="AO5" s="456" t="s">
        <v>212</v>
      </c>
      <c r="AP5" s="456" t="s">
        <v>213</v>
      </c>
      <c r="AQ5" s="456" t="s">
        <v>234</v>
      </c>
      <c r="AR5" s="456" t="s">
        <v>229</v>
      </c>
      <c r="AS5" s="456" t="s">
        <v>212</v>
      </c>
      <c r="AT5" s="456" t="s">
        <v>213</v>
      </c>
      <c r="AU5" s="456" t="s">
        <v>234</v>
      </c>
      <c r="AV5" s="456" t="s">
        <v>229</v>
      </c>
      <c r="AW5" s="456" t="s">
        <v>212</v>
      </c>
      <c r="AX5" s="456" t="s">
        <v>213</v>
      </c>
      <c r="AY5" s="456" t="s">
        <v>234</v>
      </c>
      <c r="AZ5" s="456" t="s">
        <v>229</v>
      </c>
      <c r="BA5" s="456" t="s">
        <v>228</v>
      </c>
      <c r="BB5" s="456" t="s">
        <v>234</v>
      </c>
      <c r="BC5" s="456" t="s">
        <v>229</v>
      </c>
      <c r="BD5" s="456" t="s">
        <v>228</v>
      </c>
      <c r="BE5" s="456" t="s">
        <v>234</v>
      </c>
      <c r="BF5" s="456" t="s">
        <v>229</v>
      </c>
      <c r="BG5" s="456" t="s">
        <v>228</v>
      </c>
      <c r="BH5" s="456" t="s">
        <v>234</v>
      </c>
      <c r="BI5" s="456" t="s">
        <v>229</v>
      </c>
      <c r="BJ5" s="456" t="s">
        <v>228</v>
      </c>
      <c r="BK5" s="456" t="s">
        <v>234</v>
      </c>
      <c r="BL5" s="456" t="s">
        <v>229</v>
      </c>
      <c r="BM5" s="456" t="s">
        <v>228</v>
      </c>
      <c r="BN5" s="456" t="s">
        <v>234</v>
      </c>
      <c r="BO5" s="456" t="s">
        <v>232</v>
      </c>
      <c r="BP5" s="471"/>
      <c r="BQ5" s="456" t="s">
        <v>229</v>
      </c>
      <c r="BR5" s="456" t="s">
        <v>212</v>
      </c>
      <c r="BS5" s="456" t="s">
        <v>232</v>
      </c>
      <c r="BT5" s="456" t="s">
        <v>234</v>
      </c>
      <c r="BU5" s="456" t="s">
        <v>240</v>
      </c>
    </row>
    <row r="6" spans="1:73" ht="12.6" customHeight="1">
      <c r="A6" s="254" t="s">
        <v>43</v>
      </c>
      <c r="B6" s="129">
        <f t="shared" ref="B6:B23" si="0">D6+H6+L6+P6+T6+X6+AB6+AF6+AJ6+AN6+AR6+AV6</f>
        <v>0</v>
      </c>
      <c r="C6" s="257"/>
      <c r="D6" s="129">
        <v>0</v>
      </c>
      <c r="E6" s="129">
        <v>5</v>
      </c>
      <c r="F6" s="129">
        <v>1500.4</v>
      </c>
      <c r="G6" s="509">
        <f>E6*(F6-1070)*66.47/10^7</f>
        <v>1.4304344000000004E-2</v>
      </c>
      <c r="H6" s="129"/>
      <c r="I6" s="129">
        <v>12</v>
      </c>
      <c r="J6" s="129">
        <v>2260.4</v>
      </c>
      <c r="K6" s="509">
        <f>I6*(J6-1075)*66.91/10^7</f>
        <v>9.5178136800000007E-2</v>
      </c>
      <c r="L6" s="129"/>
      <c r="M6" s="129"/>
      <c r="N6" s="129"/>
      <c r="O6" s="509">
        <f t="shared" ref="O6:O22" si="1">M6*(N6-C6)*67.28/10^7</f>
        <v>0</v>
      </c>
      <c r="P6" s="129"/>
      <c r="Q6" s="129"/>
      <c r="R6" s="129"/>
      <c r="S6" s="509">
        <f>Q6*(R6-C6)*67.2/10^7</f>
        <v>0</v>
      </c>
      <c r="T6" s="129"/>
      <c r="U6" s="129">
        <v>20</v>
      </c>
      <c r="V6" s="129">
        <v>1743</v>
      </c>
      <c r="W6" s="509">
        <f>19*(V6-1001)*66.93/10^7</f>
        <v>9.4357914000000015E-2</v>
      </c>
      <c r="X6" s="129"/>
      <c r="Y6" s="129"/>
      <c r="Z6" s="129"/>
      <c r="AA6" s="509">
        <f>Y6*(Z6-C6)*66.69/10^7</f>
        <v>0</v>
      </c>
      <c r="AB6" s="129"/>
      <c r="AC6" s="129">
        <v>23</v>
      </c>
      <c r="AD6" s="129">
        <v>1841</v>
      </c>
      <c r="AE6" s="509">
        <f>AC6*(AD6-1349)*66.73/10^7</f>
        <v>7.5511668000000004E-2</v>
      </c>
      <c r="AF6" s="129"/>
      <c r="AG6" s="129">
        <v>2</v>
      </c>
      <c r="AH6" s="129">
        <v>2260</v>
      </c>
      <c r="AI6" s="509">
        <f>AG6*(AH6-1505)*67.58/10^7</f>
        <v>1.020458E-2</v>
      </c>
      <c r="AJ6" s="129"/>
      <c r="AK6" s="129">
        <v>20</v>
      </c>
      <c r="AL6" s="129">
        <v>1735</v>
      </c>
      <c r="AM6" s="509">
        <f>AK6*(AL6-1573)*67.91/10^7</f>
        <v>2.2002839999999999E-2</v>
      </c>
      <c r="AN6" s="129"/>
      <c r="AO6" s="129"/>
      <c r="AP6" s="129"/>
      <c r="AQ6" s="509">
        <f>AO6*(AP6-S6)*68.01/10^7</f>
        <v>0</v>
      </c>
      <c r="AR6" s="129"/>
      <c r="AS6" s="129"/>
      <c r="AT6" s="129"/>
      <c r="AU6" s="509">
        <f>AS6*(AT6-W6)*67.01/10^7</f>
        <v>0</v>
      </c>
      <c r="AV6" s="129"/>
      <c r="AW6" s="129"/>
      <c r="AX6" s="129"/>
      <c r="AY6" s="509">
        <f>AW6*(AX6-AA6)*66.69/10^7</f>
        <v>0</v>
      </c>
      <c r="AZ6" s="23">
        <f t="shared" ref="AZ6:BA23" si="2">+D6+H6+L6</f>
        <v>0</v>
      </c>
      <c r="BA6" s="23">
        <f t="shared" si="2"/>
        <v>17</v>
      </c>
      <c r="BB6" s="509">
        <f>+G6+K6+O6</f>
        <v>0.1094824808</v>
      </c>
      <c r="BC6" s="23">
        <f>+P6+T6+X6</f>
        <v>0</v>
      </c>
      <c r="BD6" s="23">
        <f>+Q6+U6+Y6</f>
        <v>20</v>
      </c>
      <c r="BE6" s="257">
        <f>S6+W6+AA6</f>
        <v>9.4357914000000015E-2</v>
      </c>
      <c r="BF6" s="23">
        <f>AB6+AF6+AJ6</f>
        <v>0</v>
      </c>
      <c r="BG6" s="23">
        <f>AC6+AG6+AK6</f>
        <v>45</v>
      </c>
      <c r="BH6" s="257">
        <f>AE6+AI6+AM6</f>
        <v>0.107719088</v>
      </c>
      <c r="BI6" s="23">
        <f>+AN6+AR6+AV6</f>
        <v>0</v>
      </c>
      <c r="BJ6" s="23">
        <f>+AO6+AS6+AW6</f>
        <v>0</v>
      </c>
      <c r="BK6" s="257">
        <f>AQ6+AU6+AY6</f>
        <v>0</v>
      </c>
      <c r="BL6" s="23">
        <f>AZ6+BC6+BF6+BI6</f>
        <v>0</v>
      </c>
      <c r="BM6" s="23">
        <f t="shared" ref="BM6:BN21" si="3">BA6+BD6+BG6+BJ6</f>
        <v>82</v>
      </c>
      <c r="BN6" s="23">
        <f t="shared" si="3"/>
        <v>0.31155948280000001</v>
      </c>
      <c r="BO6" s="466">
        <f>IFERROR(BM6/BL6,0)</f>
        <v>0</v>
      </c>
      <c r="BP6" s="472"/>
      <c r="BQ6" s="23">
        <f t="shared" ref="BQ6:BQ23" si="4">D6+H6+L6+P6+T6+X6+AB6</f>
        <v>0</v>
      </c>
      <c r="BR6" s="23" t="e">
        <f>E6+I6+M6+Q6+U6+Y6+#REF!</f>
        <v>#REF!</v>
      </c>
      <c r="BS6" s="466">
        <f t="shared" ref="BS6:BS23" si="5">IFERROR(BR6/BQ6,0)</f>
        <v>0</v>
      </c>
      <c r="BT6" s="509">
        <f t="shared" ref="BT6:BT23" si="6">G6+K6+O6+S6+W6+AA6</f>
        <v>0.20384039480000002</v>
      </c>
      <c r="BU6" s="466">
        <f t="shared" ref="BU6:BU37" si="7">IFERROR(BR6/B6,0)</f>
        <v>0</v>
      </c>
    </row>
    <row r="7" spans="1:73" ht="12.6" customHeight="1">
      <c r="A7" s="254" t="s">
        <v>129</v>
      </c>
      <c r="B7" s="129">
        <f t="shared" si="0"/>
        <v>0</v>
      </c>
      <c r="C7" s="257"/>
      <c r="D7" s="129">
        <v>0</v>
      </c>
      <c r="E7" s="129"/>
      <c r="F7" s="129"/>
      <c r="G7" s="509">
        <f t="shared" ref="G7:G23" si="8">E7*(F7-C7)*66.47/10^7</f>
        <v>0</v>
      </c>
      <c r="H7" s="129"/>
      <c r="I7" s="129"/>
      <c r="J7" s="129"/>
      <c r="K7" s="509">
        <f t="shared" ref="K7:K23" si="9">I7*(J7-C7)*66.91/10^7</f>
        <v>0</v>
      </c>
      <c r="L7" s="129"/>
      <c r="M7" s="129"/>
      <c r="N7" s="129"/>
      <c r="O7" s="509">
        <f t="shared" si="1"/>
        <v>0</v>
      </c>
      <c r="P7" s="129"/>
      <c r="Q7" s="129"/>
      <c r="R7" s="129"/>
      <c r="S7" s="509">
        <f t="shared" ref="S7:S23" si="10">Q7*(R7-C7)*67.2/10^7</f>
        <v>0</v>
      </c>
      <c r="T7" s="129"/>
      <c r="U7" s="129"/>
      <c r="V7" s="129">
        <f t="shared" ref="V7:V23" si="11">(T7*U7)/10^6</f>
        <v>0</v>
      </c>
      <c r="W7" s="509">
        <f t="shared" ref="W7:W23" si="12">U7*(V7-C7)*66.93/10^7</f>
        <v>0</v>
      </c>
      <c r="X7" s="129"/>
      <c r="Y7" s="129"/>
      <c r="Z7" s="129"/>
      <c r="AA7" s="509">
        <f>Y7*(Z7-C7)*66.69/10^7</f>
        <v>0</v>
      </c>
      <c r="AB7" s="129"/>
      <c r="AC7" s="129"/>
      <c r="AD7" s="129"/>
      <c r="AE7" s="509">
        <f>AC7*(AD7-G7)*66.73/10^7</f>
        <v>0</v>
      </c>
      <c r="AF7" s="129"/>
      <c r="AG7" s="129"/>
      <c r="AH7" s="129"/>
      <c r="AI7" s="509">
        <f>AG7*(AH7-K7)*67.58/10^7</f>
        <v>0</v>
      </c>
      <c r="AJ7" s="129"/>
      <c r="AK7" s="129"/>
      <c r="AL7" s="129"/>
      <c r="AM7" s="509">
        <f>AK7*(AL7-O7)*67.91/10^7</f>
        <v>0</v>
      </c>
      <c r="AN7" s="129"/>
      <c r="AO7" s="129"/>
      <c r="AP7" s="129"/>
      <c r="AQ7" s="509">
        <f>AO7*(AP7-S7)*68.01/10^7</f>
        <v>0</v>
      </c>
      <c r="AR7" s="129"/>
      <c r="AS7" s="129"/>
      <c r="AT7" s="129"/>
      <c r="AU7" s="509">
        <f>AS7*(AT7-W7)*67.01/10^7</f>
        <v>0</v>
      </c>
      <c r="AV7" s="129"/>
      <c r="AW7" s="129"/>
      <c r="AX7" s="129"/>
      <c r="AY7" s="509">
        <f>AW7*(AX7-AA7)*66.69/10^7</f>
        <v>0</v>
      </c>
      <c r="AZ7" s="23">
        <f t="shared" si="2"/>
        <v>0</v>
      </c>
      <c r="BA7" s="23">
        <f t="shared" si="2"/>
        <v>0</v>
      </c>
      <c r="BB7" s="509">
        <f t="shared" ref="BB7:BB23" si="13">+G7+K7+O7</f>
        <v>0</v>
      </c>
      <c r="BC7" s="23">
        <f t="shared" ref="BC7:BD23" si="14">+P7+T7+X7</f>
        <v>0</v>
      </c>
      <c r="BD7" s="257">
        <f t="shared" si="14"/>
        <v>0</v>
      </c>
      <c r="BE7" s="257">
        <f t="shared" ref="BE7:BE23" si="15">S7+W7+AA7</f>
        <v>0</v>
      </c>
      <c r="BF7" s="257">
        <f t="shared" ref="BF7:BG23" si="16">AB7+AF7+AJ7</f>
        <v>0</v>
      </c>
      <c r="BG7" s="23">
        <f t="shared" si="16"/>
        <v>0</v>
      </c>
      <c r="BH7" s="257">
        <f t="shared" ref="BH7:BH23" si="17">AE7+AI7+AM7</f>
        <v>0</v>
      </c>
      <c r="BI7" s="23">
        <f t="shared" ref="BI7:BJ23" si="18">+AN7+AR7+AV7</f>
        <v>0</v>
      </c>
      <c r="BJ7" s="23">
        <f t="shared" si="18"/>
        <v>0</v>
      </c>
      <c r="BK7" s="257">
        <f t="shared" ref="BK7:BK23" si="19">AQ7+AU7+AY7</f>
        <v>0</v>
      </c>
      <c r="BL7" s="23">
        <f t="shared" ref="BL7:BN23" si="20">AZ7+BC7+BF7+BI7</f>
        <v>0</v>
      </c>
      <c r="BM7" s="23">
        <f t="shared" si="3"/>
        <v>0</v>
      </c>
      <c r="BN7" s="257">
        <f t="shared" si="3"/>
        <v>0</v>
      </c>
      <c r="BO7" s="466">
        <f t="shared" ref="BO7:BO23" si="21">IFERROR(BM7/BL7,0)</f>
        <v>0</v>
      </c>
      <c r="BP7" s="472"/>
      <c r="BQ7" s="23">
        <f t="shared" si="4"/>
        <v>0</v>
      </c>
      <c r="BR7" s="23" t="e">
        <f>E7+I7+M7+Q7+U7+Y7+#REF!</f>
        <v>#REF!</v>
      </c>
      <c r="BS7" s="466">
        <f t="shared" si="5"/>
        <v>0</v>
      </c>
      <c r="BT7" s="509">
        <f t="shared" si="6"/>
        <v>0</v>
      </c>
      <c r="BU7" s="466">
        <f t="shared" si="7"/>
        <v>0</v>
      </c>
    </row>
    <row r="8" spans="1:73" ht="12.6" customHeight="1">
      <c r="A8" s="254" t="s">
        <v>44</v>
      </c>
      <c r="B8" s="129">
        <f t="shared" si="0"/>
        <v>0</v>
      </c>
      <c r="C8" s="257"/>
      <c r="D8" s="129">
        <v>0</v>
      </c>
      <c r="E8" s="129"/>
      <c r="F8" s="129"/>
      <c r="G8" s="509">
        <f t="shared" si="8"/>
        <v>0</v>
      </c>
      <c r="H8" s="129"/>
      <c r="I8" s="129"/>
      <c r="J8" s="129"/>
      <c r="K8" s="509">
        <f t="shared" si="9"/>
        <v>0</v>
      </c>
      <c r="L8" s="129"/>
      <c r="M8" s="129"/>
      <c r="N8" s="129"/>
      <c r="O8" s="509">
        <f t="shared" si="1"/>
        <v>0</v>
      </c>
      <c r="P8" s="129"/>
      <c r="Q8" s="129"/>
      <c r="R8" s="129"/>
      <c r="S8" s="509">
        <f t="shared" si="10"/>
        <v>0</v>
      </c>
      <c r="T8" s="129"/>
      <c r="U8" s="129"/>
      <c r="V8" s="129">
        <f t="shared" si="11"/>
        <v>0</v>
      </c>
      <c r="W8" s="509">
        <f t="shared" si="12"/>
        <v>0</v>
      </c>
      <c r="X8" s="129"/>
      <c r="Y8" s="129"/>
      <c r="Z8" s="129"/>
      <c r="AA8" s="509">
        <f t="shared" ref="AA8:AA23" si="22">Y8*(Z8-C8)*66.69/10^7</f>
        <v>0</v>
      </c>
      <c r="AB8" s="129"/>
      <c r="AC8" s="129"/>
      <c r="AD8" s="129"/>
      <c r="AE8" s="509">
        <f>AC8*(AD8-G8)*66.73/10^7</f>
        <v>0</v>
      </c>
      <c r="AF8" s="129"/>
      <c r="AG8" s="129"/>
      <c r="AH8" s="129"/>
      <c r="AI8" s="509">
        <f>AG8*(AH8-K8)*67.58/10^7</f>
        <v>0</v>
      </c>
      <c r="AJ8" s="129"/>
      <c r="AK8" s="129"/>
      <c r="AL8" s="129"/>
      <c r="AM8" s="509">
        <f>AK8*(AL8-O8)*67.91/10^7</f>
        <v>0</v>
      </c>
      <c r="AN8" s="129"/>
      <c r="AO8" s="129"/>
      <c r="AP8" s="129"/>
      <c r="AQ8" s="509">
        <f>AO8*(AP8-S8)*68.01/10^7</f>
        <v>0</v>
      </c>
      <c r="AR8" s="129"/>
      <c r="AS8" s="129"/>
      <c r="AT8" s="129"/>
      <c r="AU8" s="509">
        <f>AS8*(AT8-W8)*67.01/10^7</f>
        <v>0</v>
      </c>
      <c r="AV8" s="129"/>
      <c r="AW8" s="129"/>
      <c r="AX8" s="129"/>
      <c r="AY8" s="509">
        <f t="shared" ref="AY8:AY9" si="23">AW8*(AX8-AA8)*66.69/10^7</f>
        <v>0</v>
      </c>
      <c r="AZ8" s="23">
        <f t="shared" si="2"/>
        <v>0</v>
      </c>
      <c r="BA8" s="23">
        <f t="shared" si="2"/>
        <v>0</v>
      </c>
      <c r="BB8" s="509">
        <f t="shared" si="13"/>
        <v>0</v>
      </c>
      <c r="BC8" s="23">
        <f t="shared" si="14"/>
        <v>0</v>
      </c>
      <c r="BD8" s="257">
        <f t="shared" si="14"/>
        <v>0</v>
      </c>
      <c r="BE8" s="257">
        <f t="shared" si="15"/>
        <v>0</v>
      </c>
      <c r="BF8" s="257">
        <f t="shared" si="16"/>
        <v>0</v>
      </c>
      <c r="BG8" s="23">
        <f t="shared" si="16"/>
        <v>0</v>
      </c>
      <c r="BH8" s="257">
        <f t="shared" si="17"/>
        <v>0</v>
      </c>
      <c r="BI8" s="23">
        <f t="shared" si="18"/>
        <v>0</v>
      </c>
      <c r="BJ8" s="23">
        <f t="shared" si="18"/>
        <v>0</v>
      </c>
      <c r="BK8" s="257">
        <f t="shared" si="19"/>
        <v>0</v>
      </c>
      <c r="BL8" s="23">
        <f t="shared" si="20"/>
        <v>0</v>
      </c>
      <c r="BM8" s="23">
        <f t="shared" si="3"/>
        <v>0</v>
      </c>
      <c r="BN8" s="257">
        <f t="shared" si="3"/>
        <v>0</v>
      </c>
      <c r="BO8" s="466">
        <f t="shared" si="21"/>
        <v>0</v>
      </c>
      <c r="BP8" s="472"/>
      <c r="BQ8" s="23">
        <f t="shared" si="4"/>
        <v>0</v>
      </c>
      <c r="BR8" s="23" t="e">
        <f>E8+I8+M8+Q8+U8+Y8+#REF!</f>
        <v>#REF!</v>
      </c>
      <c r="BS8" s="466">
        <f t="shared" si="5"/>
        <v>0</v>
      </c>
      <c r="BT8" s="509">
        <f t="shared" si="6"/>
        <v>0</v>
      </c>
      <c r="BU8" s="466">
        <f t="shared" si="7"/>
        <v>0</v>
      </c>
    </row>
    <row r="9" spans="1:73" ht="12.6" customHeight="1">
      <c r="A9" s="254" t="s">
        <v>45</v>
      </c>
      <c r="B9" s="129">
        <f t="shared" si="0"/>
        <v>0</v>
      </c>
      <c r="C9" s="257"/>
      <c r="D9" s="129">
        <v>0</v>
      </c>
      <c r="E9" s="129"/>
      <c r="F9" s="129"/>
      <c r="G9" s="509">
        <f t="shared" si="8"/>
        <v>0</v>
      </c>
      <c r="H9" s="129"/>
      <c r="I9" s="129"/>
      <c r="J9" s="129"/>
      <c r="K9" s="509">
        <f t="shared" si="9"/>
        <v>0</v>
      </c>
      <c r="L9" s="129"/>
      <c r="M9" s="129"/>
      <c r="N9" s="129"/>
      <c r="O9" s="509">
        <f t="shared" si="1"/>
        <v>0</v>
      </c>
      <c r="P9" s="129"/>
      <c r="Q9" s="129"/>
      <c r="R9" s="129"/>
      <c r="S9" s="509">
        <f t="shared" si="10"/>
        <v>0</v>
      </c>
      <c r="T9" s="129"/>
      <c r="U9" s="129"/>
      <c r="V9" s="129">
        <f t="shared" si="11"/>
        <v>0</v>
      </c>
      <c r="W9" s="509">
        <f t="shared" si="12"/>
        <v>0</v>
      </c>
      <c r="X9" s="129"/>
      <c r="Y9" s="129"/>
      <c r="Z9" s="129"/>
      <c r="AA9" s="509">
        <f t="shared" si="22"/>
        <v>0</v>
      </c>
      <c r="AB9" s="129"/>
      <c r="AC9" s="129"/>
      <c r="AD9" s="129"/>
      <c r="AE9" s="509">
        <f>AC9*(AD9-G9)*66.73/10^7</f>
        <v>0</v>
      </c>
      <c r="AF9" s="129"/>
      <c r="AG9" s="129"/>
      <c r="AH9" s="129"/>
      <c r="AI9" s="509">
        <f>AG9*(AH9-K9)*67.58/10^7</f>
        <v>0</v>
      </c>
      <c r="AJ9" s="129"/>
      <c r="AK9" s="129"/>
      <c r="AL9" s="129"/>
      <c r="AM9" s="509">
        <f>AK9*(AL9-O9)*67.91/10^7</f>
        <v>0</v>
      </c>
      <c r="AN9" s="129"/>
      <c r="AO9" s="129"/>
      <c r="AP9" s="129"/>
      <c r="AQ9" s="509">
        <f>AO9*(AP9-S9)*68.01/10^7</f>
        <v>0</v>
      </c>
      <c r="AR9" s="129"/>
      <c r="AS9" s="129"/>
      <c r="AT9" s="129"/>
      <c r="AU9" s="509">
        <f>AS9*(AT9-W9)*67.01/10^7</f>
        <v>0</v>
      </c>
      <c r="AV9" s="129"/>
      <c r="AW9" s="129"/>
      <c r="AX9" s="129"/>
      <c r="AY9" s="509">
        <f t="shared" si="23"/>
        <v>0</v>
      </c>
      <c r="AZ9" s="23">
        <f t="shared" si="2"/>
        <v>0</v>
      </c>
      <c r="BA9" s="23">
        <f t="shared" si="2"/>
        <v>0</v>
      </c>
      <c r="BB9" s="509">
        <f t="shared" si="13"/>
        <v>0</v>
      </c>
      <c r="BC9" s="23">
        <f t="shared" si="14"/>
        <v>0</v>
      </c>
      <c r="BD9" s="257">
        <f t="shared" si="14"/>
        <v>0</v>
      </c>
      <c r="BE9" s="257">
        <f t="shared" si="15"/>
        <v>0</v>
      </c>
      <c r="BF9" s="257">
        <f t="shared" si="16"/>
        <v>0</v>
      </c>
      <c r="BG9" s="23">
        <f t="shared" si="16"/>
        <v>0</v>
      </c>
      <c r="BH9" s="257">
        <f t="shared" si="17"/>
        <v>0</v>
      </c>
      <c r="BI9" s="23">
        <f t="shared" si="18"/>
        <v>0</v>
      </c>
      <c r="BJ9" s="23">
        <f t="shared" si="18"/>
        <v>0</v>
      </c>
      <c r="BK9" s="257">
        <f t="shared" si="19"/>
        <v>0</v>
      </c>
      <c r="BL9" s="23">
        <f t="shared" si="20"/>
        <v>0</v>
      </c>
      <c r="BM9" s="23">
        <f t="shared" si="3"/>
        <v>0</v>
      </c>
      <c r="BN9" s="257">
        <f t="shared" si="3"/>
        <v>0</v>
      </c>
      <c r="BO9" s="466">
        <f t="shared" si="21"/>
        <v>0</v>
      </c>
      <c r="BP9" s="472"/>
      <c r="BQ9" s="23">
        <f t="shared" si="4"/>
        <v>0</v>
      </c>
      <c r="BR9" s="23" t="e">
        <f>E9+I9+M9+Q9+U9+Y9+#REF!</f>
        <v>#REF!</v>
      </c>
      <c r="BS9" s="466">
        <f t="shared" si="5"/>
        <v>0</v>
      </c>
      <c r="BT9" s="509">
        <f t="shared" si="6"/>
        <v>0</v>
      </c>
      <c r="BU9" s="466">
        <f t="shared" si="7"/>
        <v>0</v>
      </c>
    </row>
    <row r="10" spans="1:73" ht="12.6" customHeight="1">
      <c r="A10" s="254" t="s">
        <v>46</v>
      </c>
      <c r="B10" s="129">
        <f t="shared" si="0"/>
        <v>3000</v>
      </c>
      <c r="C10" s="257"/>
      <c r="D10" s="129">
        <v>170</v>
      </c>
      <c r="E10" s="129">
        <v>42</v>
      </c>
      <c r="F10" s="129">
        <v>1228.4000000000001</v>
      </c>
      <c r="G10" s="509">
        <f>E10*(F10-493)*66.47/10^7</f>
        <v>0.20530455960000002</v>
      </c>
      <c r="H10" s="129">
        <v>200</v>
      </c>
      <c r="I10" s="129">
        <v>136</v>
      </c>
      <c r="J10" s="129">
        <v>1230</v>
      </c>
      <c r="K10" s="509">
        <f>I10*(J10-898)*66.91/10^7</f>
        <v>0.30211203199999997</v>
      </c>
      <c r="L10" s="129">
        <v>250</v>
      </c>
      <c r="M10" s="129">
        <f>75-M23</f>
        <v>19</v>
      </c>
      <c r="N10" s="129">
        <v>1274.5999999999999</v>
      </c>
      <c r="O10" s="509">
        <f>19*(N10-876)*67.28/10^7</f>
        <v>5.0953835199999985E-2</v>
      </c>
      <c r="P10" s="129">
        <v>250</v>
      </c>
      <c r="Q10" s="129">
        <f>864-Q23</f>
        <v>260</v>
      </c>
      <c r="R10" s="129">
        <v>1348</v>
      </c>
      <c r="S10" s="509">
        <f>604*(R10-880)*67.2/10^7</f>
        <v>1.8995558400000003</v>
      </c>
      <c r="T10" s="129">
        <v>300</v>
      </c>
      <c r="U10" s="129"/>
      <c r="V10" s="129">
        <f t="shared" si="11"/>
        <v>0</v>
      </c>
      <c r="W10" s="509">
        <f t="shared" si="12"/>
        <v>0</v>
      </c>
      <c r="X10" s="129">
        <v>250</v>
      </c>
      <c r="Y10" s="129">
        <f>110-Y23</f>
        <v>36</v>
      </c>
      <c r="Z10" s="129">
        <v>1203</v>
      </c>
      <c r="AA10" s="509">
        <f>Y10*(Z10-998)*66.69/10^7</f>
        <v>4.9217219999999999E-2</v>
      </c>
      <c r="AB10" s="129">
        <v>300</v>
      </c>
      <c r="AC10" s="129">
        <v>116</v>
      </c>
      <c r="AD10" s="129">
        <v>1266</v>
      </c>
      <c r="AE10" s="509">
        <f>AC10*(AD10-765)*66.73/10^7</f>
        <v>0.38780806800000001</v>
      </c>
      <c r="AF10" s="129">
        <v>250</v>
      </c>
      <c r="AG10" s="129">
        <v>206</v>
      </c>
      <c r="AH10" s="129">
        <v>1257</v>
      </c>
      <c r="AI10" s="509">
        <f>AG10*(AH10-932)*67.58/10^7</f>
        <v>0.45244810000000002</v>
      </c>
      <c r="AJ10" s="129">
        <v>250</v>
      </c>
      <c r="AK10" s="129">
        <v>41</v>
      </c>
      <c r="AL10" s="129">
        <v>1303</v>
      </c>
      <c r="AM10" s="509">
        <f>AK10*(AL10-973)*67.91/10^7</f>
        <v>9.1882229999999995E-2</v>
      </c>
      <c r="AN10" s="129">
        <v>260</v>
      </c>
      <c r="AO10" s="129">
        <v>48</v>
      </c>
      <c r="AP10" s="129">
        <v>1338</v>
      </c>
      <c r="AQ10" s="509">
        <f>AO10*(AP10-1021)*68.01/10^7</f>
        <v>0.103484016</v>
      </c>
      <c r="AR10" s="129">
        <v>260</v>
      </c>
      <c r="AS10" s="129">
        <v>84</v>
      </c>
      <c r="AT10" s="129">
        <v>1334</v>
      </c>
      <c r="AU10" s="509">
        <f>AS10*(AT10-1106)*67.01/10^7</f>
        <v>0.12833755199999999</v>
      </c>
      <c r="AV10" s="129">
        <v>260</v>
      </c>
      <c r="AW10" s="129"/>
      <c r="AX10" s="129"/>
      <c r="AY10" s="509">
        <f>AW10*(AX10-998)*66.69/10^7</f>
        <v>0</v>
      </c>
      <c r="AZ10" s="23">
        <f t="shared" si="2"/>
        <v>620</v>
      </c>
      <c r="BA10" s="23">
        <f t="shared" si="2"/>
        <v>197</v>
      </c>
      <c r="BB10" s="509">
        <f t="shared" si="13"/>
        <v>0.55837042679999993</v>
      </c>
      <c r="BC10" s="23">
        <f t="shared" si="14"/>
        <v>800</v>
      </c>
      <c r="BD10" s="257">
        <f t="shared" si="14"/>
        <v>296</v>
      </c>
      <c r="BE10" s="257">
        <f t="shared" si="15"/>
        <v>1.9487730600000004</v>
      </c>
      <c r="BF10" s="257">
        <f t="shared" si="16"/>
        <v>800</v>
      </c>
      <c r="BG10" s="23">
        <f t="shared" si="16"/>
        <v>363</v>
      </c>
      <c r="BH10" s="257">
        <f t="shared" si="17"/>
        <v>0.93213839799999998</v>
      </c>
      <c r="BI10" s="23">
        <f t="shared" si="18"/>
        <v>780</v>
      </c>
      <c r="BJ10" s="23">
        <f t="shared" si="18"/>
        <v>132</v>
      </c>
      <c r="BK10" s="257">
        <f t="shared" si="19"/>
        <v>0.23182156799999998</v>
      </c>
      <c r="BL10" s="23">
        <f t="shared" si="20"/>
        <v>3000</v>
      </c>
      <c r="BM10" s="23">
        <f t="shared" si="3"/>
        <v>988</v>
      </c>
      <c r="BN10" s="257">
        <f t="shared" si="3"/>
        <v>3.6711034528000006</v>
      </c>
      <c r="BO10" s="466">
        <f t="shared" si="21"/>
        <v>0.32933333333333331</v>
      </c>
      <c r="BP10" s="472"/>
      <c r="BQ10" s="23">
        <f t="shared" si="4"/>
        <v>1720</v>
      </c>
      <c r="BR10" s="23" t="e">
        <f>E10+I10+M10+Q10+U10+Y10+#REF!</f>
        <v>#REF!</v>
      </c>
      <c r="BS10" s="466">
        <f t="shared" si="5"/>
        <v>0</v>
      </c>
      <c r="BT10" s="509">
        <f t="shared" si="6"/>
        <v>2.5071434868000004</v>
      </c>
      <c r="BU10" s="466">
        <f t="shared" si="7"/>
        <v>0</v>
      </c>
    </row>
    <row r="11" spans="1:73" ht="12.6" customHeight="1">
      <c r="A11" s="254" t="s">
        <v>130</v>
      </c>
      <c r="B11" s="129">
        <f t="shared" si="0"/>
        <v>0</v>
      </c>
      <c r="C11" s="257"/>
      <c r="D11" s="129">
        <v>0</v>
      </c>
      <c r="E11" s="129"/>
      <c r="F11" s="129"/>
      <c r="G11" s="509">
        <f t="shared" si="8"/>
        <v>0</v>
      </c>
      <c r="H11" s="129"/>
      <c r="I11" s="129"/>
      <c r="J11" s="129"/>
      <c r="K11" s="509">
        <f t="shared" si="9"/>
        <v>0</v>
      </c>
      <c r="L11" s="129"/>
      <c r="M11" s="129"/>
      <c r="N11" s="129"/>
      <c r="O11" s="509">
        <f t="shared" si="1"/>
        <v>0</v>
      </c>
      <c r="P11" s="129"/>
      <c r="Q11" s="129"/>
      <c r="R11" s="129"/>
      <c r="S11" s="509">
        <f t="shared" si="10"/>
        <v>0</v>
      </c>
      <c r="T11" s="129"/>
      <c r="U11" s="129"/>
      <c r="V11" s="129">
        <f t="shared" si="11"/>
        <v>0</v>
      </c>
      <c r="W11" s="509">
        <f t="shared" si="12"/>
        <v>0</v>
      </c>
      <c r="X11" s="129"/>
      <c r="Y11" s="129"/>
      <c r="Z11" s="129"/>
      <c r="AA11" s="509">
        <f t="shared" si="22"/>
        <v>0</v>
      </c>
      <c r="AB11" s="129"/>
      <c r="AC11" s="129"/>
      <c r="AD11" s="129"/>
      <c r="AE11" s="509">
        <f>AC11*(AD11-G11)*66.73/10^7</f>
        <v>0</v>
      </c>
      <c r="AF11" s="129"/>
      <c r="AG11" s="129"/>
      <c r="AH11" s="129"/>
      <c r="AI11" s="509">
        <f>AG11*(AH11-K11)*67.58/10^7</f>
        <v>0</v>
      </c>
      <c r="AJ11" s="129"/>
      <c r="AK11" s="129"/>
      <c r="AL11" s="129"/>
      <c r="AM11" s="509">
        <f>AK11*(AL11-O11)*67.91/10^7</f>
        <v>0</v>
      </c>
      <c r="AN11" s="129"/>
      <c r="AO11" s="129"/>
      <c r="AP11" s="129"/>
      <c r="AQ11" s="509">
        <f>AO11*(AP11-S11)*68.01/10^7</f>
        <v>0</v>
      </c>
      <c r="AR11" s="129"/>
      <c r="AS11" s="129"/>
      <c r="AT11" s="129"/>
      <c r="AU11" s="509">
        <f>AS11*(AT11-W11)*67.01/10^7</f>
        <v>0</v>
      </c>
      <c r="AV11" s="129"/>
      <c r="AW11" s="129"/>
      <c r="AX11" s="129"/>
      <c r="AY11" s="509">
        <f t="shared" ref="AY11:AY12" si="24">AW11*(AX11-AA11)*66.69/10^7</f>
        <v>0</v>
      </c>
      <c r="AZ11" s="23">
        <f t="shared" si="2"/>
        <v>0</v>
      </c>
      <c r="BA11" s="23">
        <f t="shared" si="2"/>
        <v>0</v>
      </c>
      <c r="BB11" s="509">
        <f t="shared" si="13"/>
        <v>0</v>
      </c>
      <c r="BC11" s="23">
        <f t="shared" si="14"/>
        <v>0</v>
      </c>
      <c r="BD11" s="257">
        <f t="shared" si="14"/>
        <v>0</v>
      </c>
      <c r="BE11" s="257">
        <f t="shared" si="15"/>
        <v>0</v>
      </c>
      <c r="BF11" s="257">
        <f t="shared" si="16"/>
        <v>0</v>
      </c>
      <c r="BG11" s="23">
        <f t="shared" si="16"/>
        <v>0</v>
      </c>
      <c r="BH11" s="257">
        <f t="shared" si="17"/>
        <v>0</v>
      </c>
      <c r="BI11" s="23">
        <f t="shared" si="18"/>
        <v>0</v>
      </c>
      <c r="BJ11" s="23">
        <f t="shared" si="18"/>
        <v>0</v>
      </c>
      <c r="BK11" s="257">
        <f t="shared" si="19"/>
        <v>0</v>
      </c>
      <c r="BL11" s="23">
        <f t="shared" si="20"/>
        <v>0</v>
      </c>
      <c r="BM11" s="23">
        <f t="shared" si="3"/>
        <v>0</v>
      </c>
      <c r="BN11" s="257">
        <f t="shared" si="3"/>
        <v>0</v>
      </c>
      <c r="BO11" s="466">
        <f t="shared" si="21"/>
        <v>0</v>
      </c>
      <c r="BP11" s="472"/>
      <c r="BQ11" s="23">
        <f t="shared" si="4"/>
        <v>0</v>
      </c>
      <c r="BR11" s="23" t="e">
        <f>E11+I11+M11+Q11+U11+Y11+#REF!</f>
        <v>#REF!</v>
      </c>
      <c r="BS11" s="466">
        <f t="shared" si="5"/>
        <v>0</v>
      </c>
      <c r="BT11" s="509">
        <f t="shared" si="6"/>
        <v>0</v>
      </c>
      <c r="BU11" s="466">
        <f t="shared" si="7"/>
        <v>0</v>
      </c>
    </row>
    <row r="12" spans="1:73" ht="12.6" customHeight="1">
      <c r="A12" s="254" t="s">
        <v>131</v>
      </c>
      <c r="B12" s="129">
        <f t="shared" si="0"/>
        <v>0</v>
      </c>
      <c r="C12" s="257">
        <v>143.1</v>
      </c>
      <c r="D12" s="129">
        <v>0</v>
      </c>
      <c r="E12" s="129"/>
      <c r="F12" s="129"/>
      <c r="G12" s="509">
        <f t="shared" si="8"/>
        <v>0</v>
      </c>
      <c r="H12" s="129"/>
      <c r="I12" s="129"/>
      <c r="J12" s="129"/>
      <c r="K12" s="509">
        <f t="shared" si="9"/>
        <v>0</v>
      </c>
      <c r="L12" s="129"/>
      <c r="M12" s="129"/>
      <c r="N12" s="129"/>
      <c r="O12" s="509">
        <f t="shared" si="1"/>
        <v>0</v>
      </c>
      <c r="P12" s="129"/>
      <c r="Q12" s="129"/>
      <c r="R12" s="129"/>
      <c r="S12" s="509">
        <f t="shared" si="10"/>
        <v>0</v>
      </c>
      <c r="T12" s="129"/>
      <c r="U12" s="129"/>
      <c r="V12" s="129">
        <f t="shared" si="11"/>
        <v>0</v>
      </c>
      <c r="W12" s="509">
        <f t="shared" si="12"/>
        <v>0</v>
      </c>
      <c r="X12" s="129"/>
      <c r="Y12" s="129"/>
      <c r="Z12" s="129"/>
      <c r="AA12" s="509">
        <f t="shared" si="22"/>
        <v>0</v>
      </c>
      <c r="AB12" s="129"/>
      <c r="AC12" s="129"/>
      <c r="AD12" s="129"/>
      <c r="AE12" s="509">
        <f>AC12*(AD12-G12)*66.73/10^7</f>
        <v>0</v>
      </c>
      <c r="AF12" s="129"/>
      <c r="AG12" s="129"/>
      <c r="AH12" s="129"/>
      <c r="AI12" s="509">
        <f>AG12*(AH12-K12)*67.58/10^7</f>
        <v>0</v>
      </c>
      <c r="AJ12" s="129"/>
      <c r="AK12" s="129"/>
      <c r="AL12" s="129"/>
      <c r="AM12" s="509">
        <f>AK12*(AL12-O12)*67.91/10^7</f>
        <v>0</v>
      </c>
      <c r="AN12" s="129"/>
      <c r="AO12" s="129"/>
      <c r="AP12" s="129"/>
      <c r="AQ12" s="509">
        <f>AO12*(AP12-S12)*68.01/10^7</f>
        <v>0</v>
      </c>
      <c r="AR12" s="129"/>
      <c r="AS12" s="129"/>
      <c r="AT12" s="129"/>
      <c r="AU12" s="509">
        <f>AS12*(AT12-W12)*67.01/10^7</f>
        <v>0</v>
      </c>
      <c r="AV12" s="129"/>
      <c r="AW12" s="129"/>
      <c r="AX12" s="129"/>
      <c r="AY12" s="509">
        <f t="shared" si="24"/>
        <v>0</v>
      </c>
      <c r="AZ12" s="23">
        <f t="shared" si="2"/>
        <v>0</v>
      </c>
      <c r="BA12" s="23">
        <f t="shared" si="2"/>
        <v>0</v>
      </c>
      <c r="BB12" s="509">
        <f t="shared" si="13"/>
        <v>0</v>
      </c>
      <c r="BC12" s="23">
        <f t="shared" si="14"/>
        <v>0</v>
      </c>
      <c r="BD12" s="257">
        <f t="shared" si="14"/>
        <v>0</v>
      </c>
      <c r="BE12" s="257">
        <f t="shared" si="15"/>
        <v>0</v>
      </c>
      <c r="BF12" s="257">
        <f t="shared" si="16"/>
        <v>0</v>
      </c>
      <c r="BG12" s="23">
        <f t="shared" si="16"/>
        <v>0</v>
      </c>
      <c r="BH12" s="257">
        <f t="shared" si="17"/>
        <v>0</v>
      </c>
      <c r="BI12" s="23">
        <f t="shared" si="18"/>
        <v>0</v>
      </c>
      <c r="BJ12" s="23">
        <f t="shared" si="18"/>
        <v>0</v>
      </c>
      <c r="BK12" s="257">
        <f t="shared" si="19"/>
        <v>0</v>
      </c>
      <c r="BL12" s="23">
        <f t="shared" si="20"/>
        <v>0</v>
      </c>
      <c r="BM12" s="23">
        <f t="shared" si="3"/>
        <v>0</v>
      </c>
      <c r="BN12" s="257">
        <f t="shared" si="3"/>
        <v>0</v>
      </c>
      <c r="BO12" s="466">
        <f t="shared" si="21"/>
        <v>0</v>
      </c>
      <c r="BP12" s="472"/>
      <c r="BQ12" s="23">
        <f t="shared" si="4"/>
        <v>0</v>
      </c>
      <c r="BR12" s="23" t="e">
        <f>E12+I12+M12+Q12+U12+Y12+#REF!</f>
        <v>#REF!</v>
      </c>
      <c r="BS12" s="466">
        <f t="shared" si="5"/>
        <v>0</v>
      </c>
      <c r="BT12" s="509">
        <f t="shared" si="6"/>
        <v>0</v>
      </c>
      <c r="BU12" s="466">
        <f t="shared" si="7"/>
        <v>0</v>
      </c>
    </row>
    <row r="13" spans="1:73" ht="12.6" customHeight="1">
      <c r="A13" s="254" t="s">
        <v>48</v>
      </c>
      <c r="B13" s="129">
        <f t="shared" si="0"/>
        <v>120</v>
      </c>
      <c r="C13" s="257"/>
      <c r="D13" s="129">
        <v>10</v>
      </c>
      <c r="E13" s="129">
        <v>20</v>
      </c>
      <c r="F13" s="129">
        <v>1282.2</v>
      </c>
      <c r="G13" s="509">
        <f>E13*(F13-652)*66.47/10^7</f>
        <v>8.3778788000000007E-2</v>
      </c>
      <c r="H13" s="129">
        <v>10</v>
      </c>
      <c r="I13" s="129"/>
      <c r="J13" s="129"/>
      <c r="K13" s="509">
        <f t="shared" si="9"/>
        <v>0</v>
      </c>
      <c r="L13" s="129">
        <v>10</v>
      </c>
      <c r="M13" s="129">
        <v>4</v>
      </c>
      <c r="N13" s="129">
        <v>1275.3</v>
      </c>
      <c r="O13" s="509">
        <f>M13*(N13-937)*67.28/10^7</f>
        <v>9.1043295999999989E-3</v>
      </c>
      <c r="P13" s="129">
        <v>10</v>
      </c>
      <c r="Q13" s="129">
        <v>9</v>
      </c>
      <c r="R13" s="129">
        <v>1551</v>
      </c>
      <c r="S13" s="509">
        <f>Q13*(R13-996)*67.2/10^7</f>
        <v>3.3566400000000003E-2</v>
      </c>
      <c r="T13" s="129">
        <v>10</v>
      </c>
      <c r="U13" s="129">
        <v>24</v>
      </c>
      <c r="V13" s="129">
        <v>1344</v>
      </c>
      <c r="W13" s="509">
        <f>U13*(V13-1046)*66.93/10^7</f>
        <v>4.7868336000000004E-2</v>
      </c>
      <c r="X13" s="129">
        <v>10</v>
      </c>
      <c r="Y13" s="129">
        <v>15</v>
      </c>
      <c r="Z13" s="129">
        <v>1317</v>
      </c>
      <c r="AA13" s="509">
        <f>Y13*(Z13-1035)*66.69/10^7</f>
        <v>2.8209870000000001E-2</v>
      </c>
      <c r="AB13" s="129">
        <v>10</v>
      </c>
      <c r="AC13" s="129">
        <v>6</v>
      </c>
      <c r="AD13" s="129">
        <v>1300</v>
      </c>
      <c r="AE13" s="509">
        <f>AC13*(AD13-1040)*66.73/10^7</f>
        <v>1.040988E-2</v>
      </c>
      <c r="AF13" s="129">
        <v>10</v>
      </c>
      <c r="AG13" s="129">
        <v>12</v>
      </c>
      <c r="AH13" s="129">
        <v>1336</v>
      </c>
      <c r="AI13" s="509">
        <f>AG13*(AH13-1032)*67.58/10^7</f>
        <v>2.4653183999999998E-2</v>
      </c>
      <c r="AJ13" s="129">
        <v>10</v>
      </c>
      <c r="AK13" s="129">
        <v>8</v>
      </c>
      <c r="AL13" s="129">
        <v>1343</v>
      </c>
      <c r="AM13" s="509">
        <f>AK13*(AL13-1041)*67.91/10^7</f>
        <v>1.6407056E-2</v>
      </c>
      <c r="AN13" s="129">
        <v>10</v>
      </c>
      <c r="AO13" s="129"/>
      <c r="AP13" s="129"/>
      <c r="AQ13" s="509">
        <f>AO13*(AP13-1035)*68.01/10^7</f>
        <v>0</v>
      </c>
      <c r="AR13" s="129">
        <v>10</v>
      </c>
      <c r="AS13" s="129">
        <v>54</v>
      </c>
      <c r="AT13" s="129">
        <v>1347</v>
      </c>
      <c r="AU13" s="509">
        <f>AS13*(AT13-1147)*67.01/10^7</f>
        <v>7.2370799999999999E-2</v>
      </c>
      <c r="AV13" s="129">
        <v>10</v>
      </c>
      <c r="AW13" s="129"/>
      <c r="AX13" s="129"/>
      <c r="AY13" s="509">
        <f>AW13*(AX13-1035)*66.69/10^7</f>
        <v>0</v>
      </c>
      <c r="AZ13" s="23">
        <f t="shared" si="2"/>
        <v>30</v>
      </c>
      <c r="BA13" s="23">
        <f t="shared" si="2"/>
        <v>24</v>
      </c>
      <c r="BB13" s="509">
        <f t="shared" si="13"/>
        <v>9.2883117600000009E-2</v>
      </c>
      <c r="BC13" s="23">
        <f t="shared" si="14"/>
        <v>30</v>
      </c>
      <c r="BD13" s="257">
        <f t="shared" si="14"/>
        <v>48</v>
      </c>
      <c r="BE13" s="257">
        <f t="shared" si="15"/>
        <v>0.10964460600000001</v>
      </c>
      <c r="BF13" s="257">
        <f t="shared" si="16"/>
        <v>30</v>
      </c>
      <c r="BG13" s="23">
        <f t="shared" si="16"/>
        <v>26</v>
      </c>
      <c r="BH13" s="257">
        <f t="shared" si="17"/>
        <v>5.1470119999999994E-2</v>
      </c>
      <c r="BI13" s="23">
        <f t="shared" si="18"/>
        <v>30</v>
      </c>
      <c r="BJ13" s="23">
        <f t="shared" si="18"/>
        <v>54</v>
      </c>
      <c r="BK13" s="257">
        <f t="shared" si="19"/>
        <v>7.2370799999999999E-2</v>
      </c>
      <c r="BL13" s="23">
        <f t="shared" si="20"/>
        <v>120</v>
      </c>
      <c r="BM13" s="23">
        <f t="shared" si="3"/>
        <v>152</v>
      </c>
      <c r="BN13" s="257">
        <f t="shared" si="3"/>
        <v>0.32636864360000001</v>
      </c>
      <c r="BO13" s="466">
        <f t="shared" si="21"/>
        <v>1.2666666666666666</v>
      </c>
      <c r="BP13" s="472"/>
      <c r="BQ13" s="23">
        <f t="shared" si="4"/>
        <v>70</v>
      </c>
      <c r="BR13" s="23" t="e">
        <f>E13+I13+M13+Q13+U13+Y13+#REF!</f>
        <v>#REF!</v>
      </c>
      <c r="BS13" s="466">
        <f t="shared" si="5"/>
        <v>0</v>
      </c>
      <c r="BT13" s="509">
        <f t="shared" si="6"/>
        <v>0.20252772360000001</v>
      </c>
      <c r="BU13" s="466">
        <f t="shared" si="7"/>
        <v>0</v>
      </c>
    </row>
    <row r="14" spans="1:73" ht="12.6" customHeight="1">
      <c r="A14" s="254" t="s">
        <v>49</v>
      </c>
      <c r="B14" s="129">
        <f t="shared" si="0"/>
        <v>0</v>
      </c>
      <c r="C14" s="257"/>
      <c r="D14" s="129">
        <v>0</v>
      </c>
      <c r="E14" s="129"/>
      <c r="F14" s="129"/>
      <c r="G14" s="509">
        <f t="shared" si="8"/>
        <v>0</v>
      </c>
      <c r="H14" s="129"/>
      <c r="I14" s="129"/>
      <c r="J14" s="129"/>
      <c r="K14" s="509">
        <f t="shared" si="9"/>
        <v>0</v>
      </c>
      <c r="L14" s="129"/>
      <c r="M14" s="129">
        <v>22</v>
      </c>
      <c r="N14" s="129">
        <v>1275.3</v>
      </c>
      <c r="O14" s="509">
        <f>M14*(N14-937)*67.28/10^7</f>
        <v>5.0073812799999992E-2</v>
      </c>
      <c r="P14" s="129"/>
      <c r="Q14" s="129"/>
      <c r="R14" s="129"/>
      <c r="S14" s="509">
        <f t="shared" si="10"/>
        <v>0</v>
      </c>
      <c r="T14" s="129"/>
      <c r="U14" s="129">
        <v>20</v>
      </c>
      <c r="V14" s="129">
        <v>1163</v>
      </c>
      <c r="W14" s="509">
        <f t="shared" si="12"/>
        <v>0.15567918</v>
      </c>
      <c r="X14" s="129"/>
      <c r="Y14" s="129"/>
      <c r="Z14" s="129"/>
      <c r="AA14" s="509">
        <f t="shared" si="22"/>
        <v>0</v>
      </c>
      <c r="AB14" s="129"/>
      <c r="AC14" s="129"/>
      <c r="AD14" s="129"/>
      <c r="AE14" s="509">
        <f t="shared" ref="AE14:AE23" si="25">AC14*(AD14-G14)*66.73/10^7</f>
        <v>0</v>
      </c>
      <c r="AF14" s="129"/>
      <c r="AG14" s="129"/>
      <c r="AH14" s="129"/>
      <c r="AI14" s="509">
        <f t="shared" ref="AI14:AI23" si="26">AG14*(AH14-K14)*67.58/10^7</f>
        <v>0</v>
      </c>
      <c r="AJ14" s="129"/>
      <c r="AK14" s="129"/>
      <c r="AL14" s="129"/>
      <c r="AM14" s="509">
        <f t="shared" ref="AM14:AM23" si="27">AK14*(AL14-O14)*67.91/10^7</f>
        <v>0</v>
      </c>
      <c r="AN14" s="129"/>
      <c r="AO14" s="129"/>
      <c r="AP14" s="129"/>
      <c r="AQ14" s="509">
        <f t="shared" ref="AQ14:AQ23" si="28">AO14*(AP14-S14)*68.01/10^7</f>
        <v>0</v>
      </c>
      <c r="AR14" s="129"/>
      <c r="AS14" s="129"/>
      <c r="AT14" s="129"/>
      <c r="AU14" s="509">
        <f t="shared" ref="AU14:AU23" si="29">AS14*(AT14-W14)*67.01/10^7</f>
        <v>0</v>
      </c>
      <c r="AV14" s="129"/>
      <c r="AW14" s="129"/>
      <c r="AX14" s="129"/>
      <c r="AY14" s="509">
        <f t="shared" ref="AY14:AY23" si="30">AW14*(AX14-AA14)*66.69/10^7</f>
        <v>0</v>
      </c>
      <c r="AZ14" s="23">
        <f t="shared" si="2"/>
        <v>0</v>
      </c>
      <c r="BA14" s="23">
        <f t="shared" si="2"/>
        <v>22</v>
      </c>
      <c r="BB14" s="509">
        <f t="shared" si="13"/>
        <v>5.0073812799999992E-2</v>
      </c>
      <c r="BC14" s="23">
        <f t="shared" si="14"/>
        <v>0</v>
      </c>
      <c r="BD14" s="257">
        <f t="shared" si="14"/>
        <v>20</v>
      </c>
      <c r="BE14" s="257">
        <f t="shared" si="15"/>
        <v>0.15567918</v>
      </c>
      <c r="BF14" s="257">
        <f t="shared" si="16"/>
        <v>0</v>
      </c>
      <c r="BG14" s="23">
        <f t="shared" si="16"/>
        <v>0</v>
      </c>
      <c r="BH14" s="257">
        <f t="shared" si="17"/>
        <v>0</v>
      </c>
      <c r="BI14" s="23">
        <f t="shared" si="18"/>
        <v>0</v>
      </c>
      <c r="BJ14" s="23">
        <f t="shared" si="18"/>
        <v>0</v>
      </c>
      <c r="BK14" s="257">
        <f t="shared" si="19"/>
        <v>0</v>
      </c>
      <c r="BL14" s="23">
        <f t="shared" si="20"/>
        <v>0</v>
      </c>
      <c r="BM14" s="23">
        <f t="shared" si="3"/>
        <v>42</v>
      </c>
      <c r="BN14" s="257">
        <f t="shared" si="3"/>
        <v>0.20575299279999998</v>
      </c>
      <c r="BO14" s="466">
        <f t="shared" si="21"/>
        <v>0</v>
      </c>
      <c r="BP14" s="472"/>
      <c r="BQ14" s="23">
        <f t="shared" si="4"/>
        <v>0</v>
      </c>
      <c r="BR14" s="23" t="e">
        <f>E14+I14+M14+Q14+U14+Y14+#REF!</f>
        <v>#REF!</v>
      </c>
      <c r="BS14" s="466">
        <f t="shared" si="5"/>
        <v>0</v>
      </c>
      <c r="BT14" s="509">
        <f t="shared" si="6"/>
        <v>0.20575299279999998</v>
      </c>
      <c r="BU14" s="466">
        <f t="shared" si="7"/>
        <v>0</v>
      </c>
    </row>
    <row r="15" spans="1:73" ht="12.6" customHeight="1">
      <c r="A15" s="254" t="s">
        <v>47</v>
      </c>
      <c r="B15" s="129">
        <f t="shared" si="0"/>
        <v>450</v>
      </c>
      <c r="C15" s="257">
        <v>149.1</v>
      </c>
      <c r="D15" s="129">
        <v>60</v>
      </c>
      <c r="E15" s="129">
        <v>108</v>
      </c>
      <c r="F15" s="129">
        <v>1250</v>
      </c>
      <c r="G15" s="509">
        <f t="shared" si="8"/>
        <v>0.79030968840000004</v>
      </c>
      <c r="H15" s="129">
        <v>30</v>
      </c>
      <c r="I15" s="129">
        <v>59</v>
      </c>
      <c r="J15" s="129">
        <v>1368</v>
      </c>
      <c r="K15" s="509">
        <f t="shared" si="9"/>
        <v>0.48118393409999999</v>
      </c>
      <c r="L15" s="129">
        <v>30</v>
      </c>
      <c r="M15" s="129">
        <v>33</v>
      </c>
      <c r="N15" s="129">
        <v>1402.3</v>
      </c>
      <c r="O15" s="509">
        <f t="shared" si="1"/>
        <v>0.27824047680000003</v>
      </c>
      <c r="P15" s="129">
        <v>30</v>
      </c>
      <c r="Q15" s="129">
        <v>36</v>
      </c>
      <c r="R15" s="129">
        <v>1336</v>
      </c>
      <c r="S15" s="509">
        <f t="shared" si="10"/>
        <v>0.28713484800000005</v>
      </c>
      <c r="T15" s="129">
        <v>30</v>
      </c>
      <c r="U15" s="129">
        <v>32</v>
      </c>
      <c r="V15" s="129">
        <v>1293</v>
      </c>
      <c r="W15" s="509">
        <f t="shared" si="12"/>
        <v>0.24499592640000004</v>
      </c>
      <c r="X15" s="129">
        <v>45</v>
      </c>
      <c r="Y15" s="129">
        <v>79</v>
      </c>
      <c r="Z15" s="129">
        <v>1255</v>
      </c>
      <c r="AA15" s="509">
        <f t="shared" si="22"/>
        <v>0.58264452089999996</v>
      </c>
      <c r="AB15" s="129">
        <v>30</v>
      </c>
      <c r="AC15" s="129">
        <v>132</v>
      </c>
      <c r="AD15" s="129">
        <v>1324</v>
      </c>
      <c r="AE15" s="509">
        <f t="shared" si="25"/>
        <v>1.1655307307753089</v>
      </c>
      <c r="AF15" s="129">
        <v>30</v>
      </c>
      <c r="AG15" s="129">
        <v>81</v>
      </c>
      <c r="AH15" s="129">
        <v>1336</v>
      </c>
      <c r="AI15" s="509">
        <f t="shared" si="26"/>
        <v>0.73106032887684158</v>
      </c>
      <c r="AJ15" s="129">
        <v>45</v>
      </c>
      <c r="AK15" s="129">
        <v>48</v>
      </c>
      <c r="AL15" s="129">
        <v>1272</v>
      </c>
      <c r="AM15" s="509">
        <f t="shared" si="27"/>
        <v>0.41454059850825842</v>
      </c>
      <c r="AN15" s="129">
        <v>45</v>
      </c>
      <c r="AO15" s="129">
        <v>77</v>
      </c>
      <c r="AP15" s="129">
        <v>1402</v>
      </c>
      <c r="AQ15" s="509">
        <f t="shared" si="28"/>
        <v>0.73404478808420393</v>
      </c>
      <c r="AR15" s="129">
        <v>30</v>
      </c>
      <c r="AS15" s="129">
        <v>15</v>
      </c>
      <c r="AT15" s="129">
        <v>1374</v>
      </c>
      <c r="AU15" s="509">
        <f t="shared" si="29"/>
        <v>0.13808298423445792</v>
      </c>
      <c r="AV15" s="129">
        <v>45</v>
      </c>
      <c r="AW15" s="129"/>
      <c r="AX15" s="129"/>
      <c r="AY15" s="509">
        <f t="shared" si="30"/>
        <v>0</v>
      </c>
      <c r="AZ15" s="23">
        <f t="shared" si="2"/>
        <v>120</v>
      </c>
      <c r="BA15" s="23">
        <f t="shared" si="2"/>
        <v>200</v>
      </c>
      <c r="BB15" s="509">
        <f t="shared" si="13"/>
        <v>1.5497340992999999</v>
      </c>
      <c r="BC15" s="23">
        <f t="shared" si="14"/>
        <v>105</v>
      </c>
      <c r="BD15" s="257">
        <f t="shared" si="14"/>
        <v>147</v>
      </c>
      <c r="BE15" s="257">
        <f t="shared" si="15"/>
        <v>1.1147752953000001</v>
      </c>
      <c r="BF15" s="257">
        <f t="shared" si="16"/>
        <v>105</v>
      </c>
      <c r="BG15" s="23">
        <f t="shared" si="16"/>
        <v>261</v>
      </c>
      <c r="BH15" s="257">
        <f t="shared" si="17"/>
        <v>2.3111316581604089</v>
      </c>
      <c r="BI15" s="23">
        <f t="shared" si="18"/>
        <v>120</v>
      </c>
      <c r="BJ15" s="23">
        <f t="shared" si="18"/>
        <v>92</v>
      </c>
      <c r="BK15" s="257">
        <f t="shared" si="19"/>
        <v>0.87212777231866179</v>
      </c>
      <c r="BL15" s="23">
        <f t="shared" si="20"/>
        <v>450</v>
      </c>
      <c r="BM15" s="23">
        <f t="shared" si="3"/>
        <v>700</v>
      </c>
      <c r="BN15" s="257">
        <f t="shared" si="3"/>
        <v>5.8477688250790703</v>
      </c>
      <c r="BO15" s="466">
        <f t="shared" si="21"/>
        <v>1.5555555555555556</v>
      </c>
      <c r="BP15" s="472"/>
      <c r="BQ15" s="23">
        <f t="shared" si="4"/>
        <v>255</v>
      </c>
      <c r="BR15" s="23" t="e">
        <f>E15+I15+M15+Q15+U15+Y15+#REF!</f>
        <v>#REF!</v>
      </c>
      <c r="BS15" s="466">
        <f t="shared" si="5"/>
        <v>0</v>
      </c>
      <c r="BT15" s="509">
        <f t="shared" si="6"/>
        <v>2.6645093945999996</v>
      </c>
      <c r="BU15" s="466">
        <f t="shared" si="7"/>
        <v>0</v>
      </c>
    </row>
    <row r="16" spans="1:73" ht="12.6" customHeight="1">
      <c r="A16" s="254" t="s">
        <v>51</v>
      </c>
      <c r="B16" s="129">
        <f t="shared" si="0"/>
        <v>100</v>
      </c>
      <c r="C16" s="257"/>
      <c r="D16" s="129"/>
      <c r="E16" s="129"/>
      <c r="F16" s="129"/>
      <c r="G16" s="509">
        <f t="shared" si="8"/>
        <v>0</v>
      </c>
      <c r="H16" s="129">
        <v>30</v>
      </c>
      <c r="I16" s="129"/>
      <c r="J16" s="129"/>
      <c r="K16" s="509">
        <f t="shared" si="9"/>
        <v>0</v>
      </c>
      <c r="L16" s="129">
        <v>10</v>
      </c>
      <c r="M16" s="129">
        <v>43</v>
      </c>
      <c r="N16" s="129">
        <v>1505.2</v>
      </c>
      <c r="O16" s="509">
        <f>M16*(N16-1436)*67.28/10^7</f>
        <v>2.0019836800000017E-2</v>
      </c>
      <c r="P16" s="129">
        <v>10</v>
      </c>
      <c r="Q16" s="129">
        <v>11</v>
      </c>
      <c r="R16" s="129">
        <v>1611</v>
      </c>
      <c r="S16" s="509">
        <f>Q16*(R16-1436)*67.2/10^7</f>
        <v>1.2936E-2</v>
      </c>
      <c r="T16" s="129">
        <v>10</v>
      </c>
      <c r="U16" s="129">
        <v>5</v>
      </c>
      <c r="V16" s="129">
        <v>1302</v>
      </c>
      <c r="W16" s="509">
        <f t="shared" si="12"/>
        <v>4.3571430000000001E-2</v>
      </c>
      <c r="X16" s="129"/>
      <c r="Y16" s="129"/>
      <c r="Z16" s="129"/>
      <c r="AA16" s="509">
        <f t="shared" si="22"/>
        <v>0</v>
      </c>
      <c r="AB16" s="129">
        <v>10</v>
      </c>
      <c r="AC16" s="129">
        <v>31</v>
      </c>
      <c r="AD16" s="129">
        <v>1437</v>
      </c>
      <c r="AE16" s="509">
        <f t="shared" si="25"/>
        <v>0.29726213099999999</v>
      </c>
      <c r="AF16" s="129">
        <v>10</v>
      </c>
      <c r="AG16" s="129">
        <v>21</v>
      </c>
      <c r="AH16" s="129">
        <v>1401</v>
      </c>
      <c r="AI16" s="509">
        <f t="shared" si="26"/>
        <v>0.198827118</v>
      </c>
      <c r="AJ16" s="129"/>
      <c r="AK16" s="129">
        <v>13</v>
      </c>
      <c r="AL16" s="129">
        <v>1523</v>
      </c>
      <c r="AM16" s="509">
        <f t="shared" si="27"/>
        <v>0.13445324158874777</v>
      </c>
      <c r="AN16" s="129">
        <v>10</v>
      </c>
      <c r="AO16" s="129">
        <v>15</v>
      </c>
      <c r="AP16" s="129">
        <v>1517</v>
      </c>
      <c r="AQ16" s="509">
        <f t="shared" si="28"/>
        <v>0.15475543533396</v>
      </c>
      <c r="AR16" s="129">
        <v>10</v>
      </c>
      <c r="AS16" s="129">
        <v>71</v>
      </c>
      <c r="AT16" s="129">
        <v>1489</v>
      </c>
      <c r="AU16" s="509">
        <f t="shared" si="29"/>
        <v>0.7084022889771775</v>
      </c>
      <c r="AV16" s="129"/>
      <c r="AW16" s="129"/>
      <c r="AX16" s="129"/>
      <c r="AY16" s="509">
        <f t="shared" si="30"/>
        <v>0</v>
      </c>
      <c r="AZ16" s="23">
        <f t="shared" si="2"/>
        <v>40</v>
      </c>
      <c r="BA16" s="23">
        <f t="shared" si="2"/>
        <v>43</v>
      </c>
      <c r="BB16" s="509">
        <f t="shared" si="13"/>
        <v>2.0019836800000017E-2</v>
      </c>
      <c r="BC16" s="23">
        <f t="shared" si="14"/>
        <v>20</v>
      </c>
      <c r="BD16" s="257">
        <f t="shared" si="14"/>
        <v>16</v>
      </c>
      <c r="BE16" s="257">
        <f t="shared" si="15"/>
        <v>5.6507429999999997E-2</v>
      </c>
      <c r="BF16" s="257">
        <f t="shared" si="16"/>
        <v>20</v>
      </c>
      <c r="BG16" s="23">
        <f t="shared" si="16"/>
        <v>65</v>
      </c>
      <c r="BH16" s="257">
        <f t="shared" si="17"/>
        <v>0.63054249058874778</v>
      </c>
      <c r="BI16" s="23">
        <f t="shared" si="18"/>
        <v>20</v>
      </c>
      <c r="BJ16" s="23">
        <f t="shared" si="18"/>
        <v>86</v>
      </c>
      <c r="BK16" s="257">
        <f t="shared" si="19"/>
        <v>0.86315772431113746</v>
      </c>
      <c r="BL16" s="23">
        <f t="shared" si="20"/>
        <v>100</v>
      </c>
      <c r="BM16" s="23">
        <f t="shared" si="3"/>
        <v>210</v>
      </c>
      <c r="BN16" s="257">
        <f t="shared" si="3"/>
        <v>1.5702274816998854</v>
      </c>
      <c r="BO16" s="466">
        <f t="shared" si="21"/>
        <v>2.1</v>
      </c>
      <c r="BP16" s="472"/>
      <c r="BQ16" s="23">
        <f t="shared" si="4"/>
        <v>70</v>
      </c>
      <c r="BR16" s="23" t="e">
        <f>E16+I16+M16+Q16+U16+Y16+#REF!</f>
        <v>#REF!</v>
      </c>
      <c r="BS16" s="466">
        <f t="shared" si="5"/>
        <v>0</v>
      </c>
      <c r="BT16" s="509">
        <f t="shared" si="6"/>
        <v>7.6527266800000021E-2</v>
      </c>
      <c r="BU16" s="466">
        <f t="shared" si="7"/>
        <v>0</v>
      </c>
    </row>
    <row r="17" spans="1:73" ht="12.6" customHeight="1">
      <c r="A17" s="254" t="s">
        <v>54</v>
      </c>
      <c r="B17" s="129">
        <f t="shared" si="0"/>
        <v>100</v>
      </c>
      <c r="C17" s="257"/>
      <c r="D17" s="129">
        <v>12</v>
      </c>
      <c r="E17" s="129">
        <v>2</v>
      </c>
      <c r="F17" s="129">
        <v>3441</v>
      </c>
      <c r="G17" s="509">
        <f>E17*(F17-2189)*66.47/10^7</f>
        <v>1.6644088000000001E-2</v>
      </c>
      <c r="H17" s="129"/>
      <c r="I17" s="129">
        <v>12</v>
      </c>
      <c r="J17" s="129">
        <v>3781</v>
      </c>
      <c r="K17" s="509">
        <f>I17*(J17-2432)*66.91/10^7</f>
        <v>0.10831390799999999</v>
      </c>
      <c r="L17" s="129">
        <v>12</v>
      </c>
      <c r="M17" s="129">
        <v>0</v>
      </c>
      <c r="N17" s="129"/>
      <c r="O17" s="509">
        <f t="shared" si="1"/>
        <v>0</v>
      </c>
      <c r="P17" s="129"/>
      <c r="Q17" s="129"/>
      <c r="R17" s="129"/>
      <c r="S17" s="509">
        <f t="shared" si="10"/>
        <v>0</v>
      </c>
      <c r="T17" s="129">
        <v>16</v>
      </c>
      <c r="U17" s="129">
        <v>10</v>
      </c>
      <c r="V17" s="129">
        <v>3398</v>
      </c>
      <c r="W17" s="509">
        <f>9*(V17-2429)*66.93/10^7</f>
        <v>5.8369653000000001E-2</v>
      </c>
      <c r="X17" s="129">
        <v>12</v>
      </c>
      <c r="Y17" s="129"/>
      <c r="Z17" s="129"/>
      <c r="AA17" s="509">
        <f t="shared" si="22"/>
        <v>0</v>
      </c>
      <c r="AB17" s="129">
        <v>12</v>
      </c>
      <c r="AC17" s="129"/>
      <c r="AD17" s="129"/>
      <c r="AE17" s="509">
        <f t="shared" si="25"/>
        <v>0</v>
      </c>
      <c r="AF17" s="129">
        <v>12</v>
      </c>
      <c r="AG17" s="129"/>
      <c r="AH17" s="129"/>
      <c r="AI17" s="509">
        <f t="shared" si="26"/>
        <v>0</v>
      </c>
      <c r="AJ17" s="129"/>
      <c r="AK17" s="129">
        <v>1</v>
      </c>
      <c r="AL17" s="129">
        <v>3400</v>
      </c>
      <c r="AM17" s="509">
        <f>AK17*(AL17-2379)*67.91/10^7</f>
        <v>6.9336110000000001E-3</v>
      </c>
      <c r="AN17" s="129">
        <v>12</v>
      </c>
      <c r="AO17" s="129"/>
      <c r="AP17" s="129"/>
      <c r="AQ17" s="509">
        <f t="shared" si="28"/>
        <v>0</v>
      </c>
      <c r="AR17" s="129"/>
      <c r="AS17" s="129"/>
      <c r="AT17" s="129"/>
      <c r="AU17" s="509">
        <f t="shared" si="29"/>
        <v>0</v>
      </c>
      <c r="AV17" s="129">
        <v>12</v>
      </c>
      <c r="AW17" s="129"/>
      <c r="AX17" s="129"/>
      <c r="AY17" s="509">
        <f t="shared" si="30"/>
        <v>0</v>
      </c>
      <c r="AZ17" s="23">
        <f t="shared" si="2"/>
        <v>24</v>
      </c>
      <c r="BA17" s="23">
        <f t="shared" si="2"/>
        <v>14</v>
      </c>
      <c r="BB17" s="509">
        <f t="shared" si="13"/>
        <v>0.12495799599999999</v>
      </c>
      <c r="BC17" s="23">
        <f t="shared" si="14"/>
        <v>28</v>
      </c>
      <c r="BD17" s="257">
        <f t="shared" si="14"/>
        <v>10</v>
      </c>
      <c r="BE17" s="257">
        <f t="shared" si="15"/>
        <v>5.8369653000000001E-2</v>
      </c>
      <c r="BF17" s="257">
        <f t="shared" si="16"/>
        <v>24</v>
      </c>
      <c r="BG17" s="23">
        <f t="shared" si="16"/>
        <v>1</v>
      </c>
      <c r="BH17" s="257">
        <f t="shared" si="17"/>
        <v>6.9336110000000001E-3</v>
      </c>
      <c r="BI17" s="23">
        <f t="shared" si="18"/>
        <v>24</v>
      </c>
      <c r="BJ17" s="23">
        <f t="shared" si="18"/>
        <v>0</v>
      </c>
      <c r="BK17" s="257">
        <f t="shared" si="19"/>
        <v>0</v>
      </c>
      <c r="BL17" s="23">
        <f t="shared" si="20"/>
        <v>100</v>
      </c>
      <c r="BM17" s="23">
        <f t="shared" si="3"/>
        <v>25</v>
      </c>
      <c r="BN17" s="257">
        <f t="shared" si="3"/>
        <v>0.19026125999999999</v>
      </c>
      <c r="BO17" s="466">
        <f t="shared" si="21"/>
        <v>0.25</v>
      </c>
      <c r="BP17" s="472"/>
      <c r="BQ17" s="23">
        <f t="shared" si="4"/>
        <v>64</v>
      </c>
      <c r="BR17" s="23" t="e">
        <f>E17+I17+M17+Q17+U17+Y17+#REF!</f>
        <v>#REF!</v>
      </c>
      <c r="BS17" s="466">
        <f t="shared" si="5"/>
        <v>0</v>
      </c>
      <c r="BT17" s="509">
        <f t="shared" si="6"/>
        <v>0.18332764899999998</v>
      </c>
      <c r="BU17" s="466">
        <f t="shared" si="7"/>
        <v>0</v>
      </c>
    </row>
    <row r="18" spans="1:73" ht="12.6" customHeight="1">
      <c r="A18" s="254" t="s">
        <v>55</v>
      </c>
      <c r="B18" s="129">
        <f t="shared" si="0"/>
        <v>0</v>
      </c>
      <c r="C18" s="257"/>
      <c r="D18" s="129">
        <v>0</v>
      </c>
      <c r="E18" s="129"/>
      <c r="F18" s="129"/>
      <c r="G18" s="509">
        <f t="shared" si="8"/>
        <v>0</v>
      </c>
      <c r="H18" s="129"/>
      <c r="I18" s="129"/>
      <c r="J18" s="129"/>
      <c r="K18" s="509">
        <f t="shared" si="9"/>
        <v>0</v>
      </c>
      <c r="L18" s="129"/>
      <c r="M18" s="129"/>
      <c r="N18" s="129"/>
      <c r="O18" s="509">
        <f t="shared" si="1"/>
        <v>0</v>
      </c>
      <c r="P18" s="129"/>
      <c r="Q18" s="129"/>
      <c r="R18" s="129"/>
      <c r="S18" s="509">
        <f t="shared" si="10"/>
        <v>0</v>
      </c>
      <c r="T18" s="129"/>
      <c r="U18" s="129"/>
      <c r="V18" s="129">
        <f t="shared" si="11"/>
        <v>0</v>
      </c>
      <c r="W18" s="509">
        <f t="shared" si="12"/>
        <v>0</v>
      </c>
      <c r="X18" s="129"/>
      <c r="Y18" s="129"/>
      <c r="Z18" s="129"/>
      <c r="AA18" s="509">
        <f t="shared" si="22"/>
        <v>0</v>
      </c>
      <c r="AB18" s="129"/>
      <c r="AC18" s="129"/>
      <c r="AD18" s="129"/>
      <c r="AE18" s="509">
        <f t="shared" si="25"/>
        <v>0</v>
      </c>
      <c r="AF18" s="129"/>
      <c r="AG18" s="129"/>
      <c r="AH18" s="129"/>
      <c r="AI18" s="509">
        <f t="shared" si="26"/>
        <v>0</v>
      </c>
      <c r="AJ18" s="129"/>
      <c r="AK18" s="129"/>
      <c r="AL18" s="129"/>
      <c r="AM18" s="509">
        <f t="shared" si="27"/>
        <v>0</v>
      </c>
      <c r="AN18" s="129"/>
      <c r="AO18" s="129"/>
      <c r="AP18" s="129"/>
      <c r="AQ18" s="509">
        <f t="shared" si="28"/>
        <v>0</v>
      </c>
      <c r="AR18" s="129"/>
      <c r="AS18" s="129"/>
      <c r="AT18" s="129"/>
      <c r="AU18" s="509">
        <f t="shared" si="29"/>
        <v>0</v>
      </c>
      <c r="AV18" s="129"/>
      <c r="AW18" s="129"/>
      <c r="AX18" s="129"/>
      <c r="AY18" s="509">
        <f t="shared" si="30"/>
        <v>0</v>
      </c>
      <c r="AZ18" s="23">
        <f t="shared" si="2"/>
        <v>0</v>
      </c>
      <c r="BA18" s="23">
        <f t="shared" si="2"/>
        <v>0</v>
      </c>
      <c r="BB18" s="509">
        <f t="shared" si="13"/>
        <v>0</v>
      </c>
      <c r="BC18" s="23">
        <f t="shared" si="14"/>
        <v>0</v>
      </c>
      <c r="BD18" s="257">
        <f t="shared" si="14"/>
        <v>0</v>
      </c>
      <c r="BE18" s="257">
        <f t="shared" si="15"/>
        <v>0</v>
      </c>
      <c r="BF18" s="257">
        <f t="shared" si="16"/>
        <v>0</v>
      </c>
      <c r="BG18" s="23">
        <f t="shared" si="16"/>
        <v>0</v>
      </c>
      <c r="BH18" s="257">
        <f t="shared" si="17"/>
        <v>0</v>
      </c>
      <c r="BI18" s="23">
        <f t="shared" si="18"/>
        <v>0</v>
      </c>
      <c r="BJ18" s="23">
        <f t="shared" si="18"/>
        <v>0</v>
      </c>
      <c r="BK18" s="257">
        <f t="shared" si="19"/>
        <v>0</v>
      </c>
      <c r="BL18" s="23">
        <f t="shared" si="20"/>
        <v>0</v>
      </c>
      <c r="BM18" s="23">
        <f t="shared" si="3"/>
        <v>0</v>
      </c>
      <c r="BN18" s="257">
        <f t="shared" si="3"/>
        <v>0</v>
      </c>
      <c r="BO18" s="466">
        <f t="shared" si="21"/>
        <v>0</v>
      </c>
      <c r="BP18" s="472"/>
      <c r="BQ18" s="23">
        <f t="shared" si="4"/>
        <v>0</v>
      </c>
      <c r="BR18" s="23" t="e">
        <f>E18+I18+M18+Q18+U18+Y18+#REF!</f>
        <v>#REF!</v>
      </c>
      <c r="BS18" s="466">
        <f t="shared" si="5"/>
        <v>0</v>
      </c>
      <c r="BT18" s="509">
        <f t="shared" si="6"/>
        <v>0</v>
      </c>
      <c r="BU18" s="466">
        <f t="shared" si="7"/>
        <v>0</v>
      </c>
    </row>
    <row r="19" spans="1:73" ht="12.6" customHeight="1">
      <c r="A19" s="254" t="s">
        <v>50</v>
      </c>
      <c r="B19" s="129">
        <f t="shared" si="0"/>
        <v>0</v>
      </c>
      <c r="C19" s="257"/>
      <c r="D19" s="129">
        <v>0</v>
      </c>
      <c r="E19" s="129"/>
      <c r="F19" s="129"/>
      <c r="G19" s="509">
        <f t="shared" si="8"/>
        <v>0</v>
      </c>
      <c r="H19" s="129"/>
      <c r="I19" s="129"/>
      <c r="J19" s="129"/>
      <c r="K19" s="509">
        <f t="shared" si="9"/>
        <v>0</v>
      </c>
      <c r="L19" s="129"/>
      <c r="M19" s="129"/>
      <c r="N19" s="129"/>
      <c r="O19" s="509">
        <f t="shared" si="1"/>
        <v>0</v>
      </c>
      <c r="P19" s="129"/>
      <c r="Q19" s="129"/>
      <c r="R19" s="129"/>
      <c r="S19" s="509">
        <f t="shared" si="10"/>
        <v>0</v>
      </c>
      <c r="T19" s="129"/>
      <c r="U19" s="129"/>
      <c r="V19" s="129">
        <f t="shared" si="11"/>
        <v>0</v>
      </c>
      <c r="W19" s="509">
        <f t="shared" si="12"/>
        <v>0</v>
      </c>
      <c r="X19" s="129"/>
      <c r="Y19" s="129"/>
      <c r="Z19" s="129"/>
      <c r="AA19" s="509">
        <f t="shared" si="22"/>
        <v>0</v>
      </c>
      <c r="AB19" s="129"/>
      <c r="AC19" s="129"/>
      <c r="AD19" s="129"/>
      <c r="AE19" s="509">
        <f t="shared" si="25"/>
        <v>0</v>
      </c>
      <c r="AF19" s="129"/>
      <c r="AG19" s="129"/>
      <c r="AH19" s="129"/>
      <c r="AI19" s="509">
        <f t="shared" si="26"/>
        <v>0</v>
      </c>
      <c r="AJ19" s="129"/>
      <c r="AK19" s="129"/>
      <c r="AL19" s="129"/>
      <c r="AM19" s="509">
        <f t="shared" si="27"/>
        <v>0</v>
      </c>
      <c r="AN19" s="129"/>
      <c r="AO19" s="129"/>
      <c r="AP19" s="129"/>
      <c r="AQ19" s="509">
        <f t="shared" si="28"/>
        <v>0</v>
      </c>
      <c r="AR19" s="129"/>
      <c r="AS19" s="129"/>
      <c r="AT19" s="129"/>
      <c r="AU19" s="509">
        <f t="shared" si="29"/>
        <v>0</v>
      </c>
      <c r="AV19" s="129"/>
      <c r="AW19" s="129"/>
      <c r="AX19" s="129"/>
      <c r="AY19" s="509">
        <f t="shared" si="30"/>
        <v>0</v>
      </c>
      <c r="AZ19" s="23">
        <f t="shared" si="2"/>
        <v>0</v>
      </c>
      <c r="BA19" s="23">
        <f t="shared" si="2"/>
        <v>0</v>
      </c>
      <c r="BB19" s="509">
        <f t="shared" si="13"/>
        <v>0</v>
      </c>
      <c r="BC19" s="23">
        <f t="shared" si="14"/>
        <v>0</v>
      </c>
      <c r="BD19" s="257">
        <f t="shared" si="14"/>
        <v>0</v>
      </c>
      <c r="BE19" s="257">
        <f t="shared" si="15"/>
        <v>0</v>
      </c>
      <c r="BF19" s="257">
        <f t="shared" si="16"/>
        <v>0</v>
      </c>
      <c r="BG19" s="23">
        <f t="shared" si="16"/>
        <v>0</v>
      </c>
      <c r="BH19" s="257">
        <f t="shared" si="17"/>
        <v>0</v>
      </c>
      <c r="BI19" s="23">
        <f t="shared" si="18"/>
        <v>0</v>
      </c>
      <c r="BJ19" s="23">
        <f t="shared" si="18"/>
        <v>0</v>
      </c>
      <c r="BK19" s="257">
        <f t="shared" si="19"/>
        <v>0</v>
      </c>
      <c r="BL19" s="23">
        <f t="shared" si="20"/>
        <v>0</v>
      </c>
      <c r="BM19" s="23">
        <f t="shared" si="3"/>
        <v>0</v>
      </c>
      <c r="BN19" s="257">
        <f t="shared" si="3"/>
        <v>0</v>
      </c>
      <c r="BO19" s="466">
        <f t="shared" si="21"/>
        <v>0</v>
      </c>
      <c r="BP19" s="472"/>
      <c r="BQ19" s="23">
        <f t="shared" si="4"/>
        <v>0</v>
      </c>
      <c r="BR19" s="23" t="e">
        <f>E19+I19+M19+Q19+U19+Y19+#REF!</f>
        <v>#REF!</v>
      </c>
      <c r="BS19" s="466">
        <f t="shared" si="5"/>
        <v>0</v>
      </c>
      <c r="BT19" s="509">
        <f t="shared" si="6"/>
        <v>0</v>
      </c>
      <c r="BU19" s="466">
        <f t="shared" si="7"/>
        <v>0</v>
      </c>
    </row>
    <row r="20" spans="1:73" ht="12.6" customHeight="1">
      <c r="A20" s="503" t="s">
        <v>84</v>
      </c>
      <c r="B20" s="129">
        <f t="shared" si="0"/>
        <v>0</v>
      </c>
      <c r="C20" s="257"/>
      <c r="D20" s="129">
        <v>0</v>
      </c>
      <c r="E20" s="129"/>
      <c r="F20" s="129"/>
      <c r="G20" s="509">
        <f t="shared" si="8"/>
        <v>0</v>
      </c>
      <c r="H20" s="129"/>
      <c r="I20" s="129"/>
      <c r="J20" s="129"/>
      <c r="K20" s="509">
        <f t="shared" si="9"/>
        <v>0</v>
      </c>
      <c r="L20" s="129"/>
      <c r="M20" s="129"/>
      <c r="N20" s="129"/>
      <c r="O20" s="509">
        <f t="shared" si="1"/>
        <v>0</v>
      </c>
      <c r="P20" s="129"/>
      <c r="Q20" s="129"/>
      <c r="R20" s="129"/>
      <c r="S20" s="509">
        <f t="shared" si="10"/>
        <v>0</v>
      </c>
      <c r="T20" s="129"/>
      <c r="U20" s="129"/>
      <c r="V20" s="129">
        <f t="shared" si="11"/>
        <v>0</v>
      </c>
      <c r="W20" s="509">
        <f t="shared" si="12"/>
        <v>0</v>
      </c>
      <c r="X20" s="129"/>
      <c r="Y20" s="129"/>
      <c r="Z20" s="129"/>
      <c r="AA20" s="509">
        <f t="shared" si="22"/>
        <v>0</v>
      </c>
      <c r="AB20" s="129"/>
      <c r="AC20" s="129"/>
      <c r="AD20" s="129"/>
      <c r="AE20" s="509">
        <f t="shared" si="25"/>
        <v>0</v>
      </c>
      <c r="AF20" s="129"/>
      <c r="AG20" s="129"/>
      <c r="AH20" s="129"/>
      <c r="AI20" s="509">
        <f t="shared" si="26"/>
        <v>0</v>
      </c>
      <c r="AJ20" s="129"/>
      <c r="AK20" s="129"/>
      <c r="AL20" s="129"/>
      <c r="AM20" s="509">
        <f t="shared" si="27"/>
        <v>0</v>
      </c>
      <c r="AN20" s="129"/>
      <c r="AO20" s="129"/>
      <c r="AP20" s="129"/>
      <c r="AQ20" s="509">
        <f t="shared" si="28"/>
        <v>0</v>
      </c>
      <c r="AR20" s="129"/>
      <c r="AS20" s="129"/>
      <c r="AT20" s="129"/>
      <c r="AU20" s="509">
        <f t="shared" si="29"/>
        <v>0</v>
      </c>
      <c r="AV20" s="129"/>
      <c r="AW20" s="129"/>
      <c r="AX20" s="129"/>
      <c r="AY20" s="509">
        <f t="shared" si="30"/>
        <v>0</v>
      </c>
      <c r="AZ20" s="23">
        <f t="shared" si="2"/>
        <v>0</v>
      </c>
      <c r="BA20" s="23">
        <f t="shared" si="2"/>
        <v>0</v>
      </c>
      <c r="BB20" s="509">
        <f t="shared" si="13"/>
        <v>0</v>
      </c>
      <c r="BC20" s="23">
        <f t="shared" si="14"/>
        <v>0</v>
      </c>
      <c r="BD20" s="257">
        <f t="shared" si="14"/>
        <v>0</v>
      </c>
      <c r="BE20" s="257">
        <f t="shared" si="15"/>
        <v>0</v>
      </c>
      <c r="BF20" s="257">
        <f t="shared" si="16"/>
        <v>0</v>
      </c>
      <c r="BG20" s="23">
        <f t="shared" si="16"/>
        <v>0</v>
      </c>
      <c r="BH20" s="257">
        <f t="shared" si="17"/>
        <v>0</v>
      </c>
      <c r="BI20" s="23">
        <f t="shared" si="18"/>
        <v>0</v>
      </c>
      <c r="BJ20" s="23">
        <f t="shared" si="18"/>
        <v>0</v>
      </c>
      <c r="BK20" s="257">
        <f t="shared" si="19"/>
        <v>0</v>
      </c>
      <c r="BL20" s="23">
        <f t="shared" si="20"/>
        <v>0</v>
      </c>
      <c r="BM20" s="23">
        <f t="shared" si="3"/>
        <v>0</v>
      </c>
      <c r="BN20" s="257">
        <f t="shared" si="3"/>
        <v>0</v>
      </c>
      <c r="BO20" s="466">
        <f t="shared" si="21"/>
        <v>0</v>
      </c>
      <c r="BP20" s="472"/>
      <c r="BQ20" s="23">
        <f t="shared" si="4"/>
        <v>0</v>
      </c>
      <c r="BR20" s="23" t="e">
        <f>E20+I20+M20+Q20+U20+Y20+#REF!</f>
        <v>#REF!</v>
      </c>
      <c r="BS20" s="466">
        <f t="shared" si="5"/>
        <v>0</v>
      </c>
      <c r="BT20" s="509">
        <f t="shared" si="6"/>
        <v>0</v>
      </c>
      <c r="BU20" s="466">
        <f t="shared" si="7"/>
        <v>0</v>
      </c>
    </row>
    <row r="21" spans="1:73" ht="12.6" customHeight="1">
      <c r="A21" s="254" t="s">
        <v>111</v>
      </c>
      <c r="B21" s="129">
        <f t="shared" si="0"/>
        <v>0</v>
      </c>
      <c r="C21" s="257"/>
      <c r="D21" s="129">
        <v>0</v>
      </c>
      <c r="E21" s="129"/>
      <c r="F21" s="129"/>
      <c r="G21" s="509">
        <f t="shared" si="8"/>
        <v>0</v>
      </c>
      <c r="H21" s="129"/>
      <c r="I21" s="129"/>
      <c r="J21" s="129"/>
      <c r="K21" s="509">
        <f t="shared" si="9"/>
        <v>0</v>
      </c>
      <c r="L21" s="129"/>
      <c r="M21" s="129">
        <v>0</v>
      </c>
      <c r="N21" s="129"/>
      <c r="O21" s="509">
        <f t="shared" si="1"/>
        <v>0</v>
      </c>
      <c r="P21" s="129"/>
      <c r="Q21" s="129">
        <v>0</v>
      </c>
      <c r="R21" s="129"/>
      <c r="S21" s="509">
        <f t="shared" si="10"/>
        <v>0</v>
      </c>
      <c r="T21" s="129"/>
      <c r="U21" s="129"/>
      <c r="V21" s="129">
        <f t="shared" si="11"/>
        <v>0</v>
      </c>
      <c r="W21" s="509">
        <f t="shared" si="12"/>
        <v>0</v>
      </c>
      <c r="X21" s="129"/>
      <c r="Y21" s="129"/>
      <c r="Z21" s="129"/>
      <c r="AA21" s="509">
        <f t="shared" si="22"/>
        <v>0</v>
      </c>
      <c r="AB21" s="129"/>
      <c r="AC21" s="129"/>
      <c r="AD21" s="129"/>
      <c r="AE21" s="509">
        <f t="shared" si="25"/>
        <v>0</v>
      </c>
      <c r="AF21" s="129"/>
      <c r="AG21" s="129"/>
      <c r="AH21" s="129"/>
      <c r="AI21" s="509">
        <f t="shared" si="26"/>
        <v>0</v>
      </c>
      <c r="AJ21" s="129"/>
      <c r="AK21" s="129"/>
      <c r="AL21" s="129"/>
      <c r="AM21" s="509">
        <f t="shared" si="27"/>
        <v>0</v>
      </c>
      <c r="AN21" s="129"/>
      <c r="AO21" s="129"/>
      <c r="AP21" s="129"/>
      <c r="AQ21" s="509">
        <f t="shared" si="28"/>
        <v>0</v>
      </c>
      <c r="AR21" s="129"/>
      <c r="AS21" s="129"/>
      <c r="AT21" s="129"/>
      <c r="AU21" s="509">
        <f t="shared" si="29"/>
        <v>0</v>
      </c>
      <c r="AV21" s="129"/>
      <c r="AW21" s="129"/>
      <c r="AX21" s="129"/>
      <c r="AY21" s="509">
        <f t="shared" si="30"/>
        <v>0</v>
      </c>
      <c r="AZ21" s="23">
        <f t="shared" si="2"/>
        <v>0</v>
      </c>
      <c r="BA21" s="23">
        <f t="shared" si="2"/>
        <v>0</v>
      </c>
      <c r="BB21" s="509">
        <f t="shared" si="13"/>
        <v>0</v>
      </c>
      <c r="BC21" s="23">
        <f t="shared" si="14"/>
        <v>0</v>
      </c>
      <c r="BD21" s="257">
        <f t="shared" si="14"/>
        <v>0</v>
      </c>
      <c r="BE21" s="257">
        <f t="shared" si="15"/>
        <v>0</v>
      </c>
      <c r="BF21" s="257">
        <f t="shared" si="16"/>
        <v>0</v>
      </c>
      <c r="BG21" s="23">
        <f t="shared" si="16"/>
        <v>0</v>
      </c>
      <c r="BH21" s="257">
        <f t="shared" si="17"/>
        <v>0</v>
      </c>
      <c r="BI21" s="23">
        <f t="shared" si="18"/>
        <v>0</v>
      </c>
      <c r="BJ21" s="23">
        <f t="shared" si="18"/>
        <v>0</v>
      </c>
      <c r="BK21" s="257">
        <f t="shared" si="19"/>
        <v>0</v>
      </c>
      <c r="BL21" s="23">
        <f t="shared" si="20"/>
        <v>0</v>
      </c>
      <c r="BM21" s="23">
        <f t="shared" si="3"/>
        <v>0</v>
      </c>
      <c r="BN21" s="257">
        <f t="shared" si="3"/>
        <v>0</v>
      </c>
      <c r="BO21" s="466">
        <f t="shared" si="21"/>
        <v>0</v>
      </c>
      <c r="BP21" s="472"/>
      <c r="BQ21" s="23">
        <f t="shared" si="4"/>
        <v>0</v>
      </c>
      <c r="BR21" s="23" t="e">
        <f>E21+I21+M21+Q21+U21+Y21+#REF!</f>
        <v>#REF!</v>
      </c>
      <c r="BS21" s="466">
        <f t="shared" si="5"/>
        <v>0</v>
      </c>
      <c r="BT21" s="509">
        <f t="shared" si="6"/>
        <v>0</v>
      </c>
      <c r="BU21" s="466">
        <f t="shared" si="7"/>
        <v>0</v>
      </c>
    </row>
    <row r="22" spans="1:73" ht="12.6" customHeight="1">
      <c r="A22" s="254" t="s">
        <v>106</v>
      </c>
      <c r="B22" s="129">
        <f t="shared" si="0"/>
        <v>0</v>
      </c>
      <c r="C22" s="257"/>
      <c r="D22" s="129">
        <v>0</v>
      </c>
      <c r="E22" s="129"/>
      <c r="F22" s="129"/>
      <c r="G22" s="509">
        <f t="shared" si="8"/>
        <v>0</v>
      </c>
      <c r="H22" s="129"/>
      <c r="I22" s="129"/>
      <c r="J22" s="129"/>
      <c r="K22" s="509">
        <f t="shared" si="9"/>
        <v>0</v>
      </c>
      <c r="L22" s="129"/>
      <c r="M22" s="129"/>
      <c r="N22" s="129"/>
      <c r="O22" s="509">
        <f t="shared" si="1"/>
        <v>0</v>
      </c>
      <c r="P22" s="129"/>
      <c r="Q22" s="129"/>
      <c r="R22" s="129"/>
      <c r="S22" s="509">
        <f t="shared" si="10"/>
        <v>0</v>
      </c>
      <c r="T22" s="129"/>
      <c r="U22" s="129"/>
      <c r="V22" s="129">
        <f>(T22*U22)/10^6</f>
        <v>0</v>
      </c>
      <c r="W22" s="509">
        <f t="shared" si="12"/>
        <v>0</v>
      </c>
      <c r="X22" s="129"/>
      <c r="Y22" s="129"/>
      <c r="Z22" s="129"/>
      <c r="AA22" s="509">
        <f t="shared" si="22"/>
        <v>0</v>
      </c>
      <c r="AB22" s="129"/>
      <c r="AC22" s="129"/>
      <c r="AD22" s="129"/>
      <c r="AE22" s="509">
        <f t="shared" si="25"/>
        <v>0</v>
      </c>
      <c r="AF22" s="129"/>
      <c r="AG22" s="129"/>
      <c r="AH22" s="129"/>
      <c r="AI22" s="509">
        <f t="shared" si="26"/>
        <v>0</v>
      </c>
      <c r="AJ22" s="129"/>
      <c r="AK22" s="129"/>
      <c r="AL22" s="129"/>
      <c r="AM22" s="509">
        <f t="shared" si="27"/>
        <v>0</v>
      </c>
      <c r="AN22" s="129"/>
      <c r="AO22" s="129"/>
      <c r="AP22" s="129"/>
      <c r="AQ22" s="509">
        <f t="shared" si="28"/>
        <v>0</v>
      </c>
      <c r="AR22" s="129"/>
      <c r="AS22" s="129"/>
      <c r="AT22" s="129"/>
      <c r="AU22" s="509">
        <f t="shared" si="29"/>
        <v>0</v>
      </c>
      <c r="AV22" s="129"/>
      <c r="AW22" s="129"/>
      <c r="AX22" s="129"/>
      <c r="AY22" s="509">
        <f t="shared" si="30"/>
        <v>0</v>
      </c>
      <c r="AZ22" s="23">
        <f t="shared" si="2"/>
        <v>0</v>
      </c>
      <c r="BA22" s="23">
        <f t="shared" si="2"/>
        <v>0</v>
      </c>
      <c r="BB22" s="509">
        <f t="shared" si="13"/>
        <v>0</v>
      </c>
      <c r="BC22" s="23">
        <f t="shared" si="14"/>
        <v>0</v>
      </c>
      <c r="BD22" s="257">
        <f t="shared" si="14"/>
        <v>0</v>
      </c>
      <c r="BE22" s="257">
        <f t="shared" si="15"/>
        <v>0</v>
      </c>
      <c r="BF22" s="257">
        <f t="shared" si="16"/>
        <v>0</v>
      </c>
      <c r="BG22" s="23">
        <f t="shared" si="16"/>
        <v>0</v>
      </c>
      <c r="BH22" s="257">
        <f t="shared" si="17"/>
        <v>0</v>
      </c>
      <c r="BI22" s="23">
        <f t="shared" si="18"/>
        <v>0</v>
      </c>
      <c r="BJ22" s="23">
        <f t="shared" si="18"/>
        <v>0</v>
      </c>
      <c r="BK22" s="257">
        <f t="shared" si="19"/>
        <v>0</v>
      </c>
      <c r="BL22" s="23">
        <f t="shared" si="20"/>
        <v>0</v>
      </c>
      <c r="BM22" s="23">
        <f t="shared" si="20"/>
        <v>0</v>
      </c>
      <c r="BN22" s="257">
        <f t="shared" si="20"/>
        <v>0</v>
      </c>
      <c r="BO22" s="466">
        <f t="shared" si="21"/>
        <v>0</v>
      </c>
      <c r="BP22" s="472"/>
      <c r="BQ22" s="23">
        <f t="shared" si="4"/>
        <v>0</v>
      </c>
      <c r="BR22" s="23" t="e">
        <f>E22+I22+M22+Q22+U22+Y22+#REF!</f>
        <v>#REF!</v>
      </c>
      <c r="BS22" s="466">
        <f t="shared" si="5"/>
        <v>0</v>
      </c>
      <c r="BT22" s="509">
        <f t="shared" si="6"/>
        <v>0</v>
      </c>
      <c r="BU22" s="466">
        <f t="shared" si="7"/>
        <v>0</v>
      </c>
    </row>
    <row r="23" spans="1:73" ht="12.6" customHeight="1">
      <c r="A23" s="503" t="s">
        <v>243</v>
      </c>
      <c r="B23" s="129">
        <f t="shared" si="0"/>
        <v>0</v>
      </c>
      <c r="C23" s="257">
        <v>143.1</v>
      </c>
      <c r="D23" s="129">
        <v>0</v>
      </c>
      <c r="E23" s="129"/>
      <c r="F23" s="129"/>
      <c r="G23" s="509">
        <f t="shared" si="8"/>
        <v>0</v>
      </c>
      <c r="H23" s="129"/>
      <c r="I23" s="129"/>
      <c r="J23" s="129"/>
      <c r="K23" s="509">
        <f t="shared" si="9"/>
        <v>0</v>
      </c>
      <c r="L23" s="129"/>
      <c r="M23" s="129">
        <v>56</v>
      </c>
      <c r="N23" s="129">
        <v>1275</v>
      </c>
      <c r="O23" s="509">
        <f>M23*(N23-C23)*67.28/10^7</f>
        <v>0.42646369920000005</v>
      </c>
      <c r="P23" s="129"/>
      <c r="Q23" s="129">
        <v>604</v>
      </c>
      <c r="R23" s="129">
        <v>1348</v>
      </c>
      <c r="S23" s="509">
        <f t="shared" si="10"/>
        <v>4.8905445120000008</v>
      </c>
      <c r="T23" s="129"/>
      <c r="U23" s="129"/>
      <c r="V23" s="129">
        <f t="shared" si="11"/>
        <v>0</v>
      </c>
      <c r="W23" s="509">
        <f t="shared" si="12"/>
        <v>0</v>
      </c>
      <c r="X23" s="129"/>
      <c r="Y23" s="129">
        <f>110-36</f>
        <v>74</v>
      </c>
      <c r="Z23" s="129">
        <v>1203</v>
      </c>
      <c r="AA23" s="509">
        <f t="shared" si="22"/>
        <v>0.52306700940000006</v>
      </c>
      <c r="AB23" s="129"/>
      <c r="AC23" s="129"/>
      <c r="AD23" s="129"/>
      <c r="AE23" s="509">
        <f t="shared" si="25"/>
        <v>0</v>
      </c>
      <c r="AF23" s="129"/>
      <c r="AG23" s="129"/>
      <c r="AH23" s="129"/>
      <c r="AI23" s="509">
        <f t="shared" si="26"/>
        <v>0</v>
      </c>
      <c r="AJ23" s="129"/>
      <c r="AK23" s="129"/>
      <c r="AL23" s="129"/>
      <c r="AM23" s="509">
        <f t="shared" si="27"/>
        <v>0</v>
      </c>
      <c r="AN23" s="129"/>
      <c r="AO23" s="129"/>
      <c r="AP23" s="129"/>
      <c r="AQ23" s="509">
        <f t="shared" si="28"/>
        <v>0</v>
      </c>
      <c r="AR23" s="129"/>
      <c r="AS23" s="129"/>
      <c r="AT23" s="129"/>
      <c r="AU23" s="509">
        <f t="shared" si="29"/>
        <v>0</v>
      </c>
      <c r="AV23" s="129"/>
      <c r="AW23" s="129"/>
      <c r="AX23" s="129"/>
      <c r="AY23" s="509">
        <f t="shared" si="30"/>
        <v>0</v>
      </c>
      <c r="AZ23" s="23">
        <f t="shared" si="2"/>
        <v>0</v>
      </c>
      <c r="BA23" s="23">
        <f t="shared" si="2"/>
        <v>56</v>
      </c>
      <c r="BB23" s="509">
        <f t="shared" si="13"/>
        <v>0.42646369920000005</v>
      </c>
      <c r="BC23" s="23">
        <f t="shared" si="14"/>
        <v>0</v>
      </c>
      <c r="BD23" s="257">
        <f t="shared" si="14"/>
        <v>678</v>
      </c>
      <c r="BE23" s="257">
        <f t="shared" si="15"/>
        <v>5.4136115214000009</v>
      </c>
      <c r="BF23" s="257">
        <f t="shared" si="16"/>
        <v>0</v>
      </c>
      <c r="BG23" s="23">
        <f t="shared" si="16"/>
        <v>0</v>
      </c>
      <c r="BH23" s="257">
        <f t="shared" si="17"/>
        <v>0</v>
      </c>
      <c r="BI23" s="23">
        <f t="shared" si="18"/>
        <v>0</v>
      </c>
      <c r="BJ23" s="23">
        <f t="shared" si="18"/>
        <v>0</v>
      </c>
      <c r="BK23" s="257">
        <f t="shared" si="19"/>
        <v>0</v>
      </c>
      <c r="BL23" s="23">
        <f t="shared" si="20"/>
        <v>0</v>
      </c>
      <c r="BM23" s="23">
        <f t="shared" si="20"/>
        <v>734</v>
      </c>
      <c r="BN23" s="257">
        <f t="shared" si="20"/>
        <v>5.8400752206000011</v>
      </c>
      <c r="BO23" s="466">
        <f t="shared" si="21"/>
        <v>0</v>
      </c>
      <c r="BP23" s="472"/>
      <c r="BQ23" s="23">
        <f t="shared" si="4"/>
        <v>0</v>
      </c>
      <c r="BR23" s="23" t="e">
        <f>E23+I23+M23+Q23+U23+Y23+#REF!</f>
        <v>#REF!</v>
      </c>
      <c r="BS23" s="466">
        <f t="shared" si="5"/>
        <v>0</v>
      </c>
      <c r="BT23" s="509">
        <f t="shared" si="6"/>
        <v>5.8400752206000011</v>
      </c>
      <c r="BU23" s="466">
        <f t="shared" si="7"/>
        <v>0</v>
      </c>
    </row>
    <row r="24" spans="1:73" ht="12.6" customHeight="1">
      <c r="A24" s="482" t="s">
        <v>73</v>
      </c>
      <c r="B24" s="457">
        <f>SUM(B6:B23)</f>
        <v>3770</v>
      </c>
      <c r="C24" s="458"/>
      <c r="D24" s="457">
        <f>SUM(D6:D23)</f>
        <v>252</v>
      </c>
      <c r="E24" s="457">
        <f>SUM(E6:E23)</f>
        <v>177</v>
      </c>
      <c r="F24" s="457"/>
      <c r="G24" s="511">
        <f>SUM(G6:G23)</f>
        <v>1.1103414680000001</v>
      </c>
      <c r="H24" s="457">
        <f>SUM(H6:H23)</f>
        <v>270</v>
      </c>
      <c r="I24" s="457">
        <f>SUM(I6:I23)</f>
        <v>219</v>
      </c>
      <c r="J24" s="457"/>
      <c r="K24" s="511">
        <f>SUM(K6:K23)</f>
        <v>0.98678801090000001</v>
      </c>
      <c r="L24" s="457">
        <f>SUM(L6:L23)</f>
        <v>312</v>
      </c>
      <c r="M24" s="457">
        <f>SUM(M6:M23)</f>
        <v>177</v>
      </c>
      <c r="N24" s="457"/>
      <c r="O24" s="511">
        <f>SUM(O6:O23)</f>
        <v>0.83485599040000014</v>
      </c>
      <c r="P24" s="457">
        <f>SUM(P6:P23)</f>
        <v>300</v>
      </c>
      <c r="Q24" s="457">
        <f>SUM(Q6:Q23)</f>
        <v>920</v>
      </c>
      <c r="R24" s="457"/>
      <c r="S24" s="511">
        <f>SUM(S6:S23)</f>
        <v>7.123737600000001</v>
      </c>
      <c r="T24" s="457">
        <f>SUM(T6:T23)</f>
        <v>366</v>
      </c>
      <c r="U24" s="457">
        <f>SUM(U6:U23)</f>
        <v>111</v>
      </c>
      <c r="V24" s="457"/>
      <c r="W24" s="511">
        <f>SUM(W6:W23)</f>
        <v>0.64484243939999997</v>
      </c>
      <c r="X24" s="457">
        <f>SUM(X6:X23)</f>
        <v>317</v>
      </c>
      <c r="Y24" s="457">
        <f>SUM(Y6:Y23)</f>
        <v>204</v>
      </c>
      <c r="Z24" s="457"/>
      <c r="AA24" s="511">
        <f>SUM(AA6:AA23)</f>
        <v>1.1831386203000001</v>
      </c>
      <c r="AB24" s="457">
        <f>SUM(AB6:AB23)</f>
        <v>362</v>
      </c>
      <c r="AC24" s="457">
        <f>SUM(AC6:AC23)</f>
        <v>308</v>
      </c>
      <c r="AD24" s="457"/>
      <c r="AE24" s="511">
        <f>SUM(AE6:AE23)</f>
        <v>1.9365224777753087</v>
      </c>
      <c r="AF24" s="457">
        <f>SUM(AF6:AF23)</f>
        <v>312</v>
      </c>
      <c r="AG24" s="457">
        <f>SUM(AG6:AG23)</f>
        <v>322</v>
      </c>
      <c r="AH24" s="457"/>
      <c r="AI24" s="511">
        <f>SUM(AI6:AI23)</f>
        <v>1.4171933108768417</v>
      </c>
      <c r="AJ24" s="457">
        <f>SUM(AJ6:AJ23)</f>
        <v>305</v>
      </c>
      <c r="AK24" s="457">
        <f>SUM(AK6:AK23)</f>
        <v>131</v>
      </c>
      <c r="AL24" s="457"/>
      <c r="AM24" s="511">
        <f>SUM(AM6:AM23)</f>
        <v>0.68621957709700609</v>
      </c>
      <c r="AN24" s="457">
        <f>SUM(AN6:AN23)</f>
        <v>337</v>
      </c>
      <c r="AO24" s="457">
        <f>SUM(AO6:AO23)</f>
        <v>140</v>
      </c>
      <c r="AP24" s="457"/>
      <c r="AQ24" s="511">
        <f>SUM(AQ6:AQ23)</f>
        <v>0.9922842394181639</v>
      </c>
      <c r="AR24" s="457">
        <f>SUM(AR6:AR23)</f>
        <v>310</v>
      </c>
      <c r="AS24" s="457">
        <f>SUM(AS6:AS23)</f>
        <v>224</v>
      </c>
      <c r="AT24" s="457"/>
      <c r="AU24" s="511">
        <f>SUM(AU6:AU23)</f>
        <v>1.0471936252116354</v>
      </c>
      <c r="AV24" s="457">
        <f>SUM(AV6:AV23)</f>
        <v>327</v>
      </c>
      <c r="AW24" s="457">
        <f>SUM(AW6:AW23)</f>
        <v>0</v>
      </c>
      <c r="AX24" s="457"/>
      <c r="AY24" s="511">
        <f>SUM(AY6:AY23)</f>
        <v>0</v>
      </c>
      <c r="AZ24" s="457">
        <f t="shared" ref="AZ24:BN24" si="31">SUM(AZ6:AZ23)</f>
        <v>834</v>
      </c>
      <c r="BA24" s="458">
        <f t="shared" si="31"/>
        <v>573</v>
      </c>
      <c r="BB24" s="511">
        <f t="shared" si="31"/>
        <v>2.9319854693000003</v>
      </c>
      <c r="BC24" s="457">
        <f t="shared" si="31"/>
        <v>983</v>
      </c>
      <c r="BD24" s="458">
        <f t="shared" si="31"/>
        <v>1235</v>
      </c>
      <c r="BE24" s="457">
        <f t="shared" si="31"/>
        <v>8.9517186597000009</v>
      </c>
      <c r="BF24" s="457">
        <f t="shared" si="31"/>
        <v>979</v>
      </c>
      <c r="BG24" s="457">
        <f t="shared" si="31"/>
        <v>761</v>
      </c>
      <c r="BH24" s="458">
        <f t="shared" si="31"/>
        <v>4.039935365749157</v>
      </c>
      <c r="BI24" s="457">
        <f t="shared" si="31"/>
        <v>974</v>
      </c>
      <c r="BJ24" s="457">
        <f t="shared" si="31"/>
        <v>364</v>
      </c>
      <c r="BK24" s="458">
        <f t="shared" si="31"/>
        <v>2.0394778646297995</v>
      </c>
      <c r="BL24" s="457">
        <f t="shared" si="31"/>
        <v>3770</v>
      </c>
      <c r="BM24" s="457">
        <f t="shared" si="31"/>
        <v>2933</v>
      </c>
      <c r="BN24" s="457">
        <f t="shared" si="31"/>
        <v>17.963117359378955</v>
      </c>
      <c r="BO24" s="525">
        <f>IFERROR(BM24/BL24,0)</f>
        <v>0.77798408488063664</v>
      </c>
      <c r="BP24" s="472"/>
      <c r="BQ24" s="457">
        <f t="shared" ref="BQ24:BR24" si="32">SUM(BQ6:BQ23)</f>
        <v>2179</v>
      </c>
      <c r="BR24" s="457" t="e">
        <f t="shared" si="32"/>
        <v>#REF!</v>
      </c>
      <c r="BS24" s="525">
        <f t="shared" ref="BS24:BS70" si="33">IFERROR(BR24/BQ24,0)</f>
        <v>0</v>
      </c>
      <c r="BT24" s="511">
        <f t="shared" ref="BT24" si="34">SUM(BT6:BT23)</f>
        <v>11.883704129000002</v>
      </c>
      <c r="BU24" s="525">
        <f t="shared" si="7"/>
        <v>0</v>
      </c>
    </row>
    <row r="25" spans="1:73" s="31" customFormat="1" ht="12.6" customHeight="1">
      <c r="A25" s="504"/>
      <c r="B25" s="459"/>
      <c r="C25" s="460"/>
      <c r="D25" s="459"/>
      <c r="E25" s="459"/>
      <c r="F25" s="459"/>
      <c r="G25" s="512"/>
      <c r="H25" s="459"/>
      <c r="I25" s="459"/>
      <c r="J25" s="459"/>
      <c r="K25" s="512"/>
      <c r="L25" s="459"/>
      <c r="M25" s="459"/>
      <c r="N25" s="459"/>
      <c r="O25" s="512"/>
      <c r="P25" s="459"/>
      <c r="Q25" s="459"/>
      <c r="R25" s="459"/>
      <c r="S25" s="512"/>
      <c r="T25" s="459"/>
      <c r="U25" s="459"/>
      <c r="V25" s="459"/>
      <c r="W25" s="512"/>
      <c r="X25" s="459"/>
      <c r="Y25" s="459"/>
      <c r="Z25" s="459"/>
      <c r="AA25" s="512"/>
      <c r="AB25" s="459"/>
      <c r="AC25" s="459"/>
      <c r="AD25" s="459"/>
      <c r="AE25" s="512"/>
      <c r="AF25" s="459"/>
      <c r="AG25" s="459"/>
      <c r="AH25" s="459"/>
      <c r="AI25" s="512"/>
      <c r="AJ25" s="459"/>
      <c r="AK25" s="459"/>
      <c r="AL25" s="459"/>
      <c r="AM25" s="512"/>
      <c r="AN25" s="459"/>
      <c r="AO25" s="459"/>
      <c r="AP25" s="459"/>
      <c r="AQ25" s="512"/>
      <c r="AR25" s="459"/>
      <c r="AS25" s="459"/>
      <c r="AT25" s="459"/>
      <c r="AU25" s="512"/>
      <c r="AV25" s="459"/>
      <c r="AW25" s="459"/>
      <c r="AX25" s="459"/>
      <c r="AY25" s="512"/>
      <c r="AZ25" s="459"/>
      <c r="BA25" s="460"/>
      <c r="BB25" s="512"/>
      <c r="BC25" s="459"/>
      <c r="BD25" s="460"/>
      <c r="BE25" s="460"/>
      <c r="BF25" s="460"/>
      <c r="BG25" s="459"/>
      <c r="BH25" s="460"/>
      <c r="BI25" s="459"/>
      <c r="BJ25" s="459"/>
      <c r="BK25" s="460"/>
      <c r="BL25" s="459"/>
      <c r="BM25" s="459"/>
      <c r="BN25" s="460"/>
      <c r="BO25" s="526">
        <f t="shared" ref="BO25:BO80" si="35">IFERROR(BL25/BK25,0)</f>
        <v>0</v>
      </c>
      <c r="BP25" s="473"/>
      <c r="BQ25" s="459"/>
      <c r="BR25" s="492"/>
      <c r="BS25" s="526">
        <f t="shared" si="33"/>
        <v>0</v>
      </c>
      <c r="BT25" s="528"/>
      <c r="BU25" s="526">
        <f t="shared" si="7"/>
        <v>0</v>
      </c>
    </row>
    <row r="26" spans="1:73" ht="12.6" customHeight="1">
      <c r="A26" s="254" t="s">
        <v>33</v>
      </c>
      <c r="B26" s="129">
        <f t="shared" ref="B26:B53" si="36">D26+H26+L26+P26+T26+X26+AB26+AF26+AJ26+AN26+AR26+AV26</f>
        <v>0</v>
      </c>
      <c r="C26" s="257">
        <v>48.428571428571431</v>
      </c>
      <c r="D26" s="129">
        <v>0</v>
      </c>
      <c r="E26" s="129"/>
      <c r="F26" s="129"/>
      <c r="G26" s="509">
        <f t="shared" ref="G26:G53" si="37">E26*(F26-C26)*66.47/10^7</f>
        <v>0</v>
      </c>
      <c r="H26" s="129"/>
      <c r="I26" s="129"/>
      <c r="J26" s="129"/>
      <c r="K26" s="509">
        <f t="shared" ref="K26:K53" si="38">I26*(J26-C26)*66.91/10^7</f>
        <v>0</v>
      </c>
      <c r="L26" s="129"/>
      <c r="M26" s="129"/>
      <c r="N26" s="129"/>
      <c r="O26" s="509">
        <f t="shared" ref="O26:O53" si="39">M26*(N26-C26)*67.28/10^7</f>
        <v>0</v>
      </c>
      <c r="P26" s="129"/>
      <c r="Q26" s="129"/>
      <c r="R26" s="129"/>
      <c r="S26" s="509">
        <f t="shared" ref="S26:S53" si="40">Q26*(R26-C26)*67.2/10^7</f>
        <v>0</v>
      </c>
      <c r="T26" s="129"/>
      <c r="U26" s="129"/>
      <c r="V26" s="129">
        <f t="shared" ref="V26:V53" si="41">(T26*U26)/10^6</f>
        <v>0</v>
      </c>
      <c r="W26" s="509">
        <f t="shared" ref="W26:W53" si="42">U26*(V26-C26)*66.93/10^7</f>
        <v>0</v>
      </c>
      <c r="X26" s="129"/>
      <c r="Y26" s="129"/>
      <c r="Z26" s="129"/>
      <c r="AA26" s="509">
        <f t="shared" ref="AA26:AA53" si="43">Y26*(Z26-C26)*66.69/10^7</f>
        <v>0</v>
      </c>
      <c r="AB26" s="129"/>
      <c r="AC26" s="129"/>
      <c r="AD26" s="129"/>
      <c r="AE26" s="509">
        <f t="shared" ref="AE26:AE53" si="44">AC26*(AD26-G26)*66.73/10^7</f>
        <v>0</v>
      </c>
      <c r="AF26" s="129"/>
      <c r="AG26" s="129"/>
      <c r="AH26" s="129"/>
      <c r="AI26" s="509">
        <f t="shared" ref="AI26:AI53" si="45">AG26*(AH26-K26)*67.58/10^7</f>
        <v>0</v>
      </c>
      <c r="AJ26" s="129"/>
      <c r="AK26" s="129"/>
      <c r="AL26" s="129"/>
      <c r="AM26" s="509">
        <f t="shared" ref="AM26:AM53" si="46">AK26*(AL26-O26)*67.91/10^7</f>
        <v>0</v>
      </c>
      <c r="AN26" s="129"/>
      <c r="AO26" s="129"/>
      <c r="AP26" s="129"/>
      <c r="AQ26" s="509">
        <f t="shared" ref="AQ26:AQ53" si="47">AO26*(AP26-S26)*68.01/10^7</f>
        <v>0</v>
      </c>
      <c r="AR26" s="129"/>
      <c r="AS26" s="129">
        <v>19</v>
      </c>
      <c r="AT26" s="129">
        <v>4978</v>
      </c>
      <c r="AU26" s="509">
        <f t="shared" ref="AU26:AU53" si="48">AS26*(AT26-W26)*67.01/10^7</f>
        <v>0.63379398200000003</v>
      </c>
      <c r="AV26" s="129"/>
      <c r="AW26" s="129"/>
      <c r="AX26" s="129"/>
      <c r="AY26" s="509">
        <f t="shared" ref="AY26:AY53" si="49">AW26*(AX26-AA26)*66.69/10^7</f>
        <v>0</v>
      </c>
      <c r="AZ26" s="23">
        <f t="shared" ref="AZ26:BA53" si="50">+D26+H26+L26</f>
        <v>0</v>
      </c>
      <c r="BA26" s="23">
        <f t="shared" si="50"/>
        <v>0</v>
      </c>
      <c r="BB26" s="509">
        <f t="shared" ref="BB26:BB53" si="51">+G26+K26+O26</f>
        <v>0</v>
      </c>
      <c r="BC26" s="23">
        <f t="shared" ref="BC26:BD53" si="52">+P26+T26+X26</f>
        <v>0</v>
      </c>
      <c r="BD26" s="257">
        <f t="shared" si="52"/>
        <v>0</v>
      </c>
      <c r="BE26" s="257">
        <f t="shared" ref="BE26:BE53" si="53">S26+W26+AA26</f>
        <v>0</v>
      </c>
      <c r="BF26" s="257">
        <f t="shared" ref="BF26:BG53" si="54">AB26+AF26+AJ26</f>
        <v>0</v>
      </c>
      <c r="BG26" s="23">
        <f t="shared" si="54"/>
        <v>0</v>
      </c>
      <c r="BH26" s="257">
        <f t="shared" ref="BH26:BH53" si="55">AE26+AI26+AM26</f>
        <v>0</v>
      </c>
      <c r="BI26" s="23">
        <f t="shared" ref="BI26:BJ53" si="56">+AN26+AR26+AV26</f>
        <v>0</v>
      </c>
      <c r="BJ26" s="23">
        <f t="shared" si="56"/>
        <v>19</v>
      </c>
      <c r="BK26" s="257">
        <f t="shared" ref="BK26:BK53" si="57">AQ26+AU26+AY26</f>
        <v>0.63379398200000003</v>
      </c>
      <c r="BL26" s="23">
        <f t="shared" ref="BL26:BN53" si="58">AZ26+BC26+BF26+BI26</f>
        <v>0</v>
      </c>
      <c r="BM26" s="23">
        <f t="shared" si="58"/>
        <v>19</v>
      </c>
      <c r="BN26" s="257">
        <f t="shared" si="58"/>
        <v>0.63379398200000003</v>
      </c>
      <c r="BO26" s="466">
        <f t="shared" ref="BO26:BO53" si="59">IFERROR(BM26/BL26,0)</f>
        <v>0</v>
      </c>
      <c r="BP26" s="472"/>
      <c r="BQ26" s="23">
        <f t="shared" ref="BQ26:BQ53" si="60">D26+H26+L26+P26+T26+X26+AB26</f>
        <v>0</v>
      </c>
      <c r="BR26" s="23" t="e">
        <f>E26+I26+M26+Q26+U26+Y26+#REF!</f>
        <v>#REF!</v>
      </c>
      <c r="BS26" s="466">
        <f t="shared" si="33"/>
        <v>0</v>
      </c>
      <c r="BT26" s="509">
        <f t="shared" ref="BT26:BT53" si="61">G26+K26+O26+S26+W26+AA26</f>
        <v>0</v>
      </c>
      <c r="BU26" s="466">
        <f t="shared" si="7"/>
        <v>0</v>
      </c>
    </row>
    <row r="27" spans="1:73" ht="12.6" customHeight="1">
      <c r="A27" s="254" t="s">
        <v>34</v>
      </c>
      <c r="B27" s="129">
        <f t="shared" si="36"/>
        <v>0</v>
      </c>
      <c r="C27" s="257">
        <v>66.828571428571422</v>
      </c>
      <c r="D27" s="129">
        <v>0</v>
      </c>
      <c r="E27" s="129"/>
      <c r="F27" s="129"/>
      <c r="G27" s="509">
        <f t="shared" si="37"/>
        <v>0</v>
      </c>
      <c r="H27" s="129"/>
      <c r="I27" s="129"/>
      <c r="J27" s="129"/>
      <c r="K27" s="509">
        <f t="shared" si="38"/>
        <v>0</v>
      </c>
      <c r="L27" s="129"/>
      <c r="M27" s="129"/>
      <c r="N27" s="129"/>
      <c r="O27" s="509">
        <f t="shared" si="39"/>
        <v>0</v>
      </c>
      <c r="P27" s="129"/>
      <c r="Q27" s="129"/>
      <c r="R27" s="129"/>
      <c r="S27" s="509">
        <f t="shared" si="40"/>
        <v>0</v>
      </c>
      <c r="T27" s="129"/>
      <c r="U27" s="129"/>
      <c r="V27" s="129">
        <f t="shared" si="41"/>
        <v>0</v>
      </c>
      <c r="W27" s="509">
        <f t="shared" si="42"/>
        <v>0</v>
      </c>
      <c r="X27" s="129"/>
      <c r="Y27" s="129"/>
      <c r="Z27" s="129"/>
      <c r="AA27" s="509">
        <f t="shared" si="43"/>
        <v>0</v>
      </c>
      <c r="AB27" s="129"/>
      <c r="AC27" s="129"/>
      <c r="AD27" s="129"/>
      <c r="AE27" s="509">
        <f t="shared" si="44"/>
        <v>0</v>
      </c>
      <c r="AF27" s="129"/>
      <c r="AG27" s="129"/>
      <c r="AH27" s="129"/>
      <c r="AI27" s="509">
        <f t="shared" si="45"/>
        <v>0</v>
      </c>
      <c r="AJ27" s="129"/>
      <c r="AK27" s="129">
        <v>104</v>
      </c>
      <c r="AL27" s="129">
        <v>3835</v>
      </c>
      <c r="AM27" s="509">
        <f t="shared" si="46"/>
        <v>2.7085224399999999</v>
      </c>
      <c r="AN27" s="129"/>
      <c r="AO27" s="129">
        <v>65</v>
      </c>
      <c r="AP27" s="129">
        <v>3852</v>
      </c>
      <c r="AQ27" s="509">
        <f t="shared" si="47"/>
        <v>1.7028343800000001</v>
      </c>
      <c r="AR27" s="129"/>
      <c r="AS27" s="129"/>
      <c r="AT27" s="129"/>
      <c r="AU27" s="509">
        <f t="shared" si="48"/>
        <v>0</v>
      </c>
      <c r="AV27" s="129"/>
      <c r="AW27" s="129"/>
      <c r="AX27" s="129"/>
      <c r="AY27" s="509">
        <f t="shared" si="49"/>
        <v>0</v>
      </c>
      <c r="AZ27" s="23">
        <f t="shared" si="50"/>
        <v>0</v>
      </c>
      <c r="BA27" s="23">
        <f t="shared" si="50"/>
        <v>0</v>
      </c>
      <c r="BB27" s="509">
        <f t="shared" si="51"/>
        <v>0</v>
      </c>
      <c r="BC27" s="23">
        <f t="shared" si="52"/>
        <v>0</v>
      </c>
      <c r="BD27" s="257">
        <f t="shared" si="52"/>
        <v>0</v>
      </c>
      <c r="BE27" s="257">
        <f t="shared" si="53"/>
        <v>0</v>
      </c>
      <c r="BF27" s="257">
        <f t="shared" si="54"/>
        <v>0</v>
      </c>
      <c r="BG27" s="23">
        <f t="shared" si="54"/>
        <v>104</v>
      </c>
      <c r="BH27" s="257">
        <f t="shared" si="55"/>
        <v>2.7085224399999999</v>
      </c>
      <c r="BI27" s="23">
        <f t="shared" si="56"/>
        <v>0</v>
      </c>
      <c r="BJ27" s="23">
        <f t="shared" si="56"/>
        <v>65</v>
      </c>
      <c r="BK27" s="257">
        <f t="shared" si="57"/>
        <v>1.7028343800000001</v>
      </c>
      <c r="BL27" s="23">
        <f t="shared" si="58"/>
        <v>0</v>
      </c>
      <c r="BM27" s="23">
        <f t="shared" si="58"/>
        <v>169</v>
      </c>
      <c r="BN27" s="257">
        <f t="shared" si="58"/>
        <v>4.41135682</v>
      </c>
      <c r="BO27" s="466">
        <f t="shared" si="59"/>
        <v>0</v>
      </c>
      <c r="BP27" s="472"/>
      <c r="BQ27" s="23">
        <f t="shared" si="60"/>
        <v>0</v>
      </c>
      <c r="BR27" s="23" t="e">
        <f>E27+I27+M27+Q27+U27+Y27+#REF!</f>
        <v>#REF!</v>
      </c>
      <c r="BS27" s="466">
        <f t="shared" si="33"/>
        <v>0</v>
      </c>
      <c r="BT27" s="509">
        <f t="shared" si="61"/>
        <v>0</v>
      </c>
      <c r="BU27" s="466">
        <f t="shared" si="7"/>
        <v>0</v>
      </c>
    </row>
    <row r="28" spans="1:73" ht="12.6" customHeight="1">
      <c r="A28" s="254" t="s">
        <v>62</v>
      </c>
      <c r="B28" s="129">
        <f t="shared" si="36"/>
        <v>0</v>
      </c>
      <c r="C28" s="257">
        <v>0</v>
      </c>
      <c r="D28" s="129">
        <v>0</v>
      </c>
      <c r="E28" s="129"/>
      <c r="F28" s="129"/>
      <c r="G28" s="509">
        <f t="shared" si="37"/>
        <v>0</v>
      </c>
      <c r="H28" s="129"/>
      <c r="I28" s="129"/>
      <c r="J28" s="129"/>
      <c r="K28" s="509">
        <f t="shared" si="38"/>
        <v>0</v>
      </c>
      <c r="L28" s="129"/>
      <c r="M28" s="129"/>
      <c r="N28" s="129"/>
      <c r="O28" s="509">
        <f t="shared" si="39"/>
        <v>0</v>
      </c>
      <c r="P28" s="129"/>
      <c r="Q28" s="129"/>
      <c r="R28" s="129"/>
      <c r="S28" s="509">
        <f t="shared" si="40"/>
        <v>0</v>
      </c>
      <c r="T28" s="129"/>
      <c r="U28" s="129"/>
      <c r="V28" s="129">
        <f t="shared" si="41"/>
        <v>0</v>
      </c>
      <c r="W28" s="509">
        <f t="shared" si="42"/>
        <v>0</v>
      </c>
      <c r="X28" s="129"/>
      <c r="Y28" s="129"/>
      <c r="Z28" s="129"/>
      <c r="AA28" s="509">
        <f t="shared" si="43"/>
        <v>0</v>
      </c>
      <c r="AB28" s="129"/>
      <c r="AC28" s="129"/>
      <c r="AD28" s="129"/>
      <c r="AE28" s="509">
        <f t="shared" si="44"/>
        <v>0</v>
      </c>
      <c r="AF28" s="129"/>
      <c r="AG28" s="129"/>
      <c r="AH28" s="129"/>
      <c r="AI28" s="509">
        <f t="shared" si="45"/>
        <v>0</v>
      </c>
      <c r="AJ28" s="129"/>
      <c r="AK28" s="129"/>
      <c r="AL28" s="129"/>
      <c r="AM28" s="509">
        <f t="shared" si="46"/>
        <v>0</v>
      </c>
      <c r="AN28" s="129"/>
      <c r="AO28" s="129"/>
      <c r="AP28" s="129"/>
      <c r="AQ28" s="509">
        <f t="shared" si="47"/>
        <v>0</v>
      </c>
      <c r="AR28" s="129"/>
      <c r="AS28" s="129"/>
      <c r="AT28" s="129"/>
      <c r="AU28" s="509">
        <f t="shared" si="48"/>
        <v>0</v>
      </c>
      <c r="AV28" s="129"/>
      <c r="AW28" s="129"/>
      <c r="AX28" s="129"/>
      <c r="AY28" s="509">
        <f t="shared" si="49"/>
        <v>0</v>
      </c>
      <c r="AZ28" s="23">
        <f t="shared" si="50"/>
        <v>0</v>
      </c>
      <c r="BA28" s="23">
        <f t="shared" si="50"/>
        <v>0</v>
      </c>
      <c r="BB28" s="509">
        <f t="shared" si="51"/>
        <v>0</v>
      </c>
      <c r="BC28" s="23">
        <f t="shared" si="52"/>
        <v>0</v>
      </c>
      <c r="BD28" s="257">
        <f t="shared" si="52"/>
        <v>0</v>
      </c>
      <c r="BE28" s="257">
        <f t="shared" si="53"/>
        <v>0</v>
      </c>
      <c r="BF28" s="257">
        <f t="shared" si="54"/>
        <v>0</v>
      </c>
      <c r="BG28" s="23">
        <f t="shared" si="54"/>
        <v>0</v>
      </c>
      <c r="BH28" s="257">
        <f t="shared" si="55"/>
        <v>0</v>
      </c>
      <c r="BI28" s="23">
        <f t="shared" si="56"/>
        <v>0</v>
      </c>
      <c r="BJ28" s="23">
        <f t="shared" si="56"/>
        <v>0</v>
      </c>
      <c r="BK28" s="257">
        <f t="shared" si="57"/>
        <v>0</v>
      </c>
      <c r="BL28" s="23">
        <f t="shared" si="58"/>
        <v>0</v>
      </c>
      <c r="BM28" s="23">
        <f t="shared" si="58"/>
        <v>0</v>
      </c>
      <c r="BN28" s="257">
        <f t="shared" si="58"/>
        <v>0</v>
      </c>
      <c r="BO28" s="466">
        <f t="shared" si="59"/>
        <v>0</v>
      </c>
      <c r="BP28" s="472"/>
      <c r="BQ28" s="23">
        <f t="shared" si="60"/>
        <v>0</v>
      </c>
      <c r="BR28" s="23" t="e">
        <f>E28+I28+M28+Q28+U28+Y28+#REF!</f>
        <v>#REF!</v>
      </c>
      <c r="BS28" s="466">
        <f t="shared" si="33"/>
        <v>0</v>
      </c>
      <c r="BT28" s="509">
        <f t="shared" si="61"/>
        <v>0</v>
      </c>
      <c r="BU28" s="466">
        <f t="shared" si="7"/>
        <v>0</v>
      </c>
    </row>
    <row r="29" spans="1:73" ht="12.6" customHeight="1">
      <c r="A29" s="254" t="s">
        <v>32</v>
      </c>
      <c r="B29" s="129">
        <f t="shared" si="36"/>
        <v>0</v>
      </c>
      <c r="C29" s="257">
        <v>48.428571428571431</v>
      </c>
      <c r="D29" s="129">
        <v>0</v>
      </c>
      <c r="E29" s="129"/>
      <c r="F29" s="129"/>
      <c r="G29" s="509">
        <f t="shared" si="37"/>
        <v>0</v>
      </c>
      <c r="H29" s="129"/>
      <c r="I29" s="129"/>
      <c r="J29" s="129"/>
      <c r="K29" s="509">
        <f t="shared" si="38"/>
        <v>0</v>
      </c>
      <c r="L29" s="129"/>
      <c r="M29" s="129"/>
      <c r="N29" s="129"/>
      <c r="O29" s="509">
        <f t="shared" si="39"/>
        <v>0</v>
      </c>
      <c r="P29" s="129"/>
      <c r="Q29" s="129"/>
      <c r="R29" s="129"/>
      <c r="S29" s="509">
        <f t="shared" si="40"/>
        <v>0</v>
      </c>
      <c r="T29" s="129"/>
      <c r="U29" s="129"/>
      <c r="V29" s="129">
        <f t="shared" si="41"/>
        <v>0</v>
      </c>
      <c r="W29" s="509">
        <f t="shared" si="42"/>
        <v>0</v>
      </c>
      <c r="X29" s="129"/>
      <c r="Y29" s="129"/>
      <c r="Z29" s="129"/>
      <c r="AA29" s="509">
        <f t="shared" si="43"/>
        <v>0</v>
      </c>
      <c r="AB29" s="129"/>
      <c r="AC29" s="129"/>
      <c r="AD29" s="129"/>
      <c r="AE29" s="509">
        <f t="shared" si="44"/>
        <v>0</v>
      </c>
      <c r="AF29" s="129"/>
      <c r="AG29" s="129"/>
      <c r="AH29" s="129"/>
      <c r="AI29" s="509">
        <f t="shared" si="45"/>
        <v>0</v>
      </c>
      <c r="AJ29" s="129"/>
      <c r="AK29" s="129"/>
      <c r="AL29" s="129"/>
      <c r="AM29" s="509">
        <f t="shared" si="46"/>
        <v>0</v>
      </c>
      <c r="AN29" s="129"/>
      <c r="AO29" s="129"/>
      <c r="AP29" s="129"/>
      <c r="AQ29" s="509">
        <f t="shared" si="47"/>
        <v>0</v>
      </c>
      <c r="AR29" s="129"/>
      <c r="AS29" s="129"/>
      <c r="AT29" s="129"/>
      <c r="AU29" s="509">
        <f t="shared" si="48"/>
        <v>0</v>
      </c>
      <c r="AV29" s="129"/>
      <c r="AW29" s="129"/>
      <c r="AX29" s="129"/>
      <c r="AY29" s="509">
        <f t="shared" si="49"/>
        <v>0</v>
      </c>
      <c r="AZ29" s="23">
        <f t="shared" si="50"/>
        <v>0</v>
      </c>
      <c r="BA29" s="23">
        <f t="shared" si="50"/>
        <v>0</v>
      </c>
      <c r="BB29" s="509">
        <f t="shared" si="51"/>
        <v>0</v>
      </c>
      <c r="BC29" s="23">
        <f t="shared" si="52"/>
        <v>0</v>
      </c>
      <c r="BD29" s="257">
        <f t="shared" si="52"/>
        <v>0</v>
      </c>
      <c r="BE29" s="257">
        <f t="shared" si="53"/>
        <v>0</v>
      </c>
      <c r="BF29" s="257">
        <f t="shared" si="54"/>
        <v>0</v>
      </c>
      <c r="BG29" s="23">
        <f t="shared" si="54"/>
        <v>0</v>
      </c>
      <c r="BH29" s="257">
        <f t="shared" si="55"/>
        <v>0</v>
      </c>
      <c r="BI29" s="23">
        <f t="shared" si="56"/>
        <v>0</v>
      </c>
      <c r="BJ29" s="23">
        <f t="shared" si="56"/>
        <v>0</v>
      </c>
      <c r="BK29" s="257">
        <f t="shared" si="57"/>
        <v>0</v>
      </c>
      <c r="BL29" s="23">
        <f t="shared" si="58"/>
        <v>0</v>
      </c>
      <c r="BM29" s="23">
        <f t="shared" si="58"/>
        <v>0</v>
      </c>
      <c r="BN29" s="257">
        <f t="shared" si="58"/>
        <v>0</v>
      </c>
      <c r="BO29" s="466">
        <f t="shared" si="59"/>
        <v>0</v>
      </c>
      <c r="BP29" s="472"/>
      <c r="BQ29" s="23">
        <f t="shared" si="60"/>
        <v>0</v>
      </c>
      <c r="BR29" s="23" t="e">
        <f>E29+I29+M29+Q29+U29+Y29+#REF!</f>
        <v>#REF!</v>
      </c>
      <c r="BS29" s="466">
        <f t="shared" si="33"/>
        <v>0</v>
      </c>
      <c r="BT29" s="509">
        <f t="shared" si="61"/>
        <v>0</v>
      </c>
      <c r="BU29" s="466">
        <f t="shared" si="7"/>
        <v>0</v>
      </c>
    </row>
    <row r="30" spans="1:73" ht="12.6" customHeight="1">
      <c r="A30" s="254" t="s">
        <v>31</v>
      </c>
      <c r="B30" s="129">
        <f t="shared" si="36"/>
        <v>0</v>
      </c>
      <c r="C30" s="257">
        <v>66.828571428571422</v>
      </c>
      <c r="D30" s="129">
        <v>0</v>
      </c>
      <c r="E30" s="129"/>
      <c r="F30" s="129"/>
      <c r="G30" s="509">
        <f t="shared" si="37"/>
        <v>0</v>
      </c>
      <c r="H30" s="129"/>
      <c r="I30" s="129"/>
      <c r="J30" s="129"/>
      <c r="K30" s="509">
        <f t="shared" si="38"/>
        <v>0</v>
      </c>
      <c r="L30" s="129"/>
      <c r="M30" s="129"/>
      <c r="N30" s="129"/>
      <c r="O30" s="509">
        <f t="shared" si="39"/>
        <v>0</v>
      </c>
      <c r="P30" s="129"/>
      <c r="Q30" s="129"/>
      <c r="R30" s="129"/>
      <c r="S30" s="509">
        <f t="shared" si="40"/>
        <v>0</v>
      </c>
      <c r="T30" s="129"/>
      <c r="U30" s="129"/>
      <c r="V30" s="129">
        <f t="shared" si="41"/>
        <v>0</v>
      </c>
      <c r="W30" s="509">
        <f t="shared" si="42"/>
        <v>0</v>
      </c>
      <c r="X30" s="129"/>
      <c r="Y30" s="129"/>
      <c r="Z30" s="129"/>
      <c r="AA30" s="509">
        <f t="shared" si="43"/>
        <v>0</v>
      </c>
      <c r="AB30" s="129"/>
      <c r="AC30" s="129"/>
      <c r="AD30" s="129"/>
      <c r="AE30" s="509">
        <f t="shared" si="44"/>
        <v>0</v>
      </c>
      <c r="AF30" s="129"/>
      <c r="AG30" s="129"/>
      <c r="AH30" s="129"/>
      <c r="AI30" s="509">
        <f t="shared" si="45"/>
        <v>0</v>
      </c>
      <c r="AJ30" s="129"/>
      <c r="AK30" s="129"/>
      <c r="AL30" s="129"/>
      <c r="AM30" s="509">
        <f t="shared" si="46"/>
        <v>0</v>
      </c>
      <c r="AN30" s="129"/>
      <c r="AO30" s="129"/>
      <c r="AP30" s="129"/>
      <c r="AQ30" s="509">
        <f t="shared" si="47"/>
        <v>0</v>
      </c>
      <c r="AR30" s="129"/>
      <c r="AS30" s="129"/>
      <c r="AT30" s="129"/>
      <c r="AU30" s="509">
        <f t="shared" si="48"/>
        <v>0</v>
      </c>
      <c r="AV30" s="129"/>
      <c r="AW30" s="129"/>
      <c r="AX30" s="129"/>
      <c r="AY30" s="509">
        <f t="shared" si="49"/>
        <v>0</v>
      </c>
      <c r="AZ30" s="23">
        <f t="shared" si="50"/>
        <v>0</v>
      </c>
      <c r="BA30" s="23">
        <f t="shared" si="50"/>
        <v>0</v>
      </c>
      <c r="BB30" s="509">
        <f t="shared" si="51"/>
        <v>0</v>
      </c>
      <c r="BC30" s="23">
        <f t="shared" si="52"/>
        <v>0</v>
      </c>
      <c r="BD30" s="257">
        <f t="shared" si="52"/>
        <v>0</v>
      </c>
      <c r="BE30" s="257">
        <f t="shared" si="53"/>
        <v>0</v>
      </c>
      <c r="BF30" s="257">
        <f t="shared" si="54"/>
        <v>0</v>
      </c>
      <c r="BG30" s="23">
        <f t="shared" si="54"/>
        <v>0</v>
      </c>
      <c r="BH30" s="257">
        <f t="shared" si="55"/>
        <v>0</v>
      </c>
      <c r="BI30" s="23">
        <f t="shared" si="56"/>
        <v>0</v>
      </c>
      <c r="BJ30" s="23">
        <f t="shared" si="56"/>
        <v>0</v>
      </c>
      <c r="BK30" s="257">
        <f t="shared" si="57"/>
        <v>0</v>
      </c>
      <c r="BL30" s="23">
        <f t="shared" si="58"/>
        <v>0</v>
      </c>
      <c r="BM30" s="23">
        <f t="shared" si="58"/>
        <v>0</v>
      </c>
      <c r="BN30" s="257">
        <f t="shared" si="58"/>
        <v>0</v>
      </c>
      <c r="BO30" s="466">
        <f t="shared" si="59"/>
        <v>0</v>
      </c>
      <c r="BP30" s="472"/>
      <c r="BQ30" s="23">
        <f t="shared" si="60"/>
        <v>0</v>
      </c>
      <c r="BR30" s="23" t="e">
        <f>E30+I30+M30+Q30+U30+Y30+#REF!</f>
        <v>#REF!</v>
      </c>
      <c r="BS30" s="466">
        <f t="shared" si="33"/>
        <v>0</v>
      </c>
      <c r="BT30" s="509">
        <f t="shared" si="61"/>
        <v>0</v>
      </c>
      <c r="BU30" s="466">
        <f t="shared" si="7"/>
        <v>0</v>
      </c>
    </row>
    <row r="31" spans="1:73" ht="12.6" customHeight="1">
      <c r="A31" s="254" t="s">
        <v>35</v>
      </c>
      <c r="B31" s="129">
        <f t="shared" si="36"/>
        <v>0</v>
      </c>
      <c r="C31" s="257"/>
      <c r="D31" s="129">
        <v>0</v>
      </c>
      <c r="E31" s="129"/>
      <c r="F31" s="129"/>
      <c r="G31" s="509">
        <f t="shared" si="37"/>
        <v>0</v>
      </c>
      <c r="H31" s="129"/>
      <c r="I31" s="129"/>
      <c r="J31" s="129"/>
      <c r="K31" s="509">
        <f t="shared" si="38"/>
        <v>0</v>
      </c>
      <c r="L31" s="129"/>
      <c r="M31" s="129"/>
      <c r="N31" s="129"/>
      <c r="O31" s="509">
        <f t="shared" si="39"/>
        <v>0</v>
      </c>
      <c r="P31" s="129"/>
      <c r="Q31" s="129"/>
      <c r="R31" s="129"/>
      <c r="S31" s="509">
        <f t="shared" si="40"/>
        <v>0</v>
      </c>
      <c r="T31" s="129"/>
      <c r="U31" s="129"/>
      <c r="V31" s="129">
        <f t="shared" si="41"/>
        <v>0</v>
      </c>
      <c r="W31" s="509">
        <f t="shared" si="42"/>
        <v>0</v>
      </c>
      <c r="X31" s="129"/>
      <c r="Y31" s="129"/>
      <c r="Z31" s="129"/>
      <c r="AA31" s="509">
        <f t="shared" si="43"/>
        <v>0</v>
      </c>
      <c r="AB31" s="129"/>
      <c r="AC31" s="129"/>
      <c r="AD31" s="129"/>
      <c r="AE31" s="509">
        <f t="shared" si="44"/>
        <v>0</v>
      </c>
      <c r="AF31" s="129"/>
      <c r="AG31" s="129"/>
      <c r="AH31" s="129"/>
      <c r="AI31" s="509">
        <f t="shared" si="45"/>
        <v>0</v>
      </c>
      <c r="AJ31" s="129"/>
      <c r="AK31" s="129"/>
      <c r="AL31" s="129"/>
      <c r="AM31" s="509">
        <f t="shared" si="46"/>
        <v>0</v>
      </c>
      <c r="AN31" s="129"/>
      <c r="AO31" s="129"/>
      <c r="AP31" s="129"/>
      <c r="AQ31" s="509">
        <f t="shared" si="47"/>
        <v>0</v>
      </c>
      <c r="AR31" s="129"/>
      <c r="AS31" s="129"/>
      <c r="AT31" s="129"/>
      <c r="AU31" s="509">
        <f t="shared" si="48"/>
        <v>0</v>
      </c>
      <c r="AV31" s="129"/>
      <c r="AW31" s="129"/>
      <c r="AX31" s="129"/>
      <c r="AY31" s="509">
        <f t="shared" si="49"/>
        <v>0</v>
      </c>
      <c r="AZ31" s="23">
        <f t="shared" si="50"/>
        <v>0</v>
      </c>
      <c r="BA31" s="23">
        <f t="shared" si="50"/>
        <v>0</v>
      </c>
      <c r="BB31" s="509">
        <f t="shared" si="51"/>
        <v>0</v>
      </c>
      <c r="BC31" s="23">
        <f t="shared" si="52"/>
        <v>0</v>
      </c>
      <c r="BD31" s="257">
        <f t="shared" si="52"/>
        <v>0</v>
      </c>
      <c r="BE31" s="257">
        <f t="shared" si="53"/>
        <v>0</v>
      </c>
      <c r="BF31" s="257">
        <f t="shared" si="54"/>
        <v>0</v>
      </c>
      <c r="BG31" s="23">
        <f t="shared" si="54"/>
        <v>0</v>
      </c>
      <c r="BH31" s="257">
        <f t="shared" si="55"/>
        <v>0</v>
      </c>
      <c r="BI31" s="23">
        <f t="shared" si="56"/>
        <v>0</v>
      </c>
      <c r="BJ31" s="23">
        <f t="shared" si="56"/>
        <v>0</v>
      </c>
      <c r="BK31" s="257">
        <f t="shared" si="57"/>
        <v>0</v>
      </c>
      <c r="BL31" s="23">
        <f t="shared" si="58"/>
        <v>0</v>
      </c>
      <c r="BM31" s="23">
        <f t="shared" si="58"/>
        <v>0</v>
      </c>
      <c r="BN31" s="257">
        <f t="shared" si="58"/>
        <v>0</v>
      </c>
      <c r="BO31" s="466">
        <f t="shared" si="59"/>
        <v>0</v>
      </c>
      <c r="BP31" s="472"/>
      <c r="BQ31" s="23">
        <f t="shared" si="60"/>
        <v>0</v>
      </c>
      <c r="BR31" s="23" t="e">
        <f>E31+I31+M31+Q31+U31+Y31+#REF!</f>
        <v>#REF!</v>
      </c>
      <c r="BS31" s="466">
        <f t="shared" si="33"/>
        <v>0</v>
      </c>
      <c r="BT31" s="509">
        <f t="shared" si="61"/>
        <v>0</v>
      </c>
      <c r="BU31" s="466">
        <f t="shared" si="7"/>
        <v>0</v>
      </c>
    </row>
    <row r="32" spans="1:73" ht="12.6" customHeight="1">
      <c r="A32" s="254" t="s">
        <v>83</v>
      </c>
      <c r="B32" s="129">
        <f t="shared" si="36"/>
        <v>60</v>
      </c>
      <c r="C32" s="257">
        <v>57.985714285714288</v>
      </c>
      <c r="D32" s="129">
        <v>15</v>
      </c>
      <c r="E32" s="129">
        <v>29</v>
      </c>
      <c r="F32" s="129">
        <v>677.6</v>
      </c>
      <c r="G32" s="509">
        <f t="shared" si="37"/>
        <v>0.11943870855714288</v>
      </c>
      <c r="H32" s="129"/>
      <c r="I32" s="129">
        <v>14</v>
      </c>
      <c r="J32" s="129">
        <v>677</v>
      </c>
      <c r="K32" s="509">
        <f t="shared" si="38"/>
        <v>5.7985544200000003E-2</v>
      </c>
      <c r="L32" s="129">
        <v>15</v>
      </c>
      <c r="M32" s="129"/>
      <c r="N32" s="129"/>
      <c r="O32" s="509">
        <f t="shared" si="39"/>
        <v>0</v>
      </c>
      <c r="P32" s="129"/>
      <c r="Q32" s="129"/>
      <c r="R32" s="129"/>
      <c r="S32" s="509">
        <f t="shared" si="40"/>
        <v>0</v>
      </c>
      <c r="T32" s="129"/>
      <c r="U32" s="129"/>
      <c r="V32" s="129">
        <f t="shared" si="41"/>
        <v>0</v>
      </c>
      <c r="W32" s="509">
        <f t="shared" si="42"/>
        <v>0</v>
      </c>
      <c r="X32" s="129">
        <v>15</v>
      </c>
      <c r="Y32" s="129"/>
      <c r="Z32" s="129"/>
      <c r="AA32" s="509">
        <f t="shared" si="43"/>
        <v>0</v>
      </c>
      <c r="AB32" s="129"/>
      <c r="AC32" s="129"/>
      <c r="AD32" s="129"/>
      <c r="AE32" s="509">
        <f t="shared" si="44"/>
        <v>0</v>
      </c>
      <c r="AF32" s="129"/>
      <c r="AG32" s="129"/>
      <c r="AH32" s="129"/>
      <c r="AI32" s="509">
        <f t="shared" si="45"/>
        <v>0</v>
      </c>
      <c r="AJ32" s="129">
        <v>15</v>
      </c>
      <c r="AK32" s="129"/>
      <c r="AL32" s="129"/>
      <c r="AM32" s="509">
        <f t="shared" si="46"/>
        <v>0</v>
      </c>
      <c r="AN32" s="129"/>
      <c r="AO32" s="129"/>
      <c r="AP32" s="129"/>
      <c r="AQ32" s="509">
        <f t="shared" si="47"/>
        <v>0</v>
      </c>
      <c r="AR32" s="129"/>
      <c r="AS32" s="129"/>
      <c r="AT32" s="129"/>
      <c r="AU32" s="509">
        <f t="shared" si="48"/>
        <v>0</v>
      </c>
      <c r="AV32" s="129"/>
      <c r="AW32" s="129"/>
      <c r="AX32" s="129"/>
      <c r="AY32" s="509">
        <f t="shared" si="49"/>
        <v>0</v>
      </c>
      <c r="AZ32" s="23">
        <f t="shared" si="50"/>
        <v>30</v>
      </c>
      <c r="BA32" s="23">
        <f t="shared" si="50"/>
        <v>43</v>
      </c>
      <c r="BB32" s="509">
        <f t="shared" si="51"/>
        <v>0.17742425275714288</v>
      </c>
      <c r="BC32" s="23">
        <f t="shared" si="52"/>
        <v>15</v>
      </c>
      <c r="BD32" s="257">
        <f t="shared" si="52"/>
        <v>0</v>
      </c>
      <c r="BE32" s="257">
        <f t="shared" si="53"/>
        <v>0</v>
      </c>
      <c r="BF32" s="257">
        <f t="shared" si="54"/>
        <v>15</v>
      </c>
      <c r="BG32" s="23">
        <f t="shared" si="54"/>
        <v>0</v>
      </c>
      <c r="BH32" s="257">
        <f t="shared" si="55"/>
        <v>0</v>
      </c>
      <c r="BI32" s="23">
        <f t="shared" si="56"/>
        <v>0</v>
      </c>
      <c r="BJ32" s="23">
        <f t="shared" si="56"/>
        <v>0</v>
      </c>
      <c r="BK32" s="257">
        <f t="shared" si="57"/>
        <v>0</v>
      </c>
      <c r="BL32" s="23">
        <f t="shared" si="58"/>
        <v>60</v>
      </c>
      <c r="BM32" s="23">
        <f t="shared" si="58"/>
        <v>43</v>
      </c>
      <c r="BN32" s="257">
        <f t="shared" si="58"/>
        <v>0.17742425275714288</v>
      </c>
      <c r="BO32" s="466">
        <f t="shared" si="59"/>
        <v>0.71666666666666667</v>
      </c>
      <c r="BP32" s="472"/>
      <c r="BQ32" s="23">
        <f t="shared" si="60"/>
        <v>45</v>
      </c>
      <c r="BR32" s="23" t="e">
        <f>E32+I32+M32+Q32+U32+Y32+#REF!</f>
        <v>#REF!</v>
      </c>
      <c r="BS32" s="466">
        <f t="shared" si="33"/>
        <v>0</v>
      </c>
      <c r="BT32" s="509">
        <f t="shared" si="61"/>
        <v>0.17742425275714288</v>
      </c>
      <c r="BU32" s="466">
        <f t="shared" si="7"/>
        <v>0</v>
      </c>
    </row>
    <row r="33" spans="1:73" ht="12.6" customHeight="1">
      <c r="A33" s="254" t="s">
        <v>37</v>
      </c>
      <c r="B33" s="129">
        <f t="shared" si="36"/>
        <v>0</v>
      </c>
      <c r="C33" s="257"/>
      <c r="D33" s="129">
        <v>0</v>
      </c>
      <c r="E33" s="129"/>
      <c r="F33" s="129"/>
      <c r="G33" s="509">
        <f t="shared" si="37"/>
        <v>0</v>
      </c>
      <c r="H33" s="129"/>
      <c r="I33" s="129"/>
      <c r="J33" s="129"/>
      <c r="K33" s="509">
        <f t="shared" si="38"/>
        <v>0</v>
      </c>
      <c r="L33" s="129"/>
      <c r="M33" s="129"/>
      <c r="N33" s="129"/>
      <c r="O33" s="509">
        <f t="shared" si="39"/>
        <v>0</v>
      </c>
      <c r="P33" s="129"/>
      <c r="Q33" s="129"/>
      <c r="R33" s="129"/>
      <c r="S33" s="509">
        <f t="shared" si="40"/>
        <v>0</v>
      </c>
      <c r="T33" s="129"/>
      <c r="U33" s="129"/>
      <c r="V33" s="129">
        <f t="shared" si="41"/>
        <v>0</v>
      </c>
      <c r="W33" s="509">
        <f t="shared" si="42"/>
        <v>0</v>
      </c>
      <c r="X33" s="129"/>
      <c r="Y33" s="129"/>
      <c r="Z33" s="129"/>
      <c r="AA33" s="509">
        <f t="shared" si="43"/>
        <v>0</v>
      </c>
      <c r="AB33" s="129"/>
      <c r="AC33" s="129"/>
      <c r="AD33" s="129"/>
      <c r="AE33" s="509">
        <f t="shared" si="44"/>
        <v>0</v>
      </c>
      <c r="AF33" s="129"/>
      <c r="AG33" s="129"/>
      <c r="AH33" s="129"/>
      <c r="AI33" s="509">
        <f t="shared" si="45"/>
        <v>0</v>
      </c>
      <c r="AJ33" s="129"/>
      <c r="AK33" s="129"/>
      <c r="AL33" s="129"/>
      <c r="AM33" s="509">
        <f t="shared" si="46"/>
        <v>0</v>
      </c>
      <c r="AN33" s="129"/>
      <c r="AO33" s="129"/>
      <c r="AP33" s="129"/>
      <c r="AQ33" s="509">
        <f t="shared" si="47"/>
        <v>0</v>
      </c>
      <c r="AR33" s="129"/>
      <c r="AS33" s="129"/>
      <c r="AT33" s="129"/>
      <c r="AU33" s="509">
        <f t="shared" si="48"/>
        <v>0</v>
      </c>
      <c r="AV33" s="129"/>
      <c r="AW33" s="129"/>
      <c r="AX33" s="129"/>
      <c r="AY33" s="509">
        <f t="shared" si="49"/>
        <v>0</v>
      </c>
      <c r="AZ33" s="23">
        <f t="shared" si="50"/>
        <v>0</v>
      </c>
      <c r="BA33" s="23">
        <f t="shared" si="50"/>
        <v>0</v>
      </c>
      <c r="BB33" s="509">
        <f t="shared" si="51"/>
        <v>0</v>
      </c>
      <c r="BC33" s="23">
        <f t="shared" si="52"/>
        <v>0</v>
      </c>
      <c r="BD33" s="257">
        <f t="shared" si="52"/>
        <v>0</v>
      </c>
      <c r="BE33" s="257">
        <f t="shared" si="53"/>
        <v>0</v>
      </c>
      <c r="BF33" s="257">
        <f t="shared" si="54"/>
        <v>0</v>
      </c>
      <c r="BG33" s="23">
        <f t="shared" si="54"/>
        <v>0</v>
      </c>
      <c r="BH33" s="257">
        <f t="shared" si="55"/>
        <v>0</v>
      </c>
      <c r="BI33" s="23">
        <f t="shared" si="56"/>
        <v>0</v>
      </c>
      <c r="BJ33" s="23">
        <f t="shared" si="56"/>
        <v>0</v>
      </c>
      <c r="BK33" s="257">
        <f t="shared" si="57"/>
        <v>0</v>
      </c>
      <c r="BL33" s="23">
        <f t="shared" si="58"/>
        <v>0</v>
      </c>
      <c r="BM33" s="23">
        <f t="shared" si="58"/>
        <v>0</v>
      </c>
      <c r="BN33" s="257">
        <f t="shared" si="58"/>
        <v>0</v>
      </c>
      <c r="BO33" s="466">
        <f t="shared" si="59"/>
        <v>0</v>
      </c>
      <c r="BP33" s="472"/>
      <c r="BQ33" s="23">
        <f t="shared" si="60"/>
        <v>0</v>
      </c>
      <c r="BR33" s="23" t="e">
        <f>E33+I33+M33+Q33+U33+Y33+#REF!</f>
        <v>#REF!</v>
      </c>
      <c r="BS33" s="466">
        <f t="shared" si="33"/>
        <v>0</v>
      </c>
      <c r="BT33" s="509">
        <f t="shared" si="61"/>
        <v>0</v>
      </c>
      <c r="BU33" s="466">
        <f t="shared" si="7"/>
        <v>0</v>
      </c>
    </row>
    <row r="34" spans="1:73" ht="12.6" customHeight="1">
      <c r="A34" s="254" t="s">
        <v>38</v>
      </c>
      <c r="B34" s="129">
        <f t="shared" si="36"/>
        <v>0</v>
      </c>
      <c r="C34" s="257"/>
      <c r="D34" s="129">
        <v>0</v>
      </c>
      <c r="E34" s="129"/>
      <c r="F34" s="129"/>
      <c r="G34" s="509">
        <f t="shared" si="37"/>
        <v>0</v>
      </c>
      <c r="H34" s="129"/>
      <c r="I34" s="129"/>
      <c r="J34" s="129"/>
      <c r="K34" s="509">
        <f t="shared" si="38"/>
        <v>0</v>
      </c>
      <c r="L34" s="129"/>
      <c r="M34" s="129"/>
      <c r="N34" s="129"/>
      <c r="O34" s="509">
        <f t="shared" si="39"/>
        <v>0</v>
      </c>
      <c r="P34" s="129"/>
      <c r="Q34" s="129"/>
      <c r="R34" s="129"/>
      <c r="S34" s="509">
        <f t="shared" si="40"/>
        <v>0</v>
      </c>
      <c r="T34" s="129"/>
      <c r="U34" s="129"/>
      <c r="V34" s="129">
        <f t="shared" si="41"/>
        <v>0</v>
      </c>
      <c r="W34" s="509">
        <f t="shared" si="42"/>
        <v>0</v>
      </c>
      <c r="X34" s="129"/>
      <c r="Y34" s="129"/>
      <c r="Z34" s="129"/>
      <c r="AA34" s="509">
        <f t="shared" si="43"/>
        <v>0</v>
      </c>
      <c r="AB34" s="129"/>
      <c r="AC34" s="129"/>
      <c r="AD34" s="129"/>
      <c r="AE34" s="509">
        <f t="shared" si="44"/>
        <v>0</v>
      </c>
      <c r="AF34" s="129"/>
      <c r="AG34" s="129"/>
      <c r="AH34" s="129"/>
      <c r="AI34" s="509">
        <f t="shared" si="45"/>
        <v>0</v>
      </c>
      <c r="AJ34" s="129"/>
      <c r="AK34" s="129"/>
      <c r="AL34" s="129"/>
      <c r="AM34" s="509">
        <f t="shared" si="46"/>
        <v>0</v>
      </c>
      <c r="AN34" s="129"/>
      <c r="AO34" s="129"/>
      <c r="AP34" s="129"/>
      <c r="AQ34" s="509">
        <f t="shared" si="47"/>
        <v>0</v>
      </c>
      <c r="AR34" s="129"/>
      <c r="AS34" s="129"/>
      <c r="AT34" s="129"/>
      <c r="AU34" s="509">
        <f t="shared" si="48"/>
        <v>0</v>
      </c>
      <c r="AV34" s="129"/>
      <c r="AW34" s="129"/>
      <c r="AX34" s="129"/>
      <c r="AY34" s="509">
        <f t="shared" si="49"/>
        <v>0</v>
      </c>
      <c r="AZ34" s="23">
        <f t="shared" si="50"/>
        <v>0</v>
      </c>
      <c r="BA34" s="23">
        <f t="shared" si="50"/>
        <v>0</v>
      </c>
      <c r="BB34" s="509">
        <f t="shared" si="51"/>
        <v>0</v>
      </c>
      <c r="BC34" s="23">
        <f t="shared" si="52"/>
        <v>0</v>
      </c>
      <c r="BD34" s="257">
        <f t="shared" si="52"/>
        <v>0</v>
      </c>
      <c r="BE34" s="257">
        <f t="shared" si="53"/>
        <v>0</v>
      </c>
      <c r="BF34" s="257">
        <f t="shared" si="54"/>
        <v>0</v>
      </c>
      <c r="BG34" s="23">
        <f t="shared" si="54"/>
        <v>0</v>
      </c>
      <c r="BH34" s="257">
        <f t="shared" si="55"/>
        <v>0</v>
      </c>
      <c r="BI34" s="23">
        <f t="shared" si="56"/>
        <v>0</v>
      </c>
      <c r="BJ34" s="23">
        <f t="shared" si="56"/>
        <v>0</v>
      </c>
      <c r="BK34" s="257">
        <f t="shared" si="57"/>
        <v>0</v>
      </c>
      <c r="BL34" s="23">
        <f t="shared" si="58"/>
        <v>0</v>
      </c>
      <c r="BM34" s="23">
        <f t="shared" si="58"/>
        <v>0</v>
      </c>
      <c r="BN34" s="257">
        <f t="shared" si="58"/>
        <v>0</v>
      </c>
      <c r="BO34" s="466">
        <f t="shared" si="59"/>
        <v>0</v>
      </c>
      <c r="BP34" s="472"/>
      <c r="BQ34" s="23">
        <f t="shared" si="60"/>
        <v>0</v>
      </c>
      <c r="BR34" s="23" t="e">
        <f>E34+I34+M34+Q34+U34+Y34+#REF!</f>
        <v>#REF!</v>
      </c>
      <c r="BS34" s="466">
        <f t="shared" si="33"/>
        <v>0</v>
      </c>
      <c r="BT34" s="509">
        <f t="shared" si="61"/>
        <v>0</v>
      </c>
      <c r="BU34" s="466">
        <f t="shared" si="7"/>
        <v>0</v>
      </c>
    </row>
    <row r="35" spans="1:73" ht="12.6" customHeight="1">
      <c r="A35" s="254" t="s">
        <v>39</v>
      </c>
      <c r="B35" s="129">
        <f t="shared" si="36"/>
        <v>0</v>
      </c>
      <c r="C35" s="257"/>
      <c r="D35" s="129">
        <v>0</v>
      </c>
      <c r="E35" s="129"/>
      <c r="F35" s="129"/>
      <c r="G35" s="509">
        <f t="shared" si="37"/>
        <v>0</v>
      </c>
      <c r="H35" s="129"/>
      <c r="I35" s="129"/>
      <c r="J35" s="129"/>
      <c r="K35" s="509">
        <f t="shared" si="38"/>
        <v>0</v>
      </c>
      <c r="L35" s="129"/>
      <c r="M35" s="129"/>
      <c r="N35" s="129"/>
      <c r="O35" s="509">
        <f t="shared" si="39"/>
        <v>0</v>
      </c>
      <c r="P35" s="129"/>
      <c r="Q35" s="129"/>
      <c r="R35" s="129"/>
      <c r="S35" s="509">
        <f t="shared" si="40"/>
        <v>0</v>
      </c>
      <c r="T35" s="129"/>
      <c r="U35" s="129"/>
      <c r="V35" s="129">
        <f t="shared" si="41"/>
        <v>0</v>
      </c>
      <c r="W35" s="509">
        <f t="shared" si="42"/>
        <v>0</v>
      </c>
      <c r="X35" s="129"/>
      <c r="Y35" s="129"/>
      <c r="Z35" s="129"/>
      <c r="AA35" s="509">
        <f t="shared" si="43"/>
        <v>0</v>
      </c>
      <c r="AB35" s="129"/>
      <c r="AC35" s="129"/>
      <c r="AD35" s="129"/>
      <c r="AE35" s="509">
        <f t="shared" si="44"/>
        <v>0</v>
      </c>
      <c r="AF35" s="129"/>
      <c r="AG35" s="129">
        <v>6</v>
      </c>
      <c r="AH35" s="129">
        <v>975</v>
      </c>
      <c r="AI35" s="509">
        <f t="shared" si="45"/>
        <v>3.9534300000000001E-2</v>
      </c>
      <c r="AJ35" s="129"/>
      <c r="AK35" s="129">
        <v>9</v>
      </c>
      <c r="AL35" s="129">
        <v>980</v>
      </c>
      <c r="AM35" s="509">
        <f t="shared" si="46"/>
        <v>5.9896619999999998E-2</v>
      </c>
      <c r="AN35" s="129"/>
      <c r="AO35" s="129"/>
      <c r="AP35" s="129"/>
      <c r="AQ35" s="509">
        <f t="shared" si="47"/>
        <v>0</v>
      </c>
      <c r="AR35" s="129"/>
      <c r="AS35" s="129"/>
      <c r="AT35" s="129"/>
      <c r="AU35" s="509">
        <f t="shared" si="48"/>
        <v>0</v>
      </c>
      <c r="AV35" s="129"/>
      <c r="AW35" s="129"/>
      <c r="AX35" s="129"/>
      <c r="AY35" s="509">
        <f t="shared" si="49"/>
        <v>0</v>
      </c>
      <c r="AZ35" s="23">
        <f t="shared" si="50"/>
        <v>0</v>
      </c>
      <c r="BA35" s="23">
        <f t="shared" si="50"/>
        <v>0</v>
      </c>
      <c r="BB35" s="509">
        <f t="shared" si="51"/>
        <v>0</v>
      </c>
      <c r="BC35" s="23">
        <f t="shared" si="52"/>
        <v>0</v>
      </c>
      <c r="BD35" s="257">
        <f t="shared" si="52"/>
        <v>0</v>
      </c>
      <c r="BE35" s="257">
        <f t="shared" si="53"/>
        <v>0</v>
      </c>
      <c r="BF35" s="257">
        <f t="shared" si="54"/>
        <v>0</v>
      </c>
      <c r="BG35" s="23">
        <f t="shared" si="54"/>
        <v>15</v>
      </c>
      <c r="BH35" s="257">
        <f t="shared" si="55"/>
        <v>9.9430920000000006E-2</v>
      </c>
      <c r="BI35" s="23">
        <f t="shared" si="56"/>
        <v>0</v>
      </c>
      <c r="BJ35" s="23">
        <f t="shared" si="56"/>
        <v>0</v>
      </c>
      <c r="BK35" s="257">
        <f t="shared" si="57"/>
        <v>0</v>
      </c>
      <c r="BL35" s="23">
        <f t="shared" si="58"/>
        <v>0</v>
      </c>
      <c r="BM35" s="23">
        <f t="shared" si="58"/>
        <v>15</v>
      </c>
      <c r="BN35" s="257">
        <f t="shared" si="58"/>
        <v>9.9430920000000006E-2</v>
      </c>
      <c r="BO35" s="466">
        <f t="shared" si="59"/>
        <v>0</v>
      </c>
      <c r="BP35" s="472"/>
      <c r="BQ35" s="23">
        <f t="shared" si="60"/>
        <v>0</v>
      </c>
      <c r="BR35" s="23" t="e">
        <f>E35+I35+M35+Q35+U35+Y35+#REF!</f>
        <v>#REF!</v>
      </c>
      <c r="BS35" s="466">
        <f t="shared" si="33"/>
        <v>0</v>
      </c>
      <c r="BT35" s="509">
        <f t="shared" si="61"/>
        <v>0</v>
      </c>
      <c r="BU35" s="466">
        <f t="shared" si="7"/>
        <v>0</v>
      </c>
    </row>
    <row r="36" spans="1:73" ht="12.6" customHeight="1">
      <c r="A36" s="254" t="s">
        <v>11</v>
      </c>
      <c r="B36" s="129">
        <f t="shared" si="36"/>
        <v>0</v>
      </c>
      <c r="C36" s="257">
        <v>18.399999999999999</v>
      </c>
      <c r="D36" s="129">
        <v>0</v>
      </c>
      <c r="E36" s="129"/>
      <c r="F36" s="129"/>
      <c r="G36" s="509">
        <f t="shared" si="37"/>
        <v>0</v>
      </c>
      <c r="H36" s="129"/>
      <c r="I36" s="129"/>
      <c r="J36" s="129"/>
      <c r="K36" s="509">
        <f t="shared" si="38"/>
        <v>0</v>
      </c>
      <c r="L36" s="129"/>
      <c r="M36" s="129"/>
      <c r="N36" s="129"/>
      <c r="O36" s="509">
        <f t="shared" si="39"/>
        <v>0</v>
      </c>
      <c r="P36" s="129"/>
      <c r="Q36" s="129"/>
      <c r="R36" s="129"/>
      <c r="S36" s="509">
        <f t="shared" si="40"/>
        <v>0</v>
      </c>
      <c r="T36" s="129"/>
      <c r="U36" s="129"/>
      <c r="V36" s="129">
        <f t="shared" si="41"/>
        <v>0</v>
      </c>
      <c r="W36" s="509">
        <f t="shared" si="42"/>
        <v>0</v>
      </c>
      <c r="X36" s="129"/>
      <c r="Y36" s="129"/>
      <c r="Z36" s="129"/>
      <c r="AA36" s="509">
        <f t="shared" si="43"/>
        <v>0</v>
      </c>
      <c r="AB36" s="129"/>
      <c r="AC36" s="129"/>
      <c r="AD36" s="129"/>
      <c r="AE36" s="509">
        <f t="shared" si="44"/>
        <v>0</v>
      </c>
      <c r="AF36" s="129"/>
      <c r="AG36" s="129"/>
      <c r="AH36" s="129"/>
      <c r="AI36" s="509">
        <f t="shared" si="45"/>
        <v>0</v>
      </c>
      <c r="AJ36" s="129"/>
      <c r="AK36" s="129"/>
      <c r="AL36" s="129"/>
      <c r="AM36" s="509">
        <f t="shared" si="46"/>
        <v>0</v>
      </c>
      <c r="AN36" s="129"/>
      <c r="AO36" s="129"/>
      <c r="AP36" s="129"/>
      <c r="AQ36" s="509">
        <f t="shared" si="47"/>
        <v>0</v>
      </c>
      <c r="AR36" s="129"/>
      <c r="AS36" s="129"/>
      <c r="AT36" s="129"/>
      <c r="AU36" s="509">
        <f t="shared" si="48"/>
        <v>0</v>
      </c>
      <c r="AV36" s="129"/>
      <c r="AW36" s="129"/>
      <c r="AX36" s="129"/>
      <c r="AY36" s="509">
        <f t="shared" si="49"/>
        <v>0</v>
      </c>
      <c r="AZ36" s="23">
        <f t="shared" si="50"/>
        <v>0</v>
      </c>
      <c r="BA36" s="23">
        <f t="shared" si="50"/>
        <v>0</v>
      </c>
      <c r="BB36" s="509">
        <f t="shared" si="51"/>
        <v>0</v>
      </c>
      <c r="BC36" s="23">
        <f t="shared" si="52"/>
        <v>0</v>
      </c>
      <c r="BD36" s="257">
        <f t="shared" si="52"/>
        <v>0</v>
      </c>
      <c r="BE36" s="257">
        <f t="shared" si="53"/>
        <v>0</v>
      </c>
      <c r="BF36" s="257">
        <f t="shared" si="54"/>
        <v>0</v>
      </c>
      <c r="BG36" s="23">
        <f t="shared" si="54"/>
        <v>0</v>
      </c>
      <c r="BH36" s="257">
        <f t="shared" si="55"/>
        <v>0</v>
      </c>
      <c r="BI36" s="23">
        <f t="shared" si="56"/>
        <v>0</v>
      </c>
      <c r="BJ36" s="23">
        <f t="shared" si="56"/>
        <v>0</v>
      </c>
      <c r="BK36" s="257">
        <f t="shared" si="57"/>
        <v>0</v>
      </c>
      <c r="BL36" s="23">
        <f t="shared" si="58"/>
        <v>0</v>
      </c>
      <c r="BM36" s="23">
        <f t="shared" si="58"/>
        <v>0</v>
      </c>
      <c r="BN36" s="257">
        <f t="shared" si="58"/>
        <v>0</v>
      </c>
      <c r="BO36" s="466">
        <f t="shared" si="59"/>
        <v>0</v>
      </c>
      <c r="BP36" s="472"/>
      <c r="BQ36" s="23">
        <f t="shared" si="60"/>
        <v>0</v>
      </c>
      <c r="BR36" s="23" t="e">
        <f>E36+I36+M36+Q36+U36+Y36+#REF!</f>
        <v>#REF!</v>
      </c>
      <c r="BS36" s="466">
        <f t="shared" si="33"/>
        <v>0</v>
      </c>
      <c r="BT36" s="509">
        <f t="shared" si="61"/>
        <v>0</v>
      </c>
      <c r="BU36" s="466">
        <f t="shared" si="7"/>
        <v>0</v>
      </c>
    </row>
    <row r="37" spans="1:73" ht="12.6" customHeight="1">
      <c r="A37" s="254" t="s">
        <v>87</v>
      </c>
      <c r="B37" s="129">
        <f t="shared" si="36"/>
        <v>0</v>
      </c>
      <c r="C37" s="257"/>
      <c r="D37" s="129">
        <v>0</v>
      </c>
      <c r="E37" s="129"/>
      <c r="F37" s="129"/>
      <c r="G37" s="509">
        <f t="shared" si="37"/>
        <v>0</v>
      </c>
      <c r="H37" s="129"/>
      <c r="I37" s="129"/>
      <c r="J37" s="129"/>
      <c r="K37" s="509">
        <f t="shared" si="38"/>
        <v>0</v>
      </c>
      <c r="L37" s="129"/>
      <c r="M37" s="129"/>
      <c r="N37" s="129"/>
      <c r="O37" s="509">
        <f t="shared" si="39"/>
        <v>0</v>
      </c>
      <c r="P37" s="129"/>
      <c r="Q37" s="129"/>
      <c r="R37" s="129"/>
      <c r="S37" s="509">
        <f t="shared" si="40"/>
        <v>0</v>
      </c>
      <c r="T37" s="129"/>
      <c r="U37" s="129"/>
      <c r="V37" s="129">
        <f t="shared" si="41"/>
        <v>0</v>
      </c>
      <c r="W37" s="509">
        <f t="shared" si="42"/>
        <v>0</v>
      </c>
      <c r="X37" s="129"/>
      <c r="Y37" s="129"/>
      <c r="Z37" s="129"/>
      <c r="AA37" s="509">
        <f t="shared" si="43"/>
        <v>0</v>
      </c>
      <c r="AB37" s="129"/>
      <c r="AC37" s="129"/>
      <c r="AD37" s="129"/>
      <c r="AE37" s="509">
        <f t="shared" si="44"/>
        <v>0</v>
      </c>
      <c r="AF37" s="129"/>
      <c r="AG37" s="129"/>
      <c r="AH37" s="129"/>
      <c r="AI37" s="509">
        <f t="shared" si="45"/>
        <v>0</v>
      </c>
      <c r="AJ37" s="129"/>
      <c r="AK37" s="129"/>
      <c r="AL37" s="129"/>
      <c r="AM37" s="509">
        <f t="shared" si="46"/>
        <v>0</v>
      </c>
      <c r="AN37" s="129"/>
      <c r="AO37" s="129"/>
      <c r="AP37" s="129"/>
      <c r="AQ37" s="509">
        <f t="shared" si="47"/>
        <v>0</v>
      </c>
      <c r="AR37" s="129"/>
      <c r="AS37" s="129"/>
      <c r="AT37" s="129"/>
      <c r="AU37" s="509">
        <f t="shared" si="48"/>
        <v>0</v>
      </c>
      <c r="AV37" s="129"/>
      <c r="AW37" s="129"/>
      <c r="AX37" s="129"/>
      <c r="AY37" s="509">
        <f t="shared" si="49"/>
        <v>0</v>
      </c>
      <c r="AZ37" s="23">
        <f t="shared" si="50"/>
        <v>0</v>
      </c>
      <c r="BA37" s="23">
        <f t="shared" si="50"/>
        <v>0</v>
      </c>
      <c r="BB37" s="509">
        <f t="shared" si="51"/>
        <v>0</v>
      </c>
      <c r="BC37" s="23">
        <f t="shared" si="52"/>
        <v>0</v>
      </c>
      <c r="BD37" s="257">
        <f t="shared" si="52"/>
        <v>0</v>
      </c>
      <c r="BE37" s="257">
        <f t="shared" si="53"/>
        <v>0</v>
      </c>
      <c r="BF37" s="257">
        <f t="shared" si="54"/>
        <v>0</v>
      </c>
      <c r="BG37" s="23">
        <f t="shared" si="54"/>
        <v>0</v>
      </c>
      <c r="BH37" s="257">
        <f t="shared" si="55"/>
        <v>0</v>
      </c>
      <c r="BI37" s="23">
        <f t="shared" si="56"/>
        <v>0</v>
      </c>
      <c r="BJ37" s="23">
        <f t="shared" si="56"/>
        <v>0</v>
      </c>
      <c r="BK37" s="257">
        <f t="shared" si="57"/>
        <v>0</v>
      </c>
      <c r="BL37" s="23">
        <f t="shared" si="58"/>
        <v>0</v>
      </c>
      <c r="BM37" s="23">
        <f t="shared" si="58"/>
        <v>0</v>
      </c>
      <c r="BN37" s="257">
        <f t="shared" si="58"/>
        <v>0</v>
      </c>
      <c r="BO37" s="466">
        <f t="shared" si="59"/>
        <v>0</v>
      </c>
      <c r="BP37" s="472"/>
      <c r="BQ37" s="23">
        <f t="shared" si="60"/>
        <v>0</v>
      </c>
      <c r="BR37" s="23" t="e">
        <f>E37+I37+M37+Q37+U37+Y37+#REF!</f>
        <v>#REF!</v>
      </c>
      <c r="BS37" s="466">
        <f t="shared" si="33"/>
        <v>0</v>
      </c>
      <c r="BT37" s="509">
        <f t="shared" si="61"/>
        <v>0</v>
      </c>
      <c r="BU37" s="466">
        <f t="shared" si="7"/>
        <v>0</v>
      </c>
    </row>
    <row r="38" spans="1:73" ht="12.6" customHeight="1">
      <c r="A38" s="254" t="s">
        <v>86</v>
      </c>
      <c r="B38" s="129">
        <f t="shared" si="36"/>
        <v>1200</v>
      </c>
      <c r="C38" s="257"/>
      <c r="D38" s="129"/>
      <c r="E38" s="129"/>
      <c r="F38" s="129"/>
      <c r="G38" s="509">
        <f t="shared" si="37"/>
        <v>0</v>
      </c>
      <c r="H38" s="129">
        <v>100</v>
      </c>
      <c r="I38" s="129">
        <v>40</v>
      </c>
      <c r="J38" s="129">
        <v>952.4</v>
      </c>
      <c r="K38" s="509">
        <f t="shared" si="38"/>
        <v>0.25490033600000001</v>
      </c>
      <c r="L38" s="129">
        <v>150</v>
      </c>
      <c r="M38" s="129"/>
      <c r="N38" s="129"/>
      <c r="O38" s="509">
        <f t="shared" si="39"/>
        <v>0</v>
      </c>
      <c r="P38" s="129">
        <v>100</v>
      </c>
      <c r="Q38" s="129"/>
      <c r="R38" s="129"/>
      <c r="S38" s="509">
        <f t="shared" si="40"/>
        <v>0</v>
      </c>
      <c r="T38" s="129">
        <v>150</v>
      </c>
      <c r="U38" s="129"/>
      <c r="V38" s="129">
        <f>(T38*U38)/10^6</f>
        <v>0</v>
      </c>
      <c r="W38" s="509">
        <f t="shared" si="42"/>
        <v>0</v>
      </c>
      <c r="X38" s="129">
        <v>100</v>
      </c>
      <c r="Y38" s="129"/>
      <c r="Z38" s="129"/>
      <c r="AA38" s="509">
        <f t="shared" si="43"/>
        <v>0</v>
      </c>
      <c r="AB38" s="129">
        <v>100</v>
      </c>
      <c r="AC38" s="129"/>
      <c r="AD38" s="129"/>
      <c r="AE38" s="509">
        <f t="shared" si="44"/>
        <v>0</v>
      </c>
      <c r="AF38" s="129">
        <v>100</v>
      </c>
      <c r="AG38" s="129"/>
      <c r="AH38" s="129"/>
      <c r="AI38" s="509">
        <f t="shared" si="45"/>
        <v>0</v>
      </c>
      <c r="AJ38" s="129">
        <v>100</v>
      </c>
      <c r="AK38" s="129"/>
      <c r="AL38" s="129"/>
      <c r="AM38" s="509">
        <f t="shared" si="46"/>
        <v>0</v>
      </c>
      <c r="AN38" s="129">
        <v>100</v>
      </c>
      <c r="AO38" s="129"/>
      <c r="AP38" s="129"/>
      <c r="AQ38" s="509">
        <f t="shared" si="47"/>
        <v>0</v>
      </c>
      <c r="AR38" s="129">
        <v>100</v>
      </c>
      <c r="AS38" s="129"/>
      <c r="AT38" s="129"/>
      <c r="AU38" s="509">
        <f t="shared" si="48"/>
        <v>0</v>
      </c>
      <c r="AV38" s="129">
        <v>100</v>
      </c>
      <c r="AW38" s="129"/>
      <c r="AX38" s="129"/>
      <c r="AY38" s="509">
        <f t="shared" si="49"/>
        <v>0</v>
      </c>
      <c r="AZ38" s="23">
        <f t="shared" si="50"/>
        <v>250</v>
      </c>
      <c r="BA38" s="23">
        <f t="shared" si="50"/>
        <v>40</v>
      </c>
      <c r="BB38" s="509">
        <f t="shared" si="51"/>
        <v>0.25490033600000001</v>
      </c>
      <c r="BC38" s="23">
        <f t="shared" si="52"/>
        <v>350</v>
      </c>
      <c r="BD38" s="257">
        <f t="shared" si="52"/>
        <v>0</v>
      </c>
      <c r="BE38" s="257">
        <f t="shared" si="53"/>
        <v>0</v>
      </c>
      <c r="BF38" s="257">
        <f t="shared" si="54"/>
        <v>300</v>
      </c>
      <c r="BG38" s="23">
        <f t="shared" si="54"/>
        <v>0</v>
      </c>
      <c r="BH38" s="257">
        <f t="shared" si="55"/>
        <v>0</v>
      </c>
      <c r="BI38" s="23">
        <f t="shared" si="56"/>
        <v>300</v>
      </c>
      <c r="BJ38" s="23">
        <f t="shared" si="56"/>
        <v>0</v>
      </c>
      <c r="BK38" s="257">
        <f t="shared" si="57"/>
        <v>0</v>
      </c>
      <c r="BL38" s="23">
        <f t="shared" si="58"/>
        <v>1200</v>
      </c>
      <c r="BM38" s="23">
        <f t="shared" si="58"/>
        <v>40</v>
      </c>
      <c r="BN38" s="257">
        <f t="shared" si="58"/>
        <v>0.25490033600000001</v>
      </c>
      <c r="BO38" s="466">
        <f t="shared" si="59"/>
        <v>3.3333333333333333E-2</v>
      </c>
      <c r="BP38" s="472"/>
      <c r="BQ38" s="23">
        <f t="shared" si="60"/>
        <v>700</v>
      </c>
      <c r="BR38" s="23" t="e">
        <f>E38+I38+M38+Q38+U38+Y38+#REF!</f>
        <v>#REF!</v>
      </c>
      <c r="BS38" s="466">
        <f t="shared" si="33"/>
        <v>0</v>
      </c>
      <c r="BT38" s="509">
        <f t="shared" si="61"/>
        <v>0.25490033600000001</v>
      </c>
      <c r="BU38" s="466">
        <f t="shared" ref="BU38:BU69" si="62">IFERROR(BR38/B38,0)</f>
        <v>0</v>
      </c>
    </row>
    <row r="39" spans="1:73" ht="12.6" customHeight="1">
      <c r="A39" s="254" t="s">
        <v>107</v>
      </c>
      <c r="B39" s="129">
        <f t="shared" si="36"/>
        <v>0</v>
      </c>
      <c r="C39" s="257"/>
      <c r="D39" s="129">
        <v>0</v>
      </c>
      <c r="E39" s="129"/>
      <c r="F39" s="129"/>
      <c r="G39" s="509">
        <f t="shared" si="37"/>
        <v>0</v>
      </c>
      <c r="H39" s="129"/>
      <c r="I39" s="129"/>
      <c r="J39" s="129"/>
      <c r="K39" s="509">
        <f t="shared" si="38"/>
        <v>0</v>
      </c>
      <c r="L39" s="129"/>
      <c r="M39" s="129"/>
      <c r="N39" s="129"/>
      <c r="O39" s="509">
        <f t="shared" si="39"/>
        <v>0</v>
      </c>
      <c r="P39" s="129"/>
      <c r="Q39" s="129"/>
      <c r="R39" s="129"/>
      <c r="S39" s="509">
        <f t="shared" si="40"/>
        <v>0</v>
      </c>
      <c r="T39" s="129"/>
      <c r="U39" s="129"/>
      <c r="V39" s="129">
        <f>(T39*U39)/10^6</f>
        <v>0</v>
      </c>
      <c r="W39" s="509">
        <f t="shared" si="42"/>
        <v>0</v>
      </c>
      <c r="X39" s="129"/>
      <c r="Y39" s="129"/>
      <c r="Z39" s="129"/>
      <c r="AA39" s="509">
        <f t="shared" si="43"/>
        <v>0</v>
      </c>
      <c r="AB39" s="129"/>
      <c r="AC39" s="129"/>
      <c r="AD39" s="129"/>
      <c r="AE39" s="509">
        <f t="shared" si="44"/>
        <v>0</v>
      </c>
      <c r="AF39" s="129"/>
      <c r="AG39" s="129"/>
      <c r="AH39" s="129"/>
      <c r="AI39" s="509">
        <f t="shared" si="45"/>
        <v>0</v>
      </c>
      <c r="AJ39" s="129"/>
      <c r="AK39" s="129"/>
      <c r="AL39" s="129"/>
      <c r="AM39" s="509">
        <f t="shared" si="46"/>
        <v>0</v>
      </c>
      <c r="AN39" s="129"/>
      <c r="AO39" s="129"/>
      <c r="AP39" s="129"/>
      <c r="AQ39" s="509">
        <f t="shared" si="47"/>
        <v>0</v>
      </c>
      <c r="AR39" s="129"/>
      <c r="AS39" s="129"/>
      <c r="AT39" s="129"/>
      <c r="AU39" s="509">
        <f t="shared" si="48"/>
        <v>0</v>
      </c>
      <c r="AV39" s="129"/>
      <c r="AW39" s="129"/>
      <c r="AX39" s="129"/>
      <c r="AY39" s="509">
        <f t="shared" si="49"/>
        <v>0</v>
      </c>
      <c r="AZ39" s="23">
        <f t="shared" si="50"/>
        <v>0</v>
      </c>
      <c r="BA39" s="23">
        <f t="shared" si="50"/>
        <v>0</v>
      </c>
      <c r="BB39" s="509">
        <f t="shared" si="51"/>
        <v>0</v>
      </c>
      <c r="BC39" s="23">
        <f t="shared" si="52"/>
        <v>0</v>
      </c>
      <c r="BD39" s="257">
        <f t="shared" si="52"/>
        <v>0</v>
      </c>
      <c r="BE39" s="257">
        <f t="shared" si="53"/>
        <v>0</v>
      </c>
      <c r="BF39" s="257">
        <f t="shared" si="54"/>
        <v>0</v>
      </c>
      <c r="BG39" s="23">
        <f t="shared" si="54"/>
        <v>0</v>
      </c>
      <c r="BH39" s="257">
        <f t="shared" si="55"/>
        <v>0</v>
      </c>
      <c r="BI39" s="23">
        <f t="shared" si="56"/>
        <v>0</v>
      </c>
      <c r="BJ39" s="23">
        <f t="shared" si="56"/>
        <v>0</v>
      </c>
      <c r="BK39" s="257">
        <f t="shared" si="57"/>
        <v>0</v>
      </c>
      <c r="BL39" s="23">
        <f t="shared" si="58"/>
        <v>0</v>
      </c>
      <c r="BM39" s="23">
        <f t="shared" si="58"/>
        <v>0</v>
      </c>
      <c r="BN39" s="257">
        <f t="shared" si="58"/>
        <v>0</v>
      </c>
      <c r="BO39" s="466">
        <f t="shared" si="59"/>
        <v>0</v>
      </c>
      <c r="BP39" s="472"/>
      <c r="BQ39" s="23">
        <f t="shared" si="60"/>
        <v>0</v>
      </c>
      <c r="BR39" s="23" t="e">
        <f>E39+I39+M39+Q39+U39+Y39+#REF!</f>
        <v>#REF!</v>
      </c>
      <c r="BS39" s="466">
        <f t="shared" si="33"/>
        <v>0</v>
      </c>
      <c r="BT39" s="509">
        <f t="shared" si="61"/>
        <v>0</v>
      </c>
      <c r="BU39" s="466">
        <f t="shared" si="62"/>
        <v>0</v>
      </c>
    </row>
    <row r="40" spans="1:73" ht="12.6" customHeight="1">
      <c r="A40" s="254" t="s">
        <v>40</v>
      </c>
      <c r="B40" s="129">
        <f t="shared" si="36"/>
        <v>0</v>
      </c>
      <c r="C40" s="257"/>
      <c r="D40" s="129">
        <v>0</v>
      </c>
      <c r="E40" s="129"/>
      <c r="F40" s="129"/>
      <c r="G40" s="509">
        <f t="shared" si="37"/>
        <v>0</v>
      </c>
      <c r="H40" s="129"/>
      <c r="I40" s="129"/>
      <c r="J40" s="129"/>
      <c r="K40" s="509">
        <f t="shared" si="38"/>
        <v>0</v>
      </c>
      <c r="L40" s="129"/>
      <c r="M40" s="129"/>
      <c r="N40" s="129"/>
      <c r="O40" s="509">
        <f t="shared" si="39"/>
        <v>0</v>
      </c>
      <c r="P40" s="129"/>
      <c r="Q40" s="129"/>
      <c r="R40" s="129"/>
      <c r="S40" s="509">
        <f t="shared" si="40"/>
        <v>0</v>
      </c>
      <c r="T40" s="129"/>
      <c r="U40" s="129"/>
      <c r="V40" s="129">
        <f t="shared" si="41"/>
        <v>0</v>
      </c>
      <c r="W40" s="509">
        <f t="shared" si="42"/>
        <v>0</v>
      </c>
      <c r="X40" s="129"/>
      <c r="Y40" s="129"/>
      <c r="Z40" s="129"/>
      <c r="AA40" s="509">
        <f t="shared" si="43"/>
        <v>0</v>
      </c>
      <c r="AB40" s="129"/>
      <c r="AC40" s="129"/>
      <c r="AD40" s="129"/>
      <c r="AE40" s="509">
        <f t="shared" si="44"/>
        <v>0</v>
      </c>
      <c r="AF40" s="129"/>
      <c r="AG40" s="129"/>
      <c r="AH40" s="129"/>
      <c r="AI40" s="509">
        <f t="shared" si="45"/>
        <v>0</v>
      </c>
      <c r="AJ40" s="129"/>
      <c r="AK40" s="129"/>
      <c r="AL40" s="129"/>
      <c r="AM40" s="509">
        <f t="shared" si="46"/>
        <v>0</v>
      </c>
      <c r="AN40" s="129"/>
      <c r="AO40" s="129"/>
      <c r="AP40" s="129"/>
      <c r="AQ40" s="509">
        <f t="shared" si="47"/>
        <v>0</v>
      </c>
      <c r="AR40" s="129"/>
      <c r="AS40" s="129"/>
      <c r="AT40" s="129"/>
      <c r="AU40" s="509">
        <f t="shared" si="48"/>
        <v>0</v>
      </c>
      <c r="AV40" s="129"/>
      <c r="AW40" s="129"/>
      <c r="AX40" s="129"/>
      <c r="AY40" s="509">
        <f t="shared" si="49"/>
        <v>0</v>
      </c>
      <c r="AZ40" s="23">
        <f t="shared" si="50"/>
        <v>0</v>
      </c>
      <c r="BA40" s="23">
        <f t="shared" si="50"/>
        <v>0</v>
      </c>
      <c r="BB40" s="509">
        <f t="shared" si="51"/>
        <v>0</v>
      </c>
      <c r="BC40" s="23">
        <f t="shared" si="52"/>
        <v>0</v>
      </c>
      <c r="BD40" s="257">
        <f t="shared" si="52"/>
        <v>0</v>
      </c>
      <c r="BE40" s="257">
        <f t="shared" si="53"/>
        <v>0</v>
      </c>
      <c r="BF40" s="257">
        <f t="shared" si="54"/>
        <v>0</v>
      </c>
      <c r="BG40" s="23">
        <f t="shared" si="54"/>
        <v>0</v>
      </c>
      <c r="BH40" s="257">
        <f t="shared" si="55"/>
        <v>0</v>
      </c>
      <c r="BI40" s="23">
        <f t="shared" si="56"/>
        <v>0</v>
      </c>
      <c r="BJ40" s="23">
        <f t="shared" si="56"/>
        <v>0</v>
      </c>
      <c r="BK40" s="257">
        <f t="shared" si="57"/>
        <v>0</v>
      </c>
      <c r="BL40" s="23">
        <f t="shared" si="58"/>
        <v>0</v>
      </c>
      <c r="BM40" s="23">
        <f t="shared" si="58"/>
        <v>0</v>
      </c>
      <c r="BN40" s="257">
        <f t="shared" si="58"/>
        <v>0</v>
      </c>
      <c r="BO40" s="466">
        <f t="shared" si="59"/>
        <v>0</v>
      </c>
      <c r="BP40" s="472"/>
      <c r="BQ40" s="23">
        <f t="shared" si="60"/>
        <v>0</v>
      </c>
      <c r="BR40" s="23" t="e">
        <f>E40+I40+M40+Q40+U40+Y40+#REF!</f>
        <v>#REF!</v>
      </c>
      <c r="BS40" s="466">
        <f t="shared" si="33"/>
        <v>0</v>
      </c>
      <c r="BT40" s="509">
        <f t="shared" si="61"/>
        <v>0</v>
      </c>
      <c r="BU40" s="466">
        <f t="shared" si="62"/>
        <v>0</v>
      </c>
    </row>
    <row r="41" spans="1:73" ht="12.6" customHeight="1">
      <c r="A41" s="254" t="s">
        <v>30</v>
      </c>
      <c r="B41" s="129">
        <f t="shared" si="36"/>
        <v>144</v>
      </c>
      <c r="C41" s="257"/>
      <c r="D41" s="129">
        <v>12</v>
      </c>
      <c r="E41" s="129">
        <v>12</v>
      </c>
      <c r="F41" s="129">
        <v>3467.7</v>
      </c>
      <c r="G41" s="509">
        <f>E41*(F41-2031)*66.47/10^7</f>
        <v>0.11459693879999998</v>
      </c>
      <c r="H41" s="129">
        <v>24</v>
      </c>
      <c r="I41" s="129">
        <v>24</v>
      </c>
      <c r="J41" s="129">
        <v>3487</v>
      </c>
      <c r="K41" s="509">
        <f>I41*(J41-2258)*66.91/10^7</f>
        <v>0.19735773599999998</v>
      </c>
      <c r="L41" s="129">
        <v>12</v>
      </c>
      <c r="M41" s="129"/>
      <c r="N41" s="129"/>
      <c r="O41" s="509">
        <f t="shared" si="39"/>
        <v>0</v>
      </c>
      <c r="P41" s="129">
        <v>12</v>
      </c>
      <c r="Q41" s="129"/>
      <c r="R41" s="129"/>
      <c r="S41" s="509">
        <f t="shared" si="40"/>
        <v>0</v>
      </c>
      <c r="T41" s="129">
        <v>12</v>
      </c>
      <c r="U41" s="129"/>
      <c r="V41" s="129">
        <f t="shared" si="41"/>
        <v>0</v>
      </c>
      <c r="W41" s="509">
        <f t="shared" si="42"/>
        <v>0</v>
      </c>
      <c r="X41" s="129"/>
      <c r="Y41" s="129"/>
      <c r="Z41" s="129"/>
      <c r="AA41" s="509">
        <f t="shared" si="43"/>
        <v>0</v>
      </c>
      <c r="AB41" s="129">
        <v>12</v>
      </c>
      <c r="AC41" s="129"/>
      <c r="AD41" s="129"/>
      <c r="AE41" s="509">
        <f t="shared" si="44"/>
        <v>0</v>
      </c>
      <c r="AF41" s="129">
        <v>12</v>
      </c>
      <c r="AG41" s="129">
        <v>12</v>
      </c>
      <c r="AH41" s="129">
        <v>3466</v>
      </c>
      <c r="AI41" s="509">
        <f>AG41*(AH41-2697)*67.58/10^7</f>
        <v>6.2362823999999997E-2</v>
      </c>
      <c r="AJ41" s="129">
        <v>12</v>
      </c>
      <c r="AK41" s="129"/>
      <c r="AL41" s="129"/>
      <c r="AM41" s="509">
        <f t="shared" si="46"/>
        <v>0</v>
      </c>
      <c r="AN41" s="129">
        <v>12</v>
      </c>
      <c r="AO41" s="129"/>
      <c r="AP41" s="129"/>
      <c r="AQ41" s="509">
        <f t="shared" si="47"/>
        <v>0</v>
      </c>
      <c r="AR41" s="129">
        <v>24</v>
      </c>
      <c r="AS41" s="129"/>
      <c r="AT41" s="129"/>
      <c r="AU41" s="509">
        <f t="shared" si="48"/>
        <v>0</v>
      </c>
      <c r="AV41" s="129"/>
      <c r="AW41" s="129"/>
      <c r="AX41" s="129"/>
      <c r="AY41" s="509">
        <f t="shared" si="49"/>
        <v>0</v>
      </c>
      <c r="AZ41" s="23">
        <f t="shared" si="50"/>
        <v>48</v>
      </c>
      <c r="BA41" s="23">
        <f t="shared" si="50"/>
        <v>36</v>
      </c>
      <c r="BB41" s="509">
        <f t="shared" si="51"/>
        <v>0.31195467479999994</v>
      </c>
      <c r="BC41" s="23">
        <f t="shared" si="52"/>
        <v>24</v>
      </c>
      <c r="BD41" s="257">
        <f t="shared" si="52"/>
        <v>0</v>
      </c>
      <c r="BE41" s="257">
        <f t="shared" si="53"/>
        <v>0</v>
      </c>
      <c r="BF41" s="257">
        <f t="shared" si="54"/>
        <v>36</v>
      </c>
      <c r="BG41" s="23">
        <f t="shared" si="54"/>
        <v>12</v>
      </c>
      <c r="BH41" s="257">
        <f t="shared" si="55"/>
        <v>6.2362823999999997E-2</v>
      </c>
      <c r="BI41" s="23">
        <f t="shared" si="56"/>
        <v>36</v>
      </c>
      <c r="BJ41" s="23">
        <f t="shared" si="56"/>
        <v>0</v>
      </c>
      <c r="BK41" s="257">
        <f t="shared" si="57"/>
        <v>0</v>
      </c>
      <c r="BL41" s="23">
        <f t="shared" si="58"/>
        <v>144</v>
      </c>
      <c r="BM41" s="23">
        <f t="shared" si="58"/>
        <v>48</v>
      </c>
      <c r="BN41" s="257">
        <f t="shared" si="58"/>
        <v>0.37431749879999993</v>
      </c>
      <c r="BO41" s="466">
        <f t="shared" si="59"/>
        <v>0.33333333333333331</v>
      </c>
      <c r="BP41" s="472"/>
      <c r="BQ41" s="23">
        <f t="shared" si="60"/>
        <v>84</v>
      </c>
      <c r="BR41" s="23" t="e">
        <f>E41+I41+M41+Q41+U41+Y41+#REF!</f>
        <v>#REF!</v>
      </c>
      <c r="BS41" s="466">
        <f t="shared" si="33"/>
        <v>0</v>
      </c>
      <c r="BT41" s="509">
        <f t="shared" si="61"/>
        <v>0.31195467479999994</v>
      </c>
      <c r="BU41" s="466">
        <f t="shared" si="62"/>
        <v>0</v>
      </c>
    </row>
    <row r="42" spans="1:73" ht="12.6" customHeight="1">
      <c r="A42" s="254" t="s">
        <v>120</v>
      </c>
      <c r="B42" s="129">
        <f t="shared" si="36"/>
        <v>0</v>
      </c>
      <c r="C42" s="257"/>
      <c r="D42" s="129">
        <v>0</v>
      </c>
      <c r="E42" s="129"/>
      <c r="F42" s="129"/>
      <c r="G42" s="509">
        <f t="shared" si="37"/>
        <v>0</v>
      </c>
      <c r="H42" s="129"/>
      <c r="I42" s="129"/>
      <c r="J42" s="129"/>
      <c r="K42" s="509">
        <f t="shared" si="38"/>
        <v>0</v>
      </c>
      <c r="L42" s="129"/>
      <c r="M42" s="129"/>
      <c r="N42" s="129"/>
      <c r="O42" s="509">
        <f t="shared" si="39"/>
        <v>0</v>
      </c>
      <c r="P42" s="129"/>
      <c r="Q42" s="129"/>
      <c r="R42" s="129"/>
      <c r="S42" s="509">
        <f t="shared" si="40"/>
        <v>0</v>
      </c>
      <c r="T42" s="129"/>
      <c r="U42" s="129"/>
      <c r="V42" s="129">
        <f t="shared" si="41"/>
        <v>0</v>
      </c>
      <c r="W42" s="509">
        <f t="shared" si="42"/>
        <v>0</v>
      </c>
      <c r="X42" s="129"/>
      <c r="Y42" s="129"/>
      <c r="Z42" s="129"/>
      <c r="AA42" s="509">
        <f t="shared" si="43"/>
        <v>0</v>
      </c>
      <c r="AB42" s="129"/>
      <c r="AC42" s="129"/>
      <c r="AD42" s="129"/>
      <c r="AE42" s="509">
        <f t="shared" si="44"/>
        <v>0</v>
      </c>
      <c r="AF42" s="129"/>
      <c r="AG42" s="129">
        <v>32</v>
      </c>
      <c r="AH42" s="129">
        <v>1624</v>
      </c>
      <c r="AI42" s="509">
        <f t="shared" si="45"/>
        <v>0.35119974399999998</v>
      </c>
      <c r="AJ42" s="129"/>
      <c r="AK42" s="129">
        <v>16</v>
      </c>
      <c r="AL42" s="129">
        <v>1615</v>
      </c>
      <c r="AM42" s="509">
        <f t="shared" si="46"/>
        <v>0.17547943999999999</v>
      </c>
      <c r="AN42" s="129"/>
      <c r="AO42" s="129">
        <v>14</v>
      </c>
      <c r="AP42" s="129">
        <v>1590</v>
      </c>
      <c r="AQ42" s="509">
        <f t="shared" si="47"/>
        <v>0.15139026</v>
      </c>
      <c r="AR42" s="129"/>
      <c r="AS42" s="129"/>
      <c r="AT42" s="129"/>
      <c r="AU42" s="509">
        <f t="shared" si="48"/>
        <v>0</v>
      </c>
      <c r="AV42" s="129"/>
      <c r="AW42" s="129"/>
      <c r="AX42" s="129"/>
      <c r="AY42" s="509">
        <f t="shared" si="49"/>
        <v>0</v>
      </c>
      <c r="AZ42" s="23">
        <f t="shared" si="50"/>
        <v>0</v>
      </c>
      <c r="BA42" s="23">
        <f t="shared" si="50"/>
        <v>0</v>
      </c>
      <c r="BB42" s="509">
        <f t="shared" si="51"/>
        <v>0</v>
      </c>
      <c r="BC42" s="23">
        <f t="shared" si="52"/>
        <v>0</v>
      </c>
      <c r="BD42" s="257">
        <f t="shared" si="52"/>
        <v>0</v>
      </c>
      <c r="BE42" s="257">
        <f t="shared" si="53"/>
        <v>0</v>
      </c>
      <c r="BF42" s="257">
        <f t="shared" si="54"/>
        <v>0</v>
      </c>
      <c r="BG42" s="23">
        <f t="shared" si="54"/>
        <v>48</v>
      </c>
      <c r="BH42" s="257">
        <f t="shared" si="55"/>
        <v>0.52667918400000002</v>
      </c>
      <c r="BI42" s="23">
        <f t="shared" si="56"/>
        <v>0</v>
      </c>
      <c r="BJ42" s="23">
        <f t="shared" si="56"/>
        <v>14</v>
      </c>
      <c r="BK42" s="257">
        <f t="shared" si="57"/>
        <v>0.15139026</v>
      </c>
      <c r="BL42" s="23">
        <f t="shared" si="58"/>
        <v>0</v>
      </c>
      <c r="BM42" s="23">
        <f t="shared" si="58"/>
        <v>62</v>
      </c>
      <c r="BN42" s="257">
        <f t="shared" si="58"/>
        <v>0.67806944400000002</v>
      </c>
      <c r="BO42" s="466">
        <f t="shared" si="59"/>
        <v>0</v>
      </c>
      <c r="BP42" s="472"/>
      <c r="BQ42" s="23">
        <f t="shared" si="60"/>
        <v>0</v>
      </c>
      <c r="BR42" s="23" t="e">
        <f>E42+I42+M42+Q42+U42+Y42+#REF!</f>
        <v>#REF!</v>
      </c>
      <c r="BS42" s="466">
        <f t="shared" si="33"/>
        <v>0</v>
      </c>
      <c r="BT42" s="509">
        <f t="shared" si="61"/>
        <v>0</v>
      </c>
      <c r="BU42" s="466">
        <f t="shared" si="62"/>
        <v>0</v>
      </c>
    </row>
    <row r="43" spans="1:73" ht="12.6" customHeight="1">
      <c r="A43" s="254" t="s">
        <v>36</v>
      </c>
      <c r="B43" s="129">
        <f t="shared" si="36"/>
        <v>0</v>
      </c>
      <c r="C43" s="257"/>
      <c r="D43" s="129">
        <v>0</v>
      </c>
      <c r="E43" s="129"/>
      <c r="F43" s="129"/>
      <c r="G43" s="509">
        <f t="shared" si="37"/>
        <v>0</v>
      </c>
      <c r="H43" s="129"/>
      <c r="I43" s="129"/>
      <c r="J43" s="129"/>
      <c r="K43" s="509">
        <f t="shared" si="38"/>
        <v>0</v>
      </c>
      <c r="L43" s="129"/>
      <c r="M43" s="129"/>
      <c r="N43" s="129"/>
      <c r="O43" s="509">
        <f t="shared" si="39"/>
        <v>0</v>
      </c>
      <c r="P43" s="129"/>
      <c r="Q43" s="129"/>
      <c r="R43" s="129"/>
      <c r="S43" s="509">
        <f t="shared" si="40"/>
        <v>0</v>
      </c>
      <c r="T43" s="129"/>
      <c r="U43" s="129"/>
      <c r="V43" s="129">
        <f t="shared" si="41"/>
        <v>0</v>
      </c>
      <c r="W43" s="509">
        <f t="shared" si="42"/>
        <v>0</v>
      </c>
      <c r="X43" s="129"/>
      <c r="Y43" s="129"/>
      <c r="Z43" s="129"/>
      <c r="AA43" s="509">
        <f t="shared" si="43"/>
        <v>0</v>
      </c>
      <c r="AB43" s="129"/>
      <c r="AC43" s="129"/>
      <c r="AD43" s="129"/>
      <c r="AE43" s="509">
        <f t="shared" si="44"/>
        <v>0</v>
      </c>
      <c r="AF43" s="129"/>
      <c r="AG43" s="129"/>
      <c r="AH43" s="129"/>
      <c r="AI43" s="509">
        <f t="shared" si="45"/>
        <v>0</v>
      </c>
      <c r="AJ43" s="129"/>
      <c r="AK43" s="129"/>
      <c r="AL43" s="129"/>
      <c r="AM43" s="509">
        <f t="shared" si="46"/>
        <v>0</v>
      </c>
      <c r="AN43" s="129"/>
      <c r="AO43" s="129"/>
      <c r="AP43" s="129"/>
      <c r="AQ43" s="509">
        <f t="shared" si="47"/>
        <v>0</v>
      </c>
      <c r="AR43" s="129"/>
      <c r="AS43" s="129"/>
      <c r="AT43" s="129"/>
      <c r="AU43" s="509">
        <f t="shared" si="48"/>
        <v>0</v>
      </c>
      <c r="AV43" s="129"/>
      <c r="AW43" s="129"/>
      <c r="AX43" s="129"/>
      <c r="AY43" s="509">
        <f t="shared" si="49"/>
        <v>0</v>
      </c>
      <c r="AZ43" s="23">
        <f t="shared" si="50"/>
        <v>0</v>
      </c>
      <c r="BA43" s="23">
        <f t="shared" si="50"/>
        <v>0</v>
      </c>
      <c r="BB43" s="509">
        <f t="shared" si="51"/>
        <v>0</v>
      </c>
      <c r="BC43" s="23">
        <f t="shared" si="52"/>
        <v>0</v>
      </c>
      <c r="BD43" s="257">
        <f t="shared" si="52"/>
        <v>0</v>
      </c>
      <c r="BE43" s="257">
        <f t="shared" si="53"/>
        <v>0</v>
      </c>
      <c r="BF43" s="257">
        <f t="shared" si="54"/>
        <v>0</v>
      </c>
      <c r="BG43" s="23">
        <f t="shared" si="54"/>
        <v>0</v>
      </c>
      <c r="BH43" s="257">
        <f t="shared" si="55"/>
        <v>0</v>
      </c>
      <c r="BI43" s="23">
        <f t="shared" si="56"/>
        <v>0</v>
      </c>
      <c r="BJ43" s="23">
        <f t="shared" si="56"/>
        <v>0</v>
      </c>
      <c r="BK43" s="257">
        <f t="shared" si="57"/>
        <v>0</v>
      </c>
      <c r="BL43" s="23">
        <f t="shared" si="58"/>
        <v>0</v>
      </c>
      <c r="BM43" s="23">
        <f t="shared" si="58"/>
        <v>0</v>
      </c>
      <c r="BN43" s="257">
        <f t="shared" si="58"/>
        <v>0</v>
      </c>
      <c r="BO43" s="466">
        <f t="shared" si="59"/>
        <v>0</v>
      </c>
      <c r="BP43" s="472"/>
      <c r="BQ43" s="23">
        <f t="shared" si="60"/>
        <v>0</v>
      </c>
      <c r="BR43" s="23" t="e">
        <f>E43+I43+M43+Q43+U43+Y43+#REF!</f>
        <v>#REF!</v>
      </c>
      <c r="BS43" s="466">
        <f t="shared" si="33"/>
        <v>0</v>
      </c>
      <c r="BT43" s="509">
        <f t="shared" si="61"/>
        <v>0</v>
      </c>
      <c r="BU43" s="466">
        <f t="shared" si="62"/>
        <v>0</v>
      </c>
    </row>
    <row r="44" spans="1:73" ht="12.6" customHeight="1">
      <c r="A44" s="254" t="s">
        <v>53</v>
      </c>
      <c r="B44" s="129">
        <f t="shared" si="36"/>
        <v>0</v>
      </c>
      <c r="C44" s="257"/>
      <c r="D44" s="129">
        <v>0</v>
      </c>
      <c r="E44" s="129"/>
      <c r="F44" s="129"/>
      <c r="G44" s="509">
        <f t="shared" si="37"/>
        <v>0</v>
      </c>
      <c r="H44" s="129"/>
      <c r="I44" s="129"/>
      <c r="J44" s="129"/>
      <c r="K44" s="509">
        <f t="shared" si="38"/>
        <v>0</v>
      </c>
      <c r="L44" s="129"/>
      <c r="M44" s="129"/>
      <c r="N44" s="129"/>
      <c r="O44" s="509">
        <f t="shared" si="39"/>
        <v>0</v>
      </c>
      <c r="P44" s="129"/>
      <c r="Q44" s="129"/>
      <c r="R44" s="129"/>
      <c r="S44" s="509">
        <f t="shared" si="40"/>
        <v>0</v>
      </c>
      <c r="T44" s="129"/>
      <c r="U44" s="129"/>
      <c r="V44" s="129">
        <f t="shared" si="41"/>
        <v>0</v>
      </c>
      <c r="W44" s="509">
        <f t="shared" si="42"/>
        <v>0</v>
      </c>
      <c r="X44" s="129"/>
      <c r="Y44" s="129"/>
      <c r="Z44" s="129"/>
      <c r="AA44" s="509">
        <f t="shared" si="43"/>
        <v>0</v>
      </c>
      <c r="AB44" s="129"/>
      <c r="AC44" s="129"/>
      <c r="AD44" s="129"/>
      <c r="AE44" s="509">
        <f t="shared" si="44"/>
        <v>0</v>
      </c>
      <c r="AF44" s="129"/>
      <c r="AG44" s="129"/>
      <c r="AH44" s="129"/>
      <c r="AI44" s="509">
        <f t="shared" si="45"/>
        <v>0</v>
      </c>
      <c r="AJ44" s="129"/>
      <c r="AK44" s="129"/>
      <c r="AL44" s="129"/>
      <c r="AM44" s="509">
        <f t="shared" si="46"/>
        <v>0</v>
      </c>
      <c r="AN44" s="129"/>
      <c r="AO44" s="129"/>
      <c r="AP44" s="129"/>
      <c r="AQ44" s="509">
        <f t="shared" si="47"/>
        <v>0</v>
      </c>
      <c r="AR44" s="129"/>
      <c r="AS44" s="129"/>
      <c r="AT44" s="129"/>
      <c r="AU44" s="509">
        <f t="shared" si="48"/>
        <v>0</v>
      </c>
      <c r="AV44" s="129"/>
      <c r="AW44" s="129"/>
      <c r="AX44" s="129"/>
      <c r="AY44" s="509">
        <f t="shared" si="49"/>
        <v>0</v>
      </c>
      <c r="AZ44" s="23">
        <f t="shared" si="50"/>
        <v>0</v>
      </c>
      <c r="BA44" s="23">
        <f t="shared" si="50"/>
        <v>0</v>
      </c>
      <c r="BB44" s="509">
        <f t="shared" si="51"/>
        <v>0</v>
      </c>
      <c r="BC44" s="23">
        <f t="shared" si="52"/>
        <v>0</v>
      </c>
      <c r="BD44" s="257">
        <f t="shared" si="52"/>
        <v>0</v>
      </c>
      <c r="BE44" s="257">
        <f t="shared" si="53"/>
        <v>0</v>
      </c>
      <c r="BF44" s="257">
        <f t="shared" si="54"/>
        <v>0</v>
      </c>
      <c r="BG44" s="23">
        <f t="shared" si="54"/>
        <v>0</v>
      </c>
      <c r="BH44" s="257">
        <f t="shared" si="55"/>
        <v>0</v>
      </c>
      <c r="BI44" s="23">
        <f t="shared" si="56"/>
        <v>0</v>
      </c>
      <c r="BJ44" s="23">
        <f t="shared" si="56"/>
        <v>0</v>
      </c>
      <c r="BK44" s="257">
        <f t="shared" si="57"/>
        <v>0</v>
      </c>
      <c r="BL44" s="23">
        <f t="shared" si="58"/>
        <v>0</v>
      </c>
      <c r="BM44" s="23">
        <f t="shared" si="58"/>
        <v>0</v>
      </c>
      <c r="BN44" s="257">
        <f t="shared" si="58"/>
        <v>0</v>
      </c>
      <c r="BO44" s="466">
        <f t="shared" si="59"/>
        <v>0</v>
      </c>
      <c r="BP44" s="472"/>
      <c r="BQ44" s="23">
        <f t="shared" si="60"/>
        <v>0</v>
      </c>
      <c r="BR44" s="23" t="e">
        <f>E44+I44+M44+Q44+U44+Y44+#REF!</f>
        <v>#REF!</v>
      </c>
      <c r="BS44" s="466">
        <f t="shared" si="33"/>
        <v>0</v>
      </c>
      <c r="BT44" s="509">
        <f t="shared" si="61"/>
        <v>0</v>
      </c>
      <c r="BU44" s="466">
        <f t="shared" si="62"/>
        <v>0</v>
      </c>
    </row>
    <row r="45" spans="1:73" ht="12.6" customHeight="1">
      <c r="A45" s="505" t="s">
        <v>124</v>
      </c>
      <c r="B45" s="129">
        <f t="shared" si="36"/>
        <v>0</v>
      </c>
      <c r="C45" s="257">
        <v>62.214285714285715</v>
      </c>
      <c r="D45" s="129">
        <v>0</v>
      </c>
      <c r="E45" s="129"/>
      <c r="F45" s="129"/>
      <c r="G45" s="509">
        <f t="shared" si="37"/>
        <v>0</v>
      </c>
      <c r="H45" s="129"/>
      <c r="I45" s="129"/>
      <c r="J45" s="129"/>
      <c r="K45" s="509">
        <f t="shared" si="38"/>
        <v>0</v>
      </c>
      <c r="L45" s="129"/>
      <c r="M45" s="129"/>
      <c r="N45" s="129"/>
      <c r="O45" s="509">
        <f t="shared" si="39"/>
        <v>0</v>
      </c>
      <c r="P45" s="129"/>
      <c r="Q45" s="129"/>
      <c r="R45" s="129"/>
      <c r="S45" s="509">
        <f t="shared" si="40"/>
        <v>0</v>
      </c>
      <c r="T45" s="129"/>
      <c r="U45" s="129"/>
      <c r="V45" s="129">
        <f t="shared" si="41"/>
        <v>0</v>
      </c>
      <c r="W45" s="509">
        <f t="shared" si="42"/>
        <v>0</v>
      </c>
      <c r="X45" s="129"/>
      <c r="Y45" s="129"/>
      <c r="Z45" s="129"/>
      <c r="AA45" s="509">
        <f t="shared" si="43"/>
        <v>0</v>
      </c>
      <c r="AB45" s="129"/>
      <c r="AC45" s="129"/>
      <c r="AD45" s="129"/>
      <c r="AE45" s="509">
        <f t="shared" si="44"/>
        <v>0</v>
      </c>
      <c r="AF45" s="129"/>
      <c r="AG45" s="129"/>
      <c r="AH45" s="129"/>
      <c r="AI45" s="509">
        <f t="shared" si="45"/>
        <v>0</v>
      </c>
      <c r="AJ45" s="129"/>
      <c r="AK45" s="129"/>
      <c r="AL45" s="129"/>
      <c r="AM45" s="509">
        <f t="shared" si="46"/>
        <v>0</v>
      </c>
      <c r="AN45" s="129"/>
      <c r="AO45" s="129"/>
      <c r="AP45" s="129"/>
      <c r="AQ45" s="509">
        <f t="shared" si="47"/>
        <v>0</v>
      </c>
      <c r="AR45" s="129"/>
      <c r="AS45" s="129"/>
      <c r="AT45" s="129"/>
      <c r="AU45" s="509">
        <f t="shared" si="48"/>
        <v>0</v>
      </c>
      <c r="AV45" s="129"/>
      <c r="AW45" s="129"/>
      <c r="AX45" s="129"/>
      <c r="AY45" s="509">
        <f t="shared" si="49"/>
        <v>0</v>
      </c>
      <c r="AZ45" s="23">
        <f t="shared" si="50"/>
        <v>0</v>
      </c>
      <c r="BA45" s="23">
        <f t="shared" si="50"/>
        <v>0</v>
      </c>
      <c r="BB45" s="509">
        <f t="shared" si="51"/>
        <v>0</v>
      </c>
      <c r="BC45" s="23">
        <f t="shared" si="52"/>
        <v>0</v>
      </c>
      <c r="BD45" s="257">
        <f t="shared" si="52"/>
        <v>0</v>
      </c>
      <c r="BE45" s="257">
        <f t="shared" si="53"/>
        <v>0</v>
      </c>
      <c r="BF45" s="257">
        <f t="shared" si="54"/>
        <v>0</v>
      </c>
      <c r="BG45" s="23">
        <f t="shared" si="54"/>
        <v>0</v>
      </c>
      <c r="BH45" s="257">
        <f t="shared" si="55"/>
        <v>0</v>
      </c>
      <c r="BI45" s="23">
        <f t="shared" si="56"/>
        <v>0</v>
      </c>
      <c r="BJ45" s="23">
        <f t="shared" si="56"/>
        <v>0</v>
      </c>
      <c r="BK45" s="257">
        <f t="shared" si="57"/>
        <v>0</v>
      </c>
      <c r="BL45" s="23">
        <f t="shared" si="58"/>
        <v>0</v>
      </c>
      <c r="BM45" s="23">
        <f t="shared" si="58"/>
        <v>0</v>
      </c>
      <c r="BN45" s="257">
        <f t="shared" si="58"/>
        <v>0</v>
      </c>
      <c r="BO45" s="466">
        <f t="shared" si="59"/>
        <v>0</v>
      </c>
      <c r="BP45" s="472"/>
      <c r="BQ45" s="23">
        <f t="shared" si="60"/>
        <v>0</v>
      </c>
      <c r="BR45" s="23" t="e">
        <f>E45+I45+M45+Q45+U45+Y45+#REF!</f>
        <v>#REF!</v>
      </c>
      <c r="BS45" s="466">
        <f t="shared" si="33"/>
        <v>0</v>
      </c>
      <c r="BT45" s="509">
        <f t="shared" si="61"/>
        <v>0</v>
      </c>
      <c r="BU45" s="466">
        <f t="shared" si="62"/>
        <v>0</v>
      </c>
    </row>
    <row r="46" spans="1:73" ht="12.6" customHeight="1">
      <c r="A46" s="506" t="s">
        <v>63</v>
      </c>
      <c r="B46" s="129">
        <f t="shared" si="36"/>
        <v>0</v>
      </c>
      <c r="C46" s="257"/>
      <c r="D46" s="129">
        <v>0</v>
      </c>
      <c r="E46" s="129"/>
      <c r="F46" s="129"/>
      <c r="G46" s="509">
        <f t="shared" si="37"/>
        <v>0</v>
      </c>
      <c r="H46" s="129"/>
      <c r="I46" s="129"/>
      <c r="J46" s="129"/>
      <c r="K46" s="509">
        <f t="shared" si="38"/>
        <v>0</v>
      </c>
      <c r="L46" s="129"/>
      <c r="M46" s="129"/>
      <c r="N46" s="129"/>
      <c r="O46" s="509">
        <f t="shared" si="39"/>
        <v>0</v>
      </c>
      <c r="P46" s="129"/>
      <c r="Q46" s="129"/>
      <c r="R46" s="129"/>
      <c r="S46" s="509">
        <f t="shared" si="40"/>
        <v>0</v>
      </c>
      <c r="T46" s="129"/>
      <c r="U46" s="129"/>
      <c r="V46" s="129">
        <f t="shared" si="41"/>
        <v>0</v>
      </c>
      <c r="W46" s="509">
        <f t="shared" si="42"/>
        <v>0</v>
      </c>
      <c r="X46" s="129"/>
      <c r="Y46" s="129"/>
      <c r="Z46" s="129"/>
      <c r="AA46" s="509">
        <f t="shared" si="43"/>
        <v>0</v>
      </c>
      <c r="AB46" s="129"/>
      <c r="AC46" s="129"/>
      <c r="AD46" s="129"/>
      <c r="AE46" s="509">
        <f t="shared" si="44"/>
        <v>0</v>
      </c>
      <c r="AF46" s="129"/>
      <c r="AG46" s="129"/>
      <c r="AH46" s="129"/>
      <c r="AI46" s="509">
        <f t="shared" si="45"/>
        <v>0</v>
      </c>
      <c r="AJ46" s="129"/>
      <c r="AK46" s="129"/>
      <c r="AL46" s="129"/>
      <c r="AM46" s="509">
        <f t="shared" si="46"/>
        <v>0</v>
      </c>
      <c r="AN46" s="129"/>
      <c r="AO46" s="129"/>
      <c r="AP46" s="129"/>
      <c r="AQ46" s="509">
        <f t="shared" si="47"/>
        <v>0</v>
      </c>
      <c r="AR46" s="129"/>
      <c r="AS46" s="129"/>
      <c r="AT46" s="129"/>
      <c r="AU46" s="509">
        <f t="shared" si="48"/>
        <v>0</v>
      </c>
      <c r="AV46" s="129"/>
      <c r="AW46" s="129"/>
      <c r="AX46" s="129"/>
      <c r="AY46" s="509">
        <f t="shared" si="49"/>
        <v>0</v>
      </c>
      <c r="AZ46" s="23">
        <f t="shared" si="50"/>
        <v>0</v>
      </c>
      <c r="BA46" s="23">
        <f t="shared" si="50"/>
        <v>0</v>
      </c>
      <c r="BB46" s="509">
        <f t="shared" si="51"/>
        <v>0</v>
      </c>
      <c r="BC46" s="23">
        <f t="shared" si="52"/>
        <v>0</v>
      </c>
      <c r="BD46" s="257">
        <f t="shared" si="52"/>
        <v>0</v>
      </c>
      <c r="BE46" s="257">
        <f t="shared" si="53"/>
        <v>0</v>
      </c>
      <c r="BF46" s="257">
        <f t="shared" si="54"/>
        <v>0</v>
      </c>
      <c r="BG46" s="23">
        <f t="shared" si="54"/>
        <v>0</v>
      </c>
      <c r="BH46" s="257">
        <f t="shared" si="55"/>
        <v>0</v>
      </c>
      <c r="BI46" s="23">
        <f t="shared" si="56"/>
        <v>0</v>
      </c>
      <c r="BJ46" s="23">
        <f t="shared" si="56"/>
        <v>0</v>
      </c>
      <c r="BK46" s="257">
        <f t="shared" si="57"/>
        <v>0</v>
      </c>
      <c r="BL46" s="23">
        <f t="shared" si="58"/>
        <v>0</v>
      </c>
      <c r="BM46" s="23">
        <f t="shared" si="58"/>
        <v>0</v>
      </c>
      <c r="BN46" s="257">
        <f t="shared" si="58"/>
        <v>0</v>
      </c>
      <c r="BO46" s="466">
        <f t="shared" si="59"/>
        <v>0</v>
      </c>
      <c r="BP46" s="472"/>
      <c r="BQ46" s="23">
        <f t="shared" si="60"/>
        <v>0</v>
      </c>
      <c r="BR46" s="23" t="e">
        <f>E46+I46+M46+Q46+U46+Y46+#REF!</f>
        <v>#REF!</v>
      </c>
      <c r="BS46" s="466">
        <f t="shared" si="33"/>
        <v>0</v>
      </c>
      <c r="BT46" s="509">
        <f t="shared" si="61"/>
        <v>0</v>
      </c>
      <c r="BU46" s="466">
        <f t="shared" si="62"/>
        <v>0</v>
      </c>
    </row>
    <row r="47" spans="1:73" ht="12.6" customHeight="1">
      <c r="A47" s="506" t="s">
        <v>41</v>
      </c>
      <c r="B47" s="129">
        <f t="shared" si="36"/>
        <v>0</v>
      </c>
      <c r="C47" s="257"/>
      <c r="D47" s="129">
        <v>0</v>
      </c>
      <c r="E47" s="129"/>
      <c r="F47" s="129"/>
      <c r="G47" s="509">
        <f t="shared" si="37"/>
        <v>0</v>
      </c>
      <c r="H47" s="129"/>
      <c r="I47" s="129"/>
      <c r="J47" s="129"/>
      <c r="K47" s="509">
        <f t="shared" si="38"/>
        <v>0</v>
      </c>
      <c r="L47" s="129"/>
      <c r="M47" s="129"/>
      <c r="N47" s="129"/>
      <c r="O47" s="509">
        <f t="shared" si="39"/>
        <v>0</v>
      </c>
      <c r="P47" s="129"/>
      <c r="Q47" s="129"/>
      <c r="R47" s="129"/>
      <c r="S47" s="509">
        <f t="shared" si="40"/>
        <v>0</v>
      </c>
      <c r="T47" s="129"/>
      <c r="U47" s="129"/>
      <c r="V47" s="129">
        <f t="shared" si="41"/>
        <v>0</v>
      </c>
      <c r="W47" s="509">
        <f t="shared" si="42"/>
        <v>0</v>
      </c>
      <c r="X47" s="129"/>
      <c r="Y47" s="129">
        <v>48</v>
      </c>
      <c r="Z47" s="129">
        <v>1441</v>
      </c>
      <c r="AA47" s="509">
        <f t="shared" si="43"/>
        <v>0.46128139200000001</v>
      </c>
      <c r="AB47" s="129"/>
      <c r="AC47" s="129"/>
      <c r="AD47" s="129"/>
      <c r="AE47" s="509">
        <f t="shared" si="44"/>
        <v>0</v>
      </c>
      <c r="AF47" s="129"/>
      <c r="AG47" s="129"/>
      <c r="AH47" s="129"/>
      <c r="AI47" s="509">
        <f t="shared" si="45"/>
        <v>0</v>
      </c>
      <c r="AJ47" s="129"/>
      <c r="AK47" s="129"/>
      <c r="AL47" s="129"/>
      <c r="AM47" s="509">
        <f t="shared" si="46"/>
        <v>0</v>
      </c>
      <c r="AN47" s="129"/>
      <c r="AO47" s="129"/>
      <c r="AP47" s="129"/>
      <c r="AQ47" s="509">
        <f t="shared" si="47"/>
        <v>0</v>
      </c>
      <c r="AR47" s="129"/>
      <c r="AS47" s="129"/>
      <c r="AT47" s="129"/>
      <c r="AU47" s="509">
        <f t="shared" si="48"/>
        <v>0</v>
      </c>
      <c r="AV47" s="129"/>
      <c r="AW47" s="129"/>
      <c r="AX47" s="129"/>
      <c r="AY47" s="509">
        <f t="shared" si="49"/>
        <v>0</v>
      </c>
      <c r="AZ47" s="23">
        <f t="shared" si="50"/>
        <v>0</v>
      </c>
      <c r="BA47" s="23">
        <f t="shared" si="50"/>
        <v>0</v>
      </c>
      <c r="BB47" s="509">
        <f t="shared" si="51"/>
        <v>0</v>
      </c>
      <c r="BC47" s="23">
        <f t="shared" si="52"/>
        <v>0</v>
      </c>
      <c r="BD47" s="257">
        <f t="shared" si="52"/>
        <v>48</v>
      </c>
      <c r="BE47" s="257">
        <f t="shared" si="53"/>
        <v>0.46128139200000001</v>
      </c>
      <c r="BF47" s="257">
        <f t="shared" si="54"/>
        <v>0</v>
      </c>
      <c r="BG47" s="23">
        <f t="shared" si="54"/>
        <v>0</v>
      </c>
      <c r="BH47" s="257">
        <f t="shared" si="55"/>
        <v>0</v>
      </c>
      <c r="BI47" s="23">
        <f t="shared" si="56"/>
        <v>0</v>
      </c>
      <c r="BJ47" s="23">
        <f t="shared" si="56"/>
        <v>0</v>
      </c>
      <c r="BK47" s="257">
        <f t="shared" si="57"/>
        <v>0</v>
      </c>
      <c r="BL47" s="23">
        <f t="shared" si="58"/>
        <v>0</v>
      </c>
      <c r="BM47" s="23">
        <f t="shared" si="58"/>
        <v>48</v>
      </c>
      <c r="BN47" s="257">
        <f t="shared" si="58"/>
        <v>0.46128139200000001</v>
      </c>
      <c r="BO47" s="466">
        <f t="shared" si="59"/>
        <v>0</v>
      </c>
      <c r="BP47" s="472"/>
      <c r="BQ47" s="23">
        <f t="shared" si="60"/>
        <v>0</v>
      </c>
      <c r="BR47" s="23" t="e">
        <f>E47+I47+M47+Q47+U47+Y47+#REF!</f>
        <v>#REF!</v>
      </c>
      <c r="BS47" s="466">
        <f t="shared" si="33"/>
        <v>0</v>
      </c>
      <c r="BT47" s="509">
        <f t="shared" si="61"/>
        <v>0.46128139200000001</v>
      </c>
      <c r="BU47" s="466">
        <f t="shared" si="62"/>
        <v>0</v>
      </c>
    </row>
    <row r="48" spans="1:73" ht="12.6" customHeight="1">
      <c r="A48" s="506" t="s">
        <v>52</v>
      </c>
      <c r="B48" s="129">
        <f t="shared" si="36"/>
        <v>0</v>
      </c>
      <c r="C48" s="257"/>
      <c r="D48" s="129">
        <v>0</v>
      </c>
      <c r="E48" s="129"/>
      <c r="F48" s="129"/>
      <c r="G48" s="509">
        <f t="shared" si="37"/>
        <v>0</v>
      </c>
      <c r="H48" s="129"/>
      <c r="I48" s="129"/>
      <c r="J48" s="129"/>
      <c r="K48" s="509">
        <f t="shared" si="38"/>
        <v>0</v>
      </c>
      <c r="L48" s="129"/>
      <c r="M48" s="129"/>
      <c r="N48" s="129"/>
      <c r="O48" s="509">
        <f t="shared" si="39"/>
        <v>0</v>
      </c>
      <c r="P48" s="129"/>
      <c r="Q48" s="129"/>
      <c r="R48" s="129"/>
      <c r="S48" s="509">
        <f t="shared" si="40"/>
        <v>0</v>
      </c>
      <c r="T48" s="129"/>
      <c r="U48" s="129"/>
      <c r="V48" s="129">
        <f t="shared" si="41"/>
        <v>0</v>
      </c>
      <c r="W48" s="509">
        <f t="shared" si="42"/>
        <v>0</v>
      </c>
      <c r="X48" s="129"/>
      <c r="Y48" s="129"/>
      <c r="Z48" s="129"/>
      <c r="AA48" s="509">
        <f t="shared" si="43"/>
        <v>0</v>
      </c>
      <c r="AB48" s="129"/>
      <c r="AC48" s="129"/>
      <c r="AD48" s="129"/>
      <c r="AE48" s="509">
        <f t="shared" si="44"/>
        <v>0</v>
      </c>
      <c r="AF48" s="129"/>
      <c r="AG48" s="129"/>
      <c r="AH48" s="129"/>
      <c r="AI48" s="509">
        <f t="shared" si="45"/>
        <v>0</v>
      </c>
      <c r="AJ48" s="129"/>
      <c r="AK48" s="129"/>
      <c r="AL48" s="129"/>
      <c r="AM48" s="509">
        <f t="shared" si="46"/>
        <v>0</v>
      </c>
      <c r="AN48" s="129"/>
      <c r="AO48" s="129"/>
      <c r="AP48" s="129"/>
      <c r="AQ48" s="509">
        <f t="shared" si="47"/>
        <v>0</v>
      </c>
      <c r="AR48" s="129"/>
      <c r="AS48" s="129"/>
      <c r="AT48" s="129"/>
      <c r="AU48" s="509">
        <f t="shared" si="48"/>
        <v>0</v>
      </c>
      <c r="AV48" s="129"/>
      <c r="AW48" s="129"/>
      <c r="AX48" s="129"/>
      <c r="AY48" s="509">
        <f t="shared" si="49"/>
        <v>0</v>
      </c>
      <c r="AZ48" s="23">
        <f t="shared" si="50"/>
        <v>0</v>
      </c>
      <c r="BA48" s="23">
        <f t="shared" si="50"/>
        <v>0</v>
      </c>
      <c r="BB48" s="509">
        <f t="shared" si="51"/>
        <v>0</v>
      </c>
      <c r="BC48" s="23">
        <f t="shared" si="52"/>
        <v>0</v>
      </c>
      <c r="BD48" s="257">
        <f t="shared" si="52"/>
        <v>0</v>
      </c>
      <c r="BE48" s="257">
        <f t="shared" si="53"/>
        <v>0</v>
      </c>
      <c r="BF48" s="257">
        <f t="shared" si="54"/>
        <v>0</v>
      </c>
      <c r="BG48" s="23">
        <f t="shared" si="54"/>
        <v>0</v>
      </c>
      <c r="BH48" s="257">
        <f t="shared" si="55"/>
        <v>0</v>
      </c>
      <c r="BI48" s="23">
        <f t="shared" si="56"/>
        <v>0</v>
      </c>
      <c r="BJ48" s="23">
        <f t="shared" si="56"/>
        <v>0</v>
      </c>
      <c r="BK48" s="257">
        <f t="shared" si="57"/>
        <v>0</v>
      </c>
      <c r="BL48" s="23">
        <f t="shared" si="58"/>
        <v>0</v>
      </c>
      <c r="BM48" s="23">
        <f t="shared" si="58"/>
        <v>0</v>
      </c>
      <c r="BN48" s="257">
        <f t="shared" si="58"/>
        <v>0</v>
      </c>
      <c r="BO48" s="466">
        <f t="shared" si="59"/>
        <v>0</v>
      </c>
      <c r="BP48" s="472"/>
      <c r="BQ48" s="23">
        <f t="shared" si="60"/>
        <v>0</v>
      </c>
      <c r="BR48" s="23" t="e">
        <f>E48+I48+M48+Q48+U48+Y48+#REF!</f>
        <v>#REF!</v>
      </c>
      <c r="BS48" s="466">
        <f t="shared" si="33"/>
        <v>0</v>
      </c>
      <c r="BT48" s="509">
        <f t="shared" si="61"/>
        <v>0</v>
      </c>
      <c r="BU48" s="466">
        <f t="shared" si="62"/>
        <v>0</v>
      </c>
    </row>
    <row r="49" spans="1:73" ht="12.6" customHeight="1">
      <c r="A49" s="506" t="s">
        <v>42</v>
      </c>
      <c r="B49" s="129">
        <f t="shared" si="36"/>
        <v>0</v>
      </c>
      <c r="C49" s="257"/>
      <c r="D49" s="129">
        <v>0</v>
      </c>
      <c r="E49" s="129"/>
      <c r="F49" s="129"/>
      <c r="G49" s="509">
        <f t="shared" si="37"/>
        <v>0</v>
      </c>
      <c r="H49" s="129"/>
      <c r="I49" s="129"/>
      <c r="J49" s="129"/>
      <c r="K49" s="509">
        <f t="shared" si="38"/>
        <v>0</v>
      </c>
      <c r="L49" s="129"/>
      <c r="M49" s="129"/>
      <c r="N49" s="129"/>
      <c r="O49" s="509">
        <f t="shared" si="39"/>
        <v>0</v>
      </c>
      <c r="P49" s="129"/>
      <c r="Q49" s="129"/>
      <c r="R49" s="129"/>
      <c r="S49" s="509">
        <f t="shared" si="40"/>
        <v>0</v>
      </c>
      <c r="T49" s="129"/>
      <c r="U49" s="129"/>
      <c r="V49" s="129">
        <f t="shared" si="41"/>
        <v>0</v>
      </c>
      <c r="W49" s="509">
        <f t="shared" si="42"/>
        <v>0</v>
      </c>
      <c r="X49" s="129"/>
      <c r="Y49" s="129"/>
      <c r="Z49" s="129"/>
      <c r="AA49" s="509">
        <f t="shared" si="43"/>
        <v>0</v>
      </c>
      <c r="AB49" s="129"/>
      <c r="AC49" s="129"/>
      <c r="AD49" s="129"/>
      <c r="AE49" s="509">
        <f t="shared" si="44"/>
        <v>0</v>
      </c>
      <c r="AF49" s="129"/>
      <c r="AG49" s="129"/>
      <c r="AH49" s="129"/>
      <c r="AI49" s="509">
        <f t="shared" si="45"/>
        <v>0</v>
      </c>
      <c r="AJ49" s="129"/>
      <c r="AK49" s="129"/>
      <c r="AL49" s="129"/>
      <c r="AM49" s="509">
        <f t="shared" si="46"/>
        <v>0</v>
      </c>
      <c r="AN49" s="129"/>
      <c r="AO49" s="129"/>
      <c r="AP49" s="129"/>
      <c r="AQ49" s="509">
        <f t="shared" si="47"/>
        <v>0</v>
      </c>
      <c r="AR49" s="129"/>
      <c r="AS49" s="129"/>
      <c r="AT49" s="129"/>
      <c r="AU49" s="509">
        <f t="shared" si="48"/>
        <v>0</v>
      </c>
      <c r="AV49" s="129"/>
      <c r="AW49" s="129"/>
      <c r="AX49" s="129"/>
      <c r="AY49" s="509">
        <f t="shared" si="49"/>
        <v>0</v>
      </c>
      <c r="AZ49" s="23">
        <f t="shared" si="50"/>
        <v>0</v>
      </c>
      <c r="BA49" s="23">
        <f t="shared" si="50"/>
        <v>0</v>
      </c>
      <c r="BB49" s="509">
        <f t="shared" si="51"/>
        <v>0</v>
      </c>
      <c r="BC49" s="23">
        <f t="shared" si="52"/>
        <v>0</v>
      </c>
      <c r="BD49" s="257">
        <f t="shared" si="52"/>
        <v>0</v>
      </c>
      <c r="BE49" s="257">
        <f t="shared" si="53"/>
        <v>0</v>
      </c>
      <c r="BF49" s="257">
        <f t="shared" si="54"/>
        <v>0</v>
      </c>
      <c r="BG49" s="23">
        <f t="shared" si="54"/>
        <v>0</v>
      </c>
      <c r="BH49" s="257">
        <f t="shared" si="55"/>
        <v>0</v>
      </c>
      <c r="BI49" s="23">
        <f t="shared" si="56"/>
        <v>0</v>
      </c>
      <c r="BJ49" s="23">
        <f t="shared" si="56"/>
        <v>0</v>
      </c>
      <c r="BK49" s="257">
        <f t="shared" si="57"/>
        <v>0</v>
      </c>
      <c r="BL49" s="23">
        <f t="shared" si="58"/>
        <v>0</v>
      </c>
      <c r="BM49" s="23">
        <f t="shared" si="58"/>
        <v>0</v>
      </c>
      <c r="BN49" s="257">
        <f t="shared" si="58"/>
        <v>0</v>
      </c>
      <c r="BO49" s="466">
        <f t="shared" si="59"/>
        <v>0</v>
      </c>
      <c r="BP49" s="472"/>
      <c r="BQ49" s="23">
        <f t="shared" si="60"/>
        <v>0</v>
      </c>
      <c r="BR49" s="23" t="e">
        <f>E49+I49+M49+Q49+U49+Y49+#REF!</f>
        <v>#REF!</v>
      </c>
      <c r="BS49" s="466">
        <f t="shared" si="33"/>
        <v>0</v>
      </c>
      <c r="BT49" s="509">
        <f t="shared" si="61"/>
        <v>0</v>
      </c>
      <c r="BU49" s="466">
        <f t="shared" si="62"/>
        <v>0</v>
      </c>
    </row>
    <row r="50" spans="1:73" ht="12.6" customHeight="1">
      <c r="A50" s="506" t="s">
        <v>127</v>
      </c>
      <c r="B50" s="129">
        <f t="shared" si="36"/>
        <v>0</v>
      </c>
      <c r="C50" s="257"/>
      <c r="D50" s="129">
        <v>0</v>
      </c>
      <c r="E50" s="129"/>
      <c r="F50" s="129"/>
      <c r="G50" s="509">
        <f t="shared" si="37"/>
        <v>0</v>
      </c>
      <c r="H50" s="129"/>
      <c r="I50" s="129"/>
      <c r="J50" s="129"/>
      <c r="K50" s="509">
        <f t="shared" si="38"/>
        <v>0</v>
      </c>
      <c r="L50" s="129"/>
      <c r="M50" s="129"/>
      <c r="N50" s="129"/>
      <c r="O50" s="509">
        <f t="shared" si="39"/>
        <v>0</v>
      </c>
      <c r="P50" s="129"/>
      <c r="Q50" s="129"/>
      <c r="R50" s="129"/>
      <c r="S50" s="509">
        <f t="shared" si="40"/>
        <v>0</v>
      </c>
      <c r="T50" s="129"/>
      <c r="U50" s="129"/>
      <c r="V50" s="129">
        <f>(T50*U50)/10^6</f>
        <v>0</v>
      </c>
      <c r="W50" s="509">
        <f t="shared" si="42"/>
        <v>0</v>
      </c>
      <c r="X50" s="129"/>
      <c r="Y50" s="129"/>
      <c r="Z50" s="129"/>
      <c r="AA50" s="509">
        <f t="shared" si="43"/>
        <v>0</v>
      </c>
      <c r="AB50" s="129"/>
      <c r="AC50" s="129"/>
      <c r="AD50" s="129"/>
      <c r="AE50" s="509">
        <f t="shared" si="44"/>
        <v>0</v>
      </c>
      <c r="AF50" s="129"/>
      <c r="AG50" s="129"/>
      <c r="AH50" s="129"/>
      <c r="AI50" s="509">
        <f t="shared" si="45"/>
        <v>0</v>
      </c>
      <c r="AJ50" s="129"/>
      <c r="AK50" s="129"/>
      <c r="AL50" s="129"/>
      <c r="AM50" s="509">
        <f t="shared" si="46"/>
        <v>0</v>
      </c>
      <c r="AN50" s="129"/>
      <c r="AO50" s="129"/>
      <c r="AP50" s="129"/>
      <c r="AQ50" s="509">
        <f t="shared" si="47"/>
        <v>0</v>
      </c>
      <c r="AR50" s="129"/>
      <c r="AS50" s="129"/>
      <c r="AT50" s="129"/>
      <c r="AU50" s="509">
        <f t="shared" si="48"/>
        <v>0</v>
      </c>
      <c r="AV50" s="129"/>
      <c r="AW50" s="129"/>
      <c r="AX50" s="129"/>
      <c r="AY50" s="509">
        <f t="shared" si="49"/>
        <v>0</v>
      </c>
      <c r="AZ50" s="23">
        <f t="shared" si="50"/>
        <v>0</v>
      </c>
      <c r="BA50" s="23">
        <f t="shared" si="50"/>
        <v>0</v>
      </c>
      <c r="BB50" s="509">
        <f t="shared" si="51"/>
        <v>0</v>
      </c>
      <c r="BC50" s="23">
        <f t="shared" si="52"/>
        <v>0</v>
      </c>
      <c r="BD50" s="257">
        <f t="shared" si="52"/>
        <v>0</v>
      </c>
      <c r="BE50" s="257">
        <f t="shared" si="53"/>
        <v>0</v>
      </c>
      <c r="BF50" s="257">
        <f t="shared" si="54"/>
        <v>0</v>
      </c>
      <c r="BG50" s="23">
        <f t="shared" si="54"/>
        <v>0</v>
      </c>
      <c r="BH50" s="257">
        <f t="shared" si="55"/>
        <v>0</v>
      </c>
      <c r="BI50" s="23">
        <f t="shared" si="56"/>
        <v>0</v>
      </c>
      <c r="BJ50" s="23">
        <f t="shared" si="56"/>
        <v>0</v>
      </c>
      <c r="BK50" s="257">
        <f t="shared" si="57"/>
        <v>0</v>
      </c>
      <c r="BL50" s="23">
        <f t="shared" si="58"/>
        <v>0</v>
      </c>
      <c r="BM50" s="23">
        <f t="shared" si="58"/>
        <v>0</v>
      </c>
      <c r="BN50" s="257">
        <f t="shared" si="58"/>
        <v>0</v>
      </c>
      <c r="BO50" s="466">
        <f t="shared" si="59"/>
        <v>0</v>
      </c>
      <c r="BP50" s="472"/>
      <c r="BQ50" s="23">
        <f t="shared" si="60"/>
        <v>0</v>
      </c>
      <c r="BR50" s="23" t="e">
        <f>E50+I50+M50+Q50+U50+Y50+#REF!</f>
        <v>#REF!</v>
      </c>
      <c r="BS50" s="466">
        <f t="shared" si="33"/>
        <v>0</v>
      </c>
      <c r="BT50" s="509">
        <f t="shared" si="61"/>
        <v>0</v>
      </c>
      <c r="BU50" s="466">
        <f t="shared" si="62"/>
        <v>0</v>
      </c>
    </row>
    <row r="51" spans="1:73" ht="12.6" customHeight="1">
      <c r="A51" s="254" t="s">
        <v>126</v>
      </c>
      <c r="B51" s="129">
        <f t="shared" si="36"/>
        <v>0</v>
      </c>
      <c r="C51" s="257">
        <v>12.357142857142858</v>
      </c>
      <c r="D51" s="129">
        <v>0</v>
      </c>
      <c r="E51" s="129"/>
      <c r="F51" s="129"/>
      <c r="G51" s="509">
        <f t="shared" si="37"/>
        <v>0</v>
      </c>
      <c r="H51" s="129"/>
      <c r="I51" s="129"/>
      <c r="J51" s="129"/>
      <c r="K51" s="509">
        <f t="shared" si="38"/>
        <v>0</v>
      </c>
      <c r="L51" s="129"/>
      <c r="M51" s="129"/>
      <c r="N51" s="129"/>
      <c r="O51" s="509">
        <f t="shared" si="39"/>
        <v>0</v>
      </c>
      <c r="P51" s="129"/>
      <c r="Q51" s="129"/>
      <c r="R51" s="129"/>
      <c r="S51" s="509">
        <f t="shared" si="40"/>
        <v>0</v>
      </c>
      <c r="T51" s="129"/>
      <c r="U51" s="129"/>
      <c r="V51" s="129">
        <f t="shared" si="41"/>
        <v>0</v>
      </c>
      <c r="W51" s="509">
        <f t="shared" si="42"/>
        <v>0</v>
      </c>
      <c r="X51" s="129"/>
      <c r="Y51" s="129"/>
      <c r="Z51" s="129"/>
      <c r="AA51" s="509">
        <f t="shared" si="43"/>
        <v>0</v>
      </c>
      <c r="AB51" s="129"/>
      <c r="AC51" s="129"/>
      <c r="AD51" s="129"/>
      <c r="AE51" s="509">
        <f t="shared" si="44"/>
        <v>0</v>
      </c>
      <c r="AF51" s="129"/>
      <c r="AG51" s="129"/>
      <c r="AH51" s="129"/>
      <c r="AI51" s="509">
        <f t="shared" si="45"/>
        <v>0</v>
      </c>
      <c r="AJ51" s="129"/>
      <c r="AK51" s="129"/>
      <c r="AL51" s="129"/>
      <c r="AM51" s="509">
        <f t="shared" si="46"/>
        <v>0</v>
      </c>
      <c r="AN51" s="129"/>
      <c r="AO51" s="129"/>
      <c r="AP51" s="129"/>
      <c r="AQ51" s="509">
        <f t="shared" si="47"/>
        <v>0</v>
      </c>
      <c r="AR51" s="129"/>
      <c r="AS51" s="129"/>
      <c r="AT51" s="129"/>
      <c r="AU51" s="509">
        <f t="shared" si="48"/>
        <v>0</v>
      </c>
      <c r="AV51" s="129"/>
      <c r="AW51" s="129"/>
      <c r="AX51" s="129"/>
      <c r="AY51" s="509">
        <f t="shared" si="49"/>
        <v>0</v>
      </c>
      <c r="AZ51" s="23">
        <f t="shared" si="50"/>
        <v>0</v>
      </c>
      <c r="BA51" s="23">
        <f t="shared" si="50"/>
        <v>0</v>
      </c>
      <c r="BB51" s="509">
        <f t="shared" si="51"/>
        <v>0</v>
      </c>
      <c r="BC51" s="23">
        <f t="shared" si="52"/>
        <v>0</v>
      </c>
      <c r="BD51" s="257">
        <f t="shared" si="52"/>
        <v>0</v>
      </c>
      <c r="BE51" s="257">
        <f t="shared" si="53"/>
        <v>0</v>
      </c>
      <c r="BF51" s="257">
        <f t="shared" si="54"/>
        <v>0</v>
      </c>
      <c r="BG51" s="23">
        <f t="shared" si="54"/>
        <v>0</v>
      </c>
      <c r="BH51" s="257">
        <f t="shared" si="55"/>
        <v>0</v>
      </c>
      <c r="BI51" s="23">
        <f t="shared" si="56"/>
        <v>0</v>
      </c>
      <c r="BJ51" s="23">
        <f t="shared" si="56"/>
        <v>0</v>
      </c>
      <c r="BK51" s="257">
        <f t="shared" si="57"/>
        <v>0</v>
      </c>
      <c r="BL51" s="23">
        <f t="shared" si="58"/>
        <v>0</v>
      </c>
      <c r="BM51" s="23">
        <f t="shared" si="58"/>
        <v>0</v>
      </c>
      <c r="BN51" s="257">
        <f t="shared" si="58"/>
        <v>0</v>
      </c>
      <c r="BO51" s="466">
        <f t="shared" si="59"/>
        <v>0</v>
      </c>
      <c r="BP51" s="472"/>
      <c r="BQ51" s="23">
        <f t="shared" si="60"/>
        <v>0</v>
      </c>
      <c r="BR51" s="23" t="e">
        <f>E51+I51+M51+Q51+U51+Y51+#REF!</f>
        <v>#REF!</v>
      </c>
      <c r="BS51" s="466">
        <f t="shared" si="33"/>
        <v>0</v>
      </c>
      <c r="BT51" s="509">
        <f t="shared" si="61"/>
        <v>0</v>
      </c>
      <c r="BU51" s="466">
        <f t="shared" si="62"/>
        <v>0</v>
      </c>
    </row>
    <row r="52" spans="1:73" ht="12.6" customHeight="1">
      <c r="A52" s="254" t="s">
        <v>64</v>
      </c>
      <c r="B52" s="129">
        <f t="shared" si="36"/>
        <v>0</v>
      </c>
      <c r="C52" s="257"/>
      <c r="D52" s="129">
        <v>0</v>
      </c>
      <c r="E52" s="129"/>
      <c r="F52" s="129"/>
      <c r="G52" s="509">
        <f t="shared" si="37"/>
        <v>0</v>
      </c>
      <c r="H52" s="129"/>
      <c r="I52" s="129"/>
      <c r="J52" s="129"/>
      <c r="K52" s="509">
        <f t="shared" si="38"/>
        <v>0</v>
      </c>
      <c r="L52" s="129"/>
      <c r="M52" s="129"/>
      <c r="N52" s="129"/>
      <c r="O52" s="509">
        <f t="shared" si="39"/>
        <v>0</v>
      </c>
      <c r="P52" s="129"/>
      <c r="Q52" s="129"/>
      <c r="R52" s="129"/>
      <c r="S52" s="509">
        <f t="shared" si="40"/>
        <v>0</v>
      </c>
      <c r="T52" s="129"/>
      <c r="U52" s="129"/>
      <c r="V52" s="129">
        <f t="shared" si="41"/>
        <v>0</v>
      </c>
      <c r="W52" s="509">
        <f t="shared" si="42"/>
        <v>0</v>
      </c>
      <c r="X52" s="129"/>
      <c r="Y52" s="129"/>
      <c r="Z52" s="129"/>
      <c r="AA52" s="509">
        <f t="shared" si="43"/>
        <v>0</v>
      </c>
      <c r="AB52" s="129"/>
      <c r="AC52" s="129"/>
      <c r="AD52" s="129"/>
      <c r="AE52" s="509">
        <f t="shared" si="44"/>
        <v>0</v>
      </c>
      <c r="AF52" s="129"/>
      <c r="AG52" s="129"/>
      <c r="AH52" s="129"/>
      <c r="AI52" s="509">
        <f t="shared" si="45"/>
        <v>0</v>
      </c>
      <c r="AJ52" s="129"/>
      <c r="AK52" s="129"/>
      <c r="AL52" s="129"/>
      <c r="AM52" s="509">
        <f t="shared" si="46"/>
        <v>0</v>
      </c>
      <c r="AN52" s="129"/>
      <c r="AO52" s="129"/>
      <c r="AP52" s="129"/>
      <c r="AQ52" s="509">
        <f t="shared" si="47"/>
        <v>0</v>
      </c>
      <c r="AR52" s="129"/>
      <c r="AS52" s="129"/>
      <c r="AT52" s="129"/>
      <c r="AU52" s="509">
        <f t="shared" si="48"/>
        <v>0</v>
      </c>
      <c r="AV52" s="129"/>
      <c r="AW52" s="129"/>
      <c r="AX52" s="129"/>
      <c r="AY52" s="509">
        <f t="shared" si="49"/>
        <v>0</v>
      </c>
      <c r="AZ52" s="23">
        <f t="shared" si="50"/>
        <v>0</v>
      </c>
      <c r="BA52" s="23">
        <f t="shared" si="50"/>
        <v>0</v>
      </c>
      <c r="BB52" s="509">
        <f t="shared" si="51"/>
        <v>0</v>
      </c>
      <c r="BC52" s="23">
        <f t="shared" si="52"/>
        <v>0</v>
      </c>
      <c r="BD52" s="257">
        <f t="shared" si="52"/>
        <v>0</v>
      </c>
      <c r="BE52" s="257">
        <f t="shared" si="53"/>
        <v>0</v>
      </c>
      <c r="BF52" s="257">
        <f t="shared" si="54"/>
        <v>0</v>
      </c>
      <c r="BG52" s="23">
        <f t="shared" si="54"/>
        <v>0</v>
      </c>
      <c r="BH52" s="257">
        <f t="shared" si="55"/>
        <v>0</v>
      </c>
      <c r="BI52" s="23">
        <f t="shared" si="56"/>
        <v>0</v>
      </c>
      <c r="BJ52" s="23">
        <f t="shared" si="56"/>
        <v>0</v>
      </c>
      <c r="BK52" s="257">
        <f t="shared" si="57"/>
        <v>0</v>
      </c>
      <c r="BL52" s="23">
        <f t="shared" si="58"/>
        <v>0</v>
      </c>
      <c r="BM52" s="23">
        <f t="shared" si="58"/>
        <v>0</v>
      </c>
      <c r="BN52" s="257">
        <f t="shared" si="58"/>
        <v>0</v>
      </c>
      <c r="BO52" s="466">
        <f t="shared" si="59"/>
        <v>0</v>
      </c>
      <c r="BP52" s="472"/>
      <c r="BQ52" s="23">
        <f t="shared" si="60"/>
        <v>0</v>
      </c>
      <c r="BR52" s="23" t="e">
        <f>E52+I52+M52+Q52+U52+Y52+#REF!</f>
        <v>#REF!</v>
      </c>
      <c r="BS52" s="466">
        <f t="shared" si="33"/>
        <v>0</v>
      </c>
      <c r="BT52" s="509">
        <f t="shared" si="61"/>
        <v>0</v>
      </c>
      <c r="BU52" s="466">
        <f t="shared" si="62"/>
        <v>0</v>
      </c>
    </row>
    <row r="53" spans="1:73" ht="12.6" customHeight="1">
      <c r="A53" s="254" t="s">
        <v>119</v>
      </c>
      <c r="B53" s="129">
        <f t="shared" si="36"/>
        <v>100</v>
      </c>
      <c r="C53" s="257">
        <v>18.399999999999999</v>
      </c>
      <c r="D53" s="129"/>
      <c r="E53" s="129"/>
      <c r="F53" s="129"/>
      <c r="G53" s="509">
        <f t="shared" si="37"/>
        <v>0</v>
      </c>
      <c r="H53" s="129"/>
      <c r="I53" s="129"/>
      <c r="J53" s="129"/>
      <c r="K53" s="509">
        <f t="shared" si="38"/>
        <v>0</v>
      </c>
      <c r="L53" s="129">
        <v>15</v>
      </c>
      <c r="M53" s="129"/>
      <c r="N53" s="129"/>
      <c r="O53" s="509">
        <f t="shared" si="39"/>
        <v>0</v>
      </c>
      <c r="P53" s="129"/>
      <c r="Q53" s="129"/>
      <c r="R53" s="129"/>
      <c r="S53" s="509">
        <f t="shared" si="40"/>
        <v>0</v>
      </c>
      <c r="T53" s="129">
        <v>20</v>
      </c>
      <c r="U53" s="129"/>
      <c r="V53" s="129">
        <f t="shared" si="41"/>
        <v>0</v>
      </c>
      <c r="W53" s="509">
        <f t="shared" si="42"/>
        <v>0</v>
      </c>
      <c r="X53" s="129"/>
      <c r="Y53" s="129"/>
      <c r="Z53" s="129"/>
      <c r="AA53" s="509">
        <f t="shared" si="43"/>
        <v>0</v>
      </c>
      <c r="AB53" s="129">
        <v>20</v>
      </c>
      <c r="AC53" s="129"/>
      <c r="AD53" s="129"/>
      <c r="AE53" s="509">
        <f t="shared" si="44"/>
        <v>0</v>
      </c>
      <c r="AF53" s="129"/>
      <c r="AG53" s="129"/>
      <c r="AH53" s="129"/>
      <c r="AI53" s="509">
        <f t="shared" si="45"/>
        <v>0</v>
      </c>
      <c r="AJ53" s="129">
        <v>15</v>
      </c>
      <c r="AK53" s="129">
        <v>48</v>
      </c>
      <c r="AL53" s="129">
        <v>977</v>
      </c>
      <c r="AM53" s="509">
        <f t="shared" si="46"/>
        <v>0.31847073599999998</v>
      </c>
      <c r="AN53" s="129">
        <v>15</v>
      </c>
      <c r="AO53" s="129"/>
      <c r="AP53" s="129"/>
      <c r="AQ53" s="509">
        <f t="shared" si="47"/>
        <v>0</v>
      </c>
      <c r="AR53" s="129"/>
      <c r="AS53" s="129">
        <v>16</v>
      </c>
      <c r="AT53" s="129">
        <v>1258</v>
      </c>
      <c r="AU53" s="509">
        <f t="shared" si="48"/>
        <v>0.134877728</v>
      </c>
      <c r="AV53" s="129">
        <v>15</v>
      </c>
      <c r="AW53" s="129"/>
      <c r="AX53" s="129"/>
      <c r="AY53" s="509">
        <f t="shared" si="49"/>
        <v>0</v>
      </c>
      <c r="AZ53" s="23">
        <f t="shared" si="50"/>
        <v>15</v>
      </c>
      <c r="BA53" s="23">
        <f t="shared" si="50"/>
        <v>0</v>
      </c>
      <c r="BB53" s="509">
        <f t="shared" si="51"/>
        <v>0</v>
      </c>
      <c r="BC53" s="23">
        <f t="shared" si="52"/>
        <v>20</v>
      </c>
      <c r="BD53" s="257">
        <f t="shared" si="52"/>
        <v>0</v>
      </c>
      <c r="BE53" s="257">
        <f t="shared" si="53"/>
        <v>0</v>
      </c>
      <c r="BF53" s="257">
        <f t="shared" si="54"/>
        <v>35</v>
      </c>
      <c r="BG53" s="23">
        <f t="shared" si="54"/>
        <v>48</v>
      </c>
      <c r="BH53" s="257">
        <f t="shared" si="55"/>
        <v>0.31847073599999998</v>
      </c>
      <c r="BI53" s="23">
        <f t="shared" si="56"/>
        <v>30</v>
      </c>
      <c r="BJ53" s="23">
        <f t="shared" si="56"/>
        <v>16</v>
      </c>
      <c r="BK53" s="257">
        <f t="shared" si="57"/>
        <v>0.134877728</v>
      </c>
      <c r="BL53" s="23">
        <f t="shared" si="58"/>
        <v>100</v>
      </c>
      <c r="BM53" s="23">
        <f t="shared" si="58"/>
        <v>64</v>
      </c>
      <c r="BN53" s="257">
        <f t="shared" si="58"/>
        <v>0.45334846399999995</v>
      </c>
      <c r="BO53" s="466">
        <f t="shared" si="59"/>
        <v>0.64</v>
      </c>
      <c r="BP53" s="472"/>
      <c r="BQ53" s="23">
        <f t="shared" si="60"/>
        <v>55</v>
      </c>
      <c r="BR53" s="23" t="e">
        <f>E53+I53+M53+Q53+U53+Y53+#REF!</f>
        <v>#REF!</v>
      </c>
      <c r="BS53" s="466">
        <f t="shared" si="33"/>
        <v>0</v>
      </c>
      <c r="BT53" s="509">
        <f t="shared" si="61"/>
        <v>0</v>
      </c>
      <c r="BU53" s="466">
        <f t="shared" si="62"/>
        <v>0</v>
      </c>
    </row>
    <row r="54" spans="1:73" ht="12.6" customHeight="1">
      <c r="A54" s="482" t="s">
        <v>72</v>
      </c>
      <c r="B54" s="457">
        <f>SUM(B26:B53)</f>
        <v>1504</v>
      </c>
      <c r="C54" s="458"/>
      <c r="D54" s="457">
        <f>SUM(D26:D53)</f>
        <v>27</v>
      </c>
      <c r="E54" s="457">
        <f>SUM(E26:E53)</f>
        <v>41</v>
      </c>
      <c r="F54" s="457"/>
      <c r="G54" s="511">
        <f>SUM(G26:G53)</f>
        <v>0.23403564735714286</v>
      </c>
      <c r="H54" s="457">
        <f>SUM(H26:H53)</f>
        <v>124</v>
      </c>
      <c r="I54" s="457">
        <f>SUM(I26:I53)</f>
        <v>78</v>
      </c>
      <c r="J54" s="457"/>
      <c r="K54" s="511">
        <f>SUM(K26:K53)</f>
        <v>0.51024361620000003</v>
      </c>
      <c r="L54" s="457">
        <f>SUM(L26:L53)</f>
        <v>192</v>
      </c>
      <c r="M54" s="457">
        <f>SUM(M26:M53)</f>
        <v>0</v>
      </c>
      <c r="N54" s="457"/>
      <c r="O54" s="511">
        <f>SUM(O26:O53)</f>
        <v>0</v>
      </c>
      <c r="P54" s="457">
        <f>SUM(P26:P53)</f>
        <v>112</v>
      </c>
      <c r="Q54" s="457">
        <f>SUM(Q26:Q53)</f>
        <v>0</v>
      </c>
      <c r="R54" s="457"/>
      <c r="S54" s="511">
        <f>SUM(S26:S53)</f>
        <v>0</v>
      </c>
      <c r="T54" s="457">
        <f>SUM(T26:T53)</f>
        <v>182</v>
      </c>
      <c r="U54" s="457">
        <f>IF(ISERROR(V54/T54*1000000),0,(V54/T54*1000000))</f>
        <v>0</v>
      </c>
      <c r="V54" s="457">
        <f t="shared" ref="V54:AB54" si="63">SUM(V26:V53)</f>
        <v>0</v>
      </c>
      <c r="W54" s="511">
        <f t="shared" si="63"/>
        <v>0</v>
      </c>
      <c r="X54" s="457">
        <f t="shared" si="63"/>
        <v>115</v>
      </c>
      <c r="Y54" s="457">
        <f t="shared" si="63"/>
        <v>48</v>
      </c>
      <c r="Z54" s="457">
        <f t="shared" si="63"/>
        <v>1441</v>
      </c>
      <c r="AA54" s="511">
        <f t="shared" ref="AA54" si="64">SUM(AA26:AA53)</f>
        <v>0.46128139200000001</v>
      </c>
      <c r="AB54" s="457">
        <f t="shared" si="63"/>
        <v>132</v>
      </c>
      <c r="AC54" s="457">
        <f t="shared" ref="AC54:AE54" si="65">SUM(AC26:AC53)</f>
        <v>0</v>
      </c>
      <c r="AD54" s="457">
        <f t="shared" si="65"/>
        <v>0</v>
      </c>
      <c r="AE54" s="511">
        <f t="shared" si="65"/>
        <v>0</v>
      </c>
      <c r="AF54" s="457">
        <f>SUM(AF26:AF53)</f>
        <v>112</v>
      </c>
      <c r="AG54" s="457">
        <f t="shared" ref="AG54:AI54" si="66">SUM(AG26:AG53)</f>
        <v>50</v>
      </c>
      <c r="AH54" s="457">
        <f t="shared" si="66"/>
        <v>6065</v>
      </c>
      <c r="AI54" s="511">
        <f t="shared" si="66"/>
        <v>0.45309686799999999</v>
      </c>
      <c r="AJ54" s="457">
        <f>SUM(AJ26:AJ53)</f>
        <v>142</v>
      </c>
      <c r="AK54" s="457">
        <f t="shared" ref="AK54:AM54" si="67">SUM(AK26:AK53)</f>
        <v>177</v>
      </c>
      <c r="AL54" s="457">
        <f t="shared" si="67"/>
        <v>7407</v>
      </c>
      <c r="AM54" s="511">
        <f t="shared" si="67"/>
        <v>3.2623692360000001</v>
      </c>
      <c r="AN54" s="457">
        <f>SUM(AN26:AN53)</f>
        <v>127</v>
      </c>
      <c r="AO54" s="457">
        <f t="shared" ref="AO54:AQ54" si="68">SUM(AO26:AO53)</f>
        <v>79</v>
      </c>
      <c r="AP54" s="457">
        <f t="shared" si="68"/>
        <v>5442</v>
      </c>
      <c r="AQ54" s="511">
        <f t="shared" si="68"/>
        <v>1.85422464</v>
      </c>
      <c r="AR54" s="457">
        <f>SUM(AR26:AR53)</f>
        <v>124</v>
      </c>
      <c r="AS54" s="457">
        <f t="shared" ref="AS54:AU54" si="69">SUM(AS26:AS53)</f>
        <v>35</v>
      </c>
      <c r="AT54" s="457">
        <f t="shared" si="69"/>
        <v>6236</v>
      </c>
      <c r="AU54" s="511">
        <f t="shared" si="69"/>
        <v>0.76867171000000001</v>
      </c>
      <c r="AV54" s="457">
        <f>SUM(AV26:AV53)</f>
        <v>115</v>
      </c>
      <c r="AW54" s="457">
        <f t="shared" ref="AW54:BN54" si="70">SUM(AW26:AW53)</f>
        <v>0</v>
      </c>
      <c r="AX54" s="457">
        <f t="shared" si="70"/>
        <v>0</v>
      </c>
      <c r="AY54" s="511">
        <f t="shared" si="70"/>
        <v>0</v>
      </c>
      <c r="AZ54" s="457">
        <f t="shared" si="70"/>
        <v>343</v>
      </c>
      <c r="BA54" s="457">
        <f t="shared" si="70"/>
        <v>119</v>
      </c>
      <c r="BB54" s="457">
        <f t="shared" si="70"/>
        <v>0.7442792635571428</v>
      </c>
      <c r="BC54" s="457">
        <f t="shared" si="70"/>
        <v>409</v>
      </c>
      <c r="BD54" s="457">
        <f t="shared" si="70"/>
        <v>48</v>
      </c>
      <c r="BE54" s="457">
        <f t="shared" si="70"/>
        <v>0.46128139200000001</v>
      </c>
      <c r="BF54" s="457">
        <f t="shared" si="70"/>
        <v>386</v>
      </c>
      <c r="BG54" s="457">
        <f t="shared" si="70"/>
        <v>227</v>
      </c>
      <c r="BH54" s="457">
        <f t="shared" si="70"/>
        <v>3.7154661039999999</v>
      </c>
      <c r="BI54" s="457">
        <f t="shared" si="70"/>
        <v>366</v>
      </c>
      <c r="BJ54" s="457">
        <f t="shared" si="70"/>
        <v>114</v>
      </c>
      <c r="BK54" s="457">
        <f t="shared" si="70"/>
        <v>2.62289635</v>
      </c>
      <c r="BL54" s="457">
        <f t="shared" si="70"/>
        <v>1504</v>
      </c>
      <c r="BM54" s="457">
        <f t="shared" si="70"/>
        <v>508</v>
      </c>
      <c r="BN54" s="457">
        <f t="shared" si="70"/>
        <v>7.5439231095571433</v>
      </c>
      <c r="BO54" s="525">
        <f>IFERROR(BM54/BL54,0)</f>
        <v>0.33776595744680848</v>
      </c>
      <c r="BP54" s="472"/>
      <c r="BQ54" s="457">
        <f t="shared" ref="BQ54:BR54" si="71">SUM(BQ26:BQ53)</f>
        <v>884</v>
      </c>
      <c r="BR54" s="457" t="e">
        <f t="shared" si="71"/>
        <v>#REF!</v>
      </c>
      <c r="BS54" s="525">
        <f t="shared" si="33"/>
        <v>0</v>
      </c>
      <c r="BT54" s="511">
        <f t="shared" ref="BT54" si="72">SUM(BT26:BT53)</f>
        <v>1.2055606555571428</v>
      </c>
      <c r="BU54" s="525">
        <f t="shared" si="62"/>
        <v>0</v>
      </c>
    </row>
    <row r="55" spans="1:73" ht="12.6" customHeight="1">
      <c r="A55" s="254"/>
      <c r="B55" s="254"/>
      <c r="C55" s="461"/>
      <c r="D55" s="254"/>
      <c r="E55" s="254"/>
      <c r="F55" s="254"/>
      <c r="G55" s="513"/>
      <c r="H55" s="254"/>
      <c r="I55" s="254"/>
      <c r="J55" s="254"/>
      <c r="K55" s="513"/>
      <c r="L55" s="254"/>
      <c r="M55" s="254"/>
      <c r="N55" s="254"/>
      <c r="O55" s="513"/>
      <c r="P55" s="254"/>
      <c r="Q55" s="254"/>
      <c r="R55" s="254"/>
      <c r="S55" s="513"/>
      <c r="T55" s="254"/>
      <c r="U55" s="254"/>
      <c r="V55" s="254"/>
      <c r="W55" s="513"/>
      <c r="X55" s="254"/>
      <c r="Y55" s="254"/>
      <c r="Z55" s="254"/>
      <c r="AA55" s="513"/>
      <c r="AB55" s="254"/>
      <c r="AC55" s="254"/>
      <c r="AD55" s="254"/>
      <c r="AE55" s="513"/>
      <c r="AF55" s="254"/>
      <c r="AG55" s="254"/>
      <c r="AH55" s="254"/>
      <c r="AI55" s="513"/>
      <c r="AJ55" s="254"/>
      <c r="AK55" s="254"/>
      <c r="AL55" s="254"/>
      <c r="AM55" s="513"/>
      <c r="AN55" s="254"/>
      <c r="AO55" s="254"/>
      <c r="AP55" s="254"/>
      <c r="AQ55" s="513"/>
      <c r="AR55" s="254"/>
      <c r="AS55" s="254"/>
      <c r="AT55" s="254"/>
      <c r="AU55" s="513"/>
      <c r="AV55" s="254"/>
      <c r="AW55" s="254"/>
      <c r="AX55" s="254"/>
      <c r="AY55" s="513"/>
      <c r="AZ55" s="254"/>
      <c r="BA55" s="461"/>
      <c r="BB55" s="513"/>
      <c r="BC55" s="254"/>
      <c r="BD55" s="461"/>
      <c r="BE55" s="461"/>
      <c r="BF55" s="461"/>
      <c r="BG55" s="254"/>
      <c r="BH55" s="461"/>
      <c r="BI55" s="254"/>
      <c r="BJ55" s="254"/>
      <c r="BK55" s="461"/>
      <c r="BL55" s="254"/>
      <c r="BM55" s="254"/>
      <c r="BN55" s="461"/>
      <c r="BO55" s="469">
        <f t="shared" si="35"/>
        <v>0</v>
      </c>
      <c r="BP55" s="472"/>
      <c r="BQ55" s="254"/>
      <c r="BR55" s="495"/>
      <c r="BS55" s="469">
        <f t="shared" si="33"/>
        <v>0</v>
      </c>
      <c r="BT55" s="529"/>
      <c r="BU55" s="469">
        <f t="shared" si="62"/>
        <v>0</v>
      </c>
    </row>
    <row r="56" spans="1:73" ht="12.6" customHeight="1">
      <c r="A56" s="254" t="s">
        <v>56</v>
      </c>
      <c r="B56" s="129">
        <f>D56+H56+L56+P56+T56+X56+AB56+AF56+AJ56+AN56+AR56+AV56</f>
        <v>0</v>
      </c>
      <c r="C56" s="23">
        <v>36</v>
      </c>
      <c r="D56" s="129"/>
      <c r="E56" s="129"/>
      <c r="F56" s="129"/>
      <c r="G56" s="509">
        <f t="shared" ref="G56:G60" si="73">E56*(F56-C56)*66.47/10^7</f>
        <v>0</v>
      </c>
      <c r="H56" s="129"/>
      <c r="I56" s="129"/>
      <c r="J56" s="129"/>
      <c r="K56" s="509">
        <f>I56*(J56-C56)*66.91/10^7</f>
        <v>0</v>
      </c>
      <c r="L56" s="129"/>
      <c r="M56" s="129"/>
      <c r="N56" s="129"/>
      <c r="O56" s="509">
        <f>M56*(N56-C56)*67.28/10^7</f>
        <v>0</v>
      </c>
      <c r="P56" s="129"/>
      <c r="Q56" s="129"/>
      <c r="R56" s="129"/>
      <c r="S56" s="509">
        <f t="shared" ref="S56:S60" si="74">Q56*(R56-C56)*67.2/10^7</f>
        <v>0</v>
      </c>
      <c r="T56" s="129"/>
      <c r="U56" s="129"/>
      <c r="V56" s="129">
        <f>(T56*U56)/10^6</f>
        <v>0</v>
      </c>
      <c r="W56" s="509">
        <f t="shared" ref="W56:W60" si="75">U56*(V56-C56)*66.93/10^7</f>
        <v>0</v>
      </c>
      <c r="X56" s="129"/>
      <c r="Y56" s="129"/>
      <c r="Z56" s="129"/>
      <c r="AA56" s="509">
        <f t="shared" ref="AA56:AA60" si="76">Y56*(Z56-C56)*66.69/10^7</f>
        <v>0</v>
      </c>
      <c r="AB56" s="129"/>
      <c r="AC56" s="129"/>
      <c r="AD56" s="129"/>
      <c r="AE56" s="509">
        <f>AC56*(AD56-G56)*66.73/10^7</f>
        <v>0</v>
      </c>
      <c r="AF56" s="129"/>
      <c r="AG56" s="129"/>
      <c r="AH56" s="129"/>
      <c r="AI56" s="509">
        <f>AG56*(AH56-K56)*67.58/10^7</f>
        <v>0</v>
      </c>
      <c r="AJ56" s="129"/>
      <c r="AK56" s="129"/>
      <c r="AL56" s="129"/>
      <c r="AM56" s="509">
        <f>AK56*(AL56-O56)*67.91/10^7</f>
        <v>0</v>
      </c>
      <c r="AN56" s="129"/>
      <c r="AO56" s="129"/>
      <c r="AP56" s="129"/>
      <c r="AQ56" s="509">
        <f>AO56*(AP56-S56)*68.01/10^7</f>
        <v>0</v>
      </c>
      <c r="AR56" s="129"/>
      <c r="AS56" s="129"/>
      <c r="AT56" s="129"/>
      <c r="AU56" s="509">
        <f>AS56*(AT56-W56)*67.01/10^7</f>
        <v>0</v>
      </c>
      <c r="AV56" s="129"/>
      <c r="AW56" s="129"/>
      <c r="AX56" s="129"/>
      <c r="AY56" s="509">
        <f t="shared" ref="AY56:AY60" si="77">AW56*(AX56-AA56)*66.69/10^7</f>
        <v>0</v>
      </c>
      <c r="AZ56" s="23">
        <f t="shared" ref="AZ56:BA60" si="78">+D56+H56+L56</f>
        <v>0</v>
      </c>
      <c r="BA56" s="23">
        <f t="shared" si="78"/>
        <v>0</v>
      </c>
      <c r="BB56" s="509">
        <f t="shared" ref="BB56:BB60" si="79">+G56+K56+O56</f>
        <v>0</v>
      </c>
      <c r="BC56" s="23">
        <f t="shared" ref="BC56:BD60" si="80">+P56+T56+X56</f>
        <v>0</v>
      </c>
      <c r="BD56" s="257">
        <f t="shared" si="80"/>
        <v>0</v>
      </c>
      <c r="BE56" s="257">
        <f t="shared" ref="BE56:BE60" si="81">S56+W56+AA56</f>
        <v>0</v>
      </c>
      <c r="BF56" s="257">
        <f t="shared" ref="BF56:BG60" si="82">AB56+AF56+AJ56</f>
        <v>0</v>
      </c>
      <c r="BG56" s="23">
        <f t="shared" si="82"/>
        <v>0</v>
      </c>
      <c r="BH56" s="257">
        <f t="shared" ref="BH56:BH60" si="83">AE56+AI56+AM56</f>
        <v>0</v>
      </c>
      <c r="BI56" s="23">
        <f t="shared" ref="BI56:BJ60" si="84">+AN56+AR56+AV56</f>
        <v>0</v>
      </c>
      <c r="BJ56" s="23">
        <f t="shared" si="84"/>
        <v>0</v>
      </c>
      <c r="BK56" s="257">
        <f t="shared" ref="BK56:BK60" si="85">AQ56+AU56+AY56</f>
        <v>0</v>
      </c>
      <c r="BL56" s="23">
        <f t="shared" ref="BL56:BN60" si="86">AZ56+BC56+BF56+BI56</f>
        <v>0</v>
      </c>
      <c r="BM56" s="23">
        <f t="shared" si="86"/>
        <v>0</v>
      </c>
      <c r="BN56" s="257">
        <f t="shared" si="86"/>
        <v>0</v>
      </c>
      <c r="BO56" s="466">
        <f t="shared" ref="BO56:BO60" si="87">IFERROR(BM56/BL56,0)</f>
        <v>0</v>
      </c>
      <c r="BP56" s="472"/>
      <c r="BQ56" s="23">
        <f>D56+H56+L56+P56+T56+X56+AB56</f>
        <v>0</v>
      </c>
      <c r="BR56" s="23" t="e">
        <f>E56+I56+M56+Q56+U56+Y56+#REF!</f>
        <v>#REF!</v>
      </c>
      <c r="BS56" s="466">
        <f t="shared" si="33"/>
        <v>0</v>
      </c>
      <c r="BT56" s="509">
        <f>G56+K56+O56+S56+W56+AA56</f>
        <v>0</v>
      </c>
      <c r="BU56" s="466">
        <f t="shared" si="62"/>
        <v>0</v>
      </c>
    </row>
    <row r="57" spans="1:73" ht="12.6" customHeight="1">
      <c r="A57" s="254" t="s">
        <v>57</v>
      </c>
      <c r="B57" s="129">
        <f>D57+H57+L57+P57+T57+X57+AB57+AF57+AJ57+AN57+AR57+AV57</f>
        <v>0</v>
      </c>
      <c r="C57" s="23">
        <v>36</v>
      </c>
      <c r="D57" s="129"/>
      <c r="E57" s="129"/>
      <c r="F57" s="129"/>
      <c r="G57" s="509">
        <f t="shared" si="73"/>
        <v>0</v>
      </c>
      <c r="H57" s="129"/>
      <c r="I57" s="129"/>
      <c r="J57" s="129"/>
      <c r="K57" s="509">
        <f>I57*(J57-C57)*66.91/10^7</f>
        <v>0</v>
      </c>
      <c r="L57" s="129"/>
      <c r="M57" s="129"/>
      <c r="N57" s="129"/>
      <c r="O57" s="509">
        <f>M57*(N57-C57)*67.28/10^7</f>
        <v>0</v>
      </c>
      <c r="P57" s="129"/>
      <c r="Q57" s="129"/>
      <c r="R57" s="129"/>
      <c r="S57" s="509">
        <f t="shared" si="74"/>
        <v>0</v>
      </c>
      <c r="T57" s="129"/>
      <c r="U57" s="129"/>
      <c r="V57" s="129">
        <f>(T57*U57)/10^6</f>
        <v>0</v>
      </c>
      <c r="W57" s="509">
        <f t="shared" si="75"/>
        <v>0</v>
      </c>
      <c r="X57" s="129"/>
      <c r="Y57" s="129"/>
      <c r="Z57" s="129"/>
      <c r="AA57" s="509">
        <f t="shared" si="76"/>
        <v>0</v>
      </c>
      <c r="AB57" s="129"/>
      <c r="AC57" s="129"/>
      <c r="AD57" s="129"/>
      <c r="AE57" s="509">
        <f>AC57*(AD57-G57)*66.73/10^7</f>
        <v>0</v>
      </c>
      <c r="AF57" s="129"/>
      <c r="AG57" s="129"/>
      <c r="AH57" s="129"/>
      <c r="AI57" s="509">
        <f>AG57*(AH57-K57)*67.58/10^7</f>
        <v>0</v>
      </c>
      <c r="AJ57" s="129"/>
      <c r="AK57" s="129"/>
      <c r="AL57" s="129"/>
      <c r="AM57" s="509">
        <f>AK57*(AL57-O57)*67.91/10^7</f>
        <v>0</v>
      </c>
      <c r="AN57" s="129"/>
      <c r="AO57" s="129"/>
      <c r="AP57" s="129"/>
      <c r="AQ57" s="509">
        <f>AO57*(AP57-S57)*68.01/10^7</f>
        <v>0</v>
      </c>
      <c r="AR57" s="129"/>
      <c r="AS57" s="129"/>
      <c r="AT57" s="129"/>
      <c r="AU57" s="509">
        <f>AS57*(AT57-W57)*67.01/10^7</f>
        <v>0</v>
      </c>
      <c r="AV57" s="129"/>
      <c r="AW57" s="129"/>
      <c r="AX57" s="129"/>
      <c r="AY57" s="509">
        <f t="shared" si="77"/>
        <v>0</v>
      </c>
      <c r="AZ57" s="23">
        <f t="shared" si="78"/>
        <v>0</v>
      </c>
      <c r="BA57" s="23">
        <f t="shared" si="78"/>
        <v>0</v>
      </c>
      <c r="BB57" s="509">
        <f t="shared" si="79"/>
        <v>0</v>
      </c>
      <c r="BC57" s="23">
        <f t="shared" si="80"/>
        <v>0</v>
      </c>
      <c r="BD57" s="257">
        <f t="shared" si="80"/>
        <v>0</v>
      </c>
      <c r="BE57" s="257">
        <f t="shared" si="81"/>
        <v>0</v>
      </c>
      <c r="BF57" s="257">
        <f t="shared" si="82"/>
        <v>0</v>
      </c>
      <c r="BG57" s="23">
        <f t="shared" si="82"/>
        <v>0</v>
      </c>
      <c r="BH57" s="257">
        <f t="shared" si="83"/>
        <v>0</v>
      </c>
      <c r="BI57" s="23">
        <f t="shared" si="84"/>
        <v>0</v>
      </c>
      <c r="BJ57" s="23">
        <f t="shared" si="84"/>
        <v>0</v>
      </c>
      <c r="BK57" s="257">
        <f t="shared" si="85"/>
        <v>0</v>
      </c>
      <c r="BL57" s="23">
        <f t="shared" si="86"/>
        <v>0</v>
      </c>
      <c r="BM57" s="23">
        <f t="shared" si="86"/>
        <v>0</v>
      </c>
      <c r="BN57" s="257">
        <f t="shared" si="86"/>
        <v>0</v>
      </c>
      <c r="BO57" s="466">
        <f t="shared" si="87"/>
        <v>0</v>
      </c>
      <c r="BP57" s="472"/>
      <c r="BQ57" s="23">
        <f>D57+H57+L57+P57+T57+X57+AB57</f>
        <v>0</v>
      </c>
      <c r="BR57" s="23" t="e">
        <f>E57+I57+M57+Q57+U57+Y57+#REF!</f>
        <v>#REF!</v>
      </c>
      <c r="BS57" s="466">
        <f t="shared" si="33"/>
        <v>0</v>
      </c>
      <c r="BT57" s="509">
        <f>G57+K57+O57+S57+W57+AA57</f>
        <v>0</v>
      </c>
      <c r="BU57" s="466">
        <f t="shared" si="62"/>
        <v>0</v>
      </c>
    </row>
    <row r="58" spans="1:73" ht="12.6" customHeight="1">
      <c r="A58" s="254" t="s">
        <v>58</v>
      </c>
      <c r="B58" s="129">
        <f>D58+H58+L58+P58+T58+X58+AB58+AF58+AJ58+AN58+AR58+AV58</f>
        <v>0</v>
      </c>
      <c r="C58" s="257"/>
      <c r="D58" s="129"/>
      <c r="E58" s="129"/>
      <c r="F58" s="129"/>
      <c r="G58" s="509">
        <f t="shared" si="73"/>
        <v>0</v>
      </c>
      <c r="H58" s="129"/>
      <c r="I58" s="129"/>
      <c r="J58" s="129"/>
      <c r="K58" s="509">
        <f>I58*(J58-C58)*66.91/10^7</f>
        <v>0</v>
      </c>
      <c r="L58" s="129"/>
      <c r="M58" s="129"/>
      <c r="N58" s="129"/>
      <c r="O58" s="509">
        <f>M58*(N58-C58)*67.28/10^7</f>
        <v>0</v>
      </c>
      <c r="P58" s="129"/>
      <c r="Q58" s="129"/>
      <c r="R58" s="129"/>
      <c r="S58" s="509">
        <f t="shared" si="74"/>
        <v>0</v>
      </c>
      <c r="T58" s="129"/>
      <c r="U58" s="129"/>
      <c r="V58" s="129">
        <f>(T58*U58)/10^6</f>
        <v>0</v>
      </c>
      <c r="W58" s="509">
        <f t="shared" si="75"/>
        <v>0</v>
      </c>
      <c r="X58" s="129"/>
      <c r="Y58" s="129">
        <v>2</v>
      </c>
      <c r="Z58" s="129">
        <v>645</v>
      </c>
      <c r="AA58" s="509">
        <f t="shared" si="76"/>
        <v>8.6030099999999995E-3</v>
      </c>
      <c r="AB58" s="129"/>
      <c r="AC58" s="129"/>
      <c r="AD58" s="129"/>
      <c r="AE58" s="509">
        <f>AC58*(AD58-G58)*66.73/10^7</f>
        <v>0</v>
      </c>
      <c r="AF58" s="129"/>
      <c r="AG58" s="129"/>
      <c r="AH58" s="129"/>
      <c r="AI58" s="509">
        <f>AG58*(AH58-K58)*67.58/10^7</f>
        <v>0</v>
      </c>
      <c r="AJ58" s="129"/>
      <c r="AK58" s="129">
        <v>19</v>
      </c>
      <c r="AL58" s="129">
        <v>736</v>
      </c>
      <c r="AM58" s="509">
        <f>AK58*(AL58-O58)*67.91/10^7</f>
        <v>9.4965343999999993E-2</v>
      </c>
      <c r="AN58" s="129"/>
      <c r="AO58" s="129"/>
      <c r="AP58" s="129"/>
      <c r="AQ58" s="509">
        <f>AO58*(AP58-S58)*68.01/10^7</f>
        <v>0</v>
      </c>
      <c r="AR58" s="129"/>
      <c r="AS58" s="129"/>
      <c r="AT58" s="129"/>
      <c r="AU58" s="509">
        <f>AS58*(AT58-W58)*67.01/10^7</f>
        <v>0</v>
      </c>
      <c r="AV58" s="129"/>
      <c r="AW58" s="129"/>
      <c r="AX58" s="129"/>
      <c r="AY58" s="509">
        <f t="shared" si="77"/>
        <v>0</v>
      </c>
      <c r="AZ58" s="23">
        <f t="shared" si="78"/>
        <v>0</v>
      </c>
      <c r="BA58" s="23">
        <f t="shared" si="78"/>
        <v>0</v>
      </c>
      <c r="BB58" s="509">
        <f t="shared" si="79"/>
        <v>0</v>
      </c>
      <c r="BC58" s="23">
        <f t="shared" si="80"/>
        <v>0</v>
      </c>
      <c r="BD58" s="257">
        <f t="shared" si="80"/>
        <v>2</v>
      </c>
      <c r="BE58" s="257">
        <f t="shared" si="81"/>
        <v>8.6030099999999995E-3</v>
      </c>
      <c r="BF58" s="257">
        <f t="shared" si="82"/>
        <v>0</v>
      </c>
      <c r="BG58" s="23">
        <f t="shared" si="82"/>
        <v>19</v>
      </c>
      <c r="BH58" s="257">
        <f t="shared" si="83"/>
        <v>9.4965343999999993E-2</v>
      </c>
      <c r="BI58" s="23">
        <f t="shared" si="84"/>
        <v>0</v>
      </c>
      <c r="BJ58" s="23">
        <f t="shared" si="84"/>
        <v>0</v>
      </c>
      <c r="BK58" s="257">
        <f t="shared" si="85"/>
        <v>0</v>
      </c>
      <c r="BL58" s="23">
        <f t="shared" si="86"/>
        <v>0</v>
      </c>
      <c r="BM58" s="23">
        <f t="shared" si="86"/>
        <v>21</v>
      </c>
      <c r="BN58" s="257">
        <f t="shared" si="86"/>
        <v>0.10356835399999999</v>
      </c>
      <c r="BO58" s="466">
        <f t="shared" si="87"/>
        <v>0</v>
      </c>
      <c r="BP58" s="472"/>
      <c r="BQ58" s="23">
        <f>D58+H58+L58+P58+T58+X58+AB58</f>
        <v>0</v>
      </c>
      <c r="BR58" s="23" t="e">
        <f>E58+I58+M58+Q58+U58+Y58+#REF!</f>
        <v>#REF!</v>
      </c>
      <c r="BS58" s="466">
        <f t="shared" si="33"/>
        <v>0</v>
      </c>
      <c r="BT58" s="509">
        <f>G58+K58+O58+S58+W58+AA58</f>
        <v>8.6030099999999995E-3</v>
      </c>
      <c r="BU58" s="466">
        <f t="shared" si="62"/>
        <v>0</v>
      </c>
    </row>
    <row r="59" spans="1:73" ht="12.6" customHeight="1">
      <c r="A59" s="254" t="s">
        <v>103</v>
      </c>
      <c r="B59" s="129">
        <f>D59+H59+L59+P59+T59+X59+AB59+AF59+AJ59+AN59+AR59+AV59</f>
        <v>0</v>
      </c>
      <c r="C59" s="257"/>
      <c r="D59" s="129"/>
      <c r="E59" s="129"/>
      <c r="F59" s="129"/>
      <c r="G59" s="509">
        <f t="shared" si="73"/>
        <v>0</v>
      </c>
      <c r="H59" s="129"/>
      <c r="I59" s="129"/>
      <c r="J59" s="129"/>
      <c r="K59" s="509">
        <f>I59*(J59-C59)*66.91/10^7</f>
        <v>0</v>
      </c>
      <c r="L59" s="129"/>
      <c r="M59" s="129"/>
      <c r="N59" s="129"/>
      <c r="O59" s="509">
        <f>M59*(N59-C59)*67.28/10^7</f>
        <v>0</v>
      </c>
      <c r="P59" s="129"/>
      <c r="Q59" s="129"/>
      <c r="R59" s="129"/>
      <c r="S59" s="509">
        <f t="shared" si="74"/>
        <v>0</v>
      </c>
      <c r="T59" s="129"/>
      <c r="U59" s="129"/>
      <c r="V59" s="129">
        <f>(T59*U59)/10^6</f>
        <v>0</v>
      </c>
      <c r="W59" s="509">
        <f t="shared" si="75"/>
        <v>0</v>
      </c>
      <c r="X59" s="129"/>
      <c r="Y59" s="129"/>
      <c r="Z59" s="129"/>
      <c r="AA59" s="509">
        <f t="shared" si="76"/>
        <v>0</v>
      </c>
      <c r="AB59" s="129"/>
      <c r="AC59" s="129"/>
      <c r="AD59" s="129"/>
      <c r="AE59" s="509">
        <f>AC59*(AD59-G59)*66.73/10^7</f>
        <v>0</v>
      </c>
      <c r="AF59" s="129"/>
      <c r="AG59" s="129"/>
      <c r="AH59" s="129"/>
      <c r="AI59" s="509">
        <f>AG59*(AH59-K59)*67.58/10^7</f>
        <v>0</v>
      </c>
      <c r="AJ59" s="129"/>
      <c r="AK59" s="129"/>
      <c r="AL59" s="129"/>
      <c r="AM59" s="509">
        <f>AK59*(AL59-O59)*67.91/10^7</f>
        <v>0</v>
      </c>
      <c r="AN59" s="129"/>
      <c r="AO59" s="129"/>
      <c r="AP59" s="129"/>
      <c r="AQ59" s="509">
        <f>AO59*(AP59-S59)*68.01/10^7</f>
        <v>0</v>
      </c>
      <c r="AR59" s="129"/>
      <c r="AS59" s="129"/>
      <c r="AT59" s="129"/>
      <c r="AU59" s="509">
        <f>AS59*(AT59-W59)*67.01/10^7</f>
        <v>0</v>
      </c>
      <c r="AV59" s="129"/>
      <c r="AW59" s="129"/>
      <c r="AX59" s="129"/>
      <c r="AY59" s="509">
        <f t="shared" si="77"/>
        <v>0</v>
      </c>
      <c r="AZ59" s="23">
        <f t="shared" si="78"/>
        <v>0</v>
      </c>
      <c r="BA59" s="23">
        <f t="shared" si="78"/>
        <v>0</v>
      </c>
      <c r="BB59" s="509">
        <f t="shared" si="79"/>
        <v>0</v>
      </c>
      <c r="BC59" s="23">
        <f t="shared" si="80"/>
        <v>0</v>
      </c>
      <c r="BD59" s="257">
        <f t="shared" si="80"/>
        <v>0</v>
      </c>
      <c r="BE59" s="257">
        <f t="shared" si="81"/>
        <v>0</v>
      </c>
      <c r="BF59" s="257">
        <f t="shared" si="82"/>
        <v>0</v>
      </c>
      <c r="BG59" s="23">
        <f t="shared" si="82"/>
        <v>0</v>
      </c>
      <c r="BH59" s="257">
        <f t="shared" si="83"/>
        <v>0</v>
      </c>
      <c r="BI59" s="23">
        <f t="shared" si="84"/>
        <v>0</v>
      </c>
      <c r="BJ59" s="23">
        <f t="shared" si="84"/>
        <v>0</v>
      </c>
      <c r="BK59" s="257">
        <f t="shared" si="85"/>
        <v>0</v>
      </c>
      <c r="BL59" s="23">
        <f t="shared" si="86"/>
        <v>0</v>
      </c>
      <c r="BM59" s="23">
        <f t="shared" si="86"/>
        <v>0</v>
      </c>
      <c r="BN59" s="257">
        <f t="shared" si="86"/>
        <v>0</v>
      </c>
      <c r="BO59" s="466">
        <f t="shared" si="87"/>
        <v>0</v>
      </c>
      <c r="BP59" s="472"/>
      <c r="BQ59" s="23">
        <f>D59+H59+L59+P59+T59+X59+AB59</f>
        <v>0</v>
      </c>
      <c r="BR59" s="23" t="e">
        <f>E59+I59+M59+Q59+U59+Y59+#REF!</f>
        <v>#REF!</v>
      </c>
      <c r="BS59" s="466">
        <f t="shared" si="33"/>
        <v>0</v>
      </c>
      <c r="BT59" s="509">
        <f>G59+K59+O59+S59+W59+AA59</f>
        <v>0</v>
      </c>
      <c r="BU59" s="466">
        <f t="shared" si="62"/>
        <v>0</v>
      </c>
    </row>
    <row r="60" spans="1:73" ht="12.6" customHeight="1">
      <c r="A60" s="254" t="s">
        <v>59</v>
      </c>
      <c r="B60" s="129">
        <f>D60+H60+L60+P60+T60+X60+AB60+AF60+AJ60+AN60+AR60+AV60</f>
        <v>0</v>
      </c>
      <c r="C60" s="257"/>
      <c r="D60" s="129"/>
      <c r="E60" s="129"/>
      <c r="F60" s="129"/>
      <c r="G60" s="509">
        <f t="shared" si="73"/>
        <v>0</v>
      </c>
      <c r="H60" s="129"/>
      <c r="I60" s="129"/>
      <c r="J60" s="129"/>
      <c r="K60" s="509">
        <f>I60*(J60-C60)*66.91/10^7</f>
        <v>0</v>
      </c>
      <c r="L60" s="129"/>
      <c r="M60" s="129"/>
      <c r="N60" s="129"/>
      <c r="O60" s="509">
        <f>M60*(N60-C60)*67.28/10^7</f>
        <v>0</v>
      </c>
      <c r="P60" s="129"/>
      <c r="Q60" s="129"/>
      <c r="R60" s="129"/>
      <c r="S60" s="509">
        <f t="shared" si="74"/>
        <v>0</v>
      </c>
      <c r="T60" s="129"/>
      <c r="U60" s="129"/>
      <c r="V60" s="129">
        <f>(T60*U60)/10^6</f>
        <v>0</v>
      </c>
      <c r="W60" s="509">
        <f t="shared" si="75"/>
        <v>0</v>
      </c>
      <c r="X60" s="129"/>
      <c r="Y60" s="129"/>
      <c r="Z60" s="129"/>
      <c r="AA60" s="509">
        <f t="shared" si="76"/>
        <v>0</v>
      </c>
      <c r="AB60" s="129"/>
      <c r="AC60" s="129"/>
      <c r="AD60" s="129"/>
      <c r="AE60" s="509">
        <f>AC60*(AD60-G60)*66.73/10^7</f>
        <v>0</v>
      </c>
      <c r="AF60" s="129"/>
      <c r="AG60" s="129"/>
      <c r="AH60" s="129"/>
      <c r="AI60" s="509">
        <f>AG60*(AH60-K60)*67.58/10^7</f>
        <v>0</v>
      </c>
      <c r="AJ60" s="129"/>
      <c r="AK60" s="129"/>
      <c r="AL60" s="129"/>
      <c r="AM60" s="509">
        <f>AK60*(AL60-O60)*67.91/10^7</f>
        <v>0</v>
      </c>
      <c r="AN60" s="129"/>
      <c r="AO60" s="129"/>
      <c r="AP60" s="129"/>
      <c r="AQ60" s="509">
        <f>AO60*(AP60-S60)*68.01/10^7</f>
        <v>0</v>
      </c>
      <c r="AR60" s="129"/>
      <c r="AS60" s="129"/>
      <c r="AT60" s="129"/>
      <c r="AU60" s="509">
        <f>AS60*(AT60-W60)*67.01/10^7</f>
        <v>0</v>
      </c>
      <c r="AV60" s="129"/>
      <c r="AW60" s="129"/>
      <c r="AX60" s="129"/>
      <c r="AY60" s="509">
        <f t="shared" si="77"/>
        <v>0</v>
      </c>
      <c r="AZ60" s="23">
        <f t="shared" si="78"/>
        <v>0</v>
      </c>
      <c r="BA60" s="23">
        <f t="shared" si="78"/>
        <v>0</v>
      </c>
      <c r="BB60" s="509">
        <f t="shared" si="79"/>
        <v>0</v>
      </c>
      <c r="BC60" s="23">
        <f t="shared" si="80"/>
        <v>0</v>
      </c>
      <c r="BD60" s="257">
        <f t="shared" si="80"/>
        <v>0</v>
      </c>
      <c r="BE60" s="257">
        <f t="shared" si="81"/>
        <v>0</v>
      </c>
      <c r="BF60" s="257">
        <f t="shared" si="82"/>
        <v>0</v>
      </c>
      <c r="BG60" s="23">
        <f t="shared" si="82"/>
        <v>0</v>
      </c>
      <c r="BH60" s="257">
        <f t="shared" si="83"/>
        <v>0</v>
      </c>
      <c r="BI60" s="23">
        <f t="shared" si="84"/>
        <v>0</v>
      </c>
      <c r="BJ60" s="23">
        <f t="shared" si="84"/>
        <v>0</v>
      </c>
      <c r="BK60" s="257">
        <f t="shared" si="85"/>
        <v>0</v>
      </c>
      <c r="BL60" s="23">
        <f t="shared" si="86"/>
        <v>0</v>
      </c>
      <c r="BM60" s="23">
        <f t="shared" si="86"/>
        <v>0</v>
      </c>
      <c r="BN60" s="257">
        <f t="shared" si="86"/>
        <v>0</v>
      </c>
      <c r="BO60" s="466">
        <f t="shared" si="87"/>
        <v>0</v>
      </c>
      <c r="BP60" s="472"/>
      <c r="BQ60" s="23">
        <f>D60+H60+L60+P60+T60+X60+AB60</f>
        <v>0</v>
      </c>
      <c r="BR60" s="23" t="e">
        <f>E60+I60+M60+Q60+U60+Y60+#REF!</f>
        <v>#REF!</v>
      </c>
      <c r="BS60" s="466">
        <f t="shared" si="33"/>
        <v>0</v>
      </c>
      <c r="BT60" s="509">
        <f>G60+K60+O60+S60+W60+AA60</f>
        <v>0</v>
      </c>
      <c r="BU60" s="466">
        <f t="shared" si="62"/>
        <v>0</v>
      </c>
    </row>
    <row r="61" spans="1:73" ht="12.6" customHeight="1">
      <c r="A61" s="482" t="s">
        <v>0</v>
      </c>
      <c r="B61" s="457">
        <f>SUM(B56:B60)</f>
        <v>0</v>
      </c>
      <c r="C61" s="458"/>
      <c r="D61" s="457">
        <f>SUM(D56:D60)</f>
        <v>0</v>
      </c>
      <c r="E61" s="457"/>
      <c r="F61" s="457"/>
      <c r="G61" s="511"/>
      <c r="H61" s="457">
        <f>SUM(H56:H60)</f>
        <v>0</v>
      </c>
      <c r="I61" s="457"/>
      <c r="J61" s="457"/>
      <c r="K61" s="511"/>
      <c r="L61" s="457">
        <f>SUM(L56:L60)</f>
        <v>0</v>
      </c>
      <c r="M61" s="457">
        <f>SUM(M56:M60)</f>
        <v>0</v>
      </c>
      <c r="N61" s="457"/>
      <c r="O61" s="511"/>
      <c r="P61" s="457">
        <f>SUM(P56:P60)</f>
        <v>0</v>
      </c>
      <c r="Q61" s="457">
        <f>SUM(Q56:Q60)</f>
        <v>0</v>
      </c>
      <c r="R61" s="457"/>
      <c r="S61" s="511"/>
      <c r="T61" s="457">
        <f>SUM(T56:T60)</f>
        <v>0</v>
      </c>
      <c r="U61" s="457">
        <f>IF(ISERROR(V61/T61*1000000),0,(V61/T61*1000000))</f>
        <v>0</v>
      </c>
      <c r="V61" s="457">
        <f t="shared" ref="V61:AB61" si="88">SUM(V56:V60)</f>
        <v>0</v>
      </c>
      <c r="W61" s="511">
        <f t="shared" si="88"/>
        <v>0</v>
      </c>
      <c r="X61" s="457">
        <f t="shared" si="88"/>
        <v>0</v>
      </c>
      <c r="Y61" s="457">
        <f t="shared" si="88"/>
        <v>2</v>
      </c>
      <c r="Z61" s="457">
        <f t="shared" si="88"/>
        <v>645</v>
      </c>
      <c r="AA61" s="511">
        <f t="shared" ref="AA61" si="89">SUM(AA56:AA60)</f>
        <v>8.6030099999999995E-3</v>
      </c>
      <c r="AB61" s="457">
        <f t="shared" si="88"/>
        <v>0</v>
      </c>
      <c r="AC61" s="457">
        <f t="shared" ref="AC61:AE61" si="90">SUM(AC56:AC60)</f>
        <v>0</v>
      </c>
      <c r="AD61" s="457">
        <f t="shared" si="90"/>
        <v>0</v>
      </c>
      <c r="AE61" s="511">
        <f t="shared" si="90"/>
        <v>0</v>
      </c>
      <c r="AF61" s="457">
        <f>SUM(AF56:AF60)</f>
        <v>0</v>
      </c>
      <c r="AG61" s="457">
        <f t="shared" ref="AG61:AI61" si="91">SUM(AG56:AG60)</f>
        <v>0</v>
      </c>
      <c r="AH61" s="457">
        <f t="shared" si="91"/>
        <v>0</v>
      </c>
      <c r="AI61" s="511">
        <f t="shared" si="91"/>
        <v>0</v>
      </c>
      <c r="AJ61" s="457">
        <f>SUM(AJ56:AJ60)</f>
        <v>0</v>
      </c>
      <c r="AK61" s="457">
        <f t="shared" ref="AK61:AM61" si="92">SUM(AK56:AK60)</f>
        <v>19</v>
      </c>
      <c r="AL61" s="457">
        <f t="shared" si="92"/>
        <v>736</v>
      </c>
      <c r="AM61" s="511">
        <f t="shared" si="92"/>
        <v>9.4965343999999993E-2</v>
      </c>
      <c r="AN61" s="457">
        <f>SUM(AN56:AN60)</f>
        <v>0</v>
      </c>
      <c r="AO61" s="457">
        <f t="shared" ref="AO61:AQ61" si="93">SUM(AO56:AO60)</f>
        <v>0</v>
      </c>
      <c r="AP61" s="457">
        <f t="shared" si="93"/>
        <v>0</v>
      </c>
      <c r="AQ61" s="511">
        <f t="shared" si="93"/>
        <v>0</v>
      </c>
      <c r="AR61" s="457">
        <f>SUM(AR56:AR60)</f>
        <v>0</v>
      </c>
      <c r="AS61" s="457">
        <f t="shared" ref="AS61:AU61" si="94">SUM(AS56:AS60)</f>
        <v>0</v>
      </c>
      <c r="AT61" s="457">
        <f t="shared" si="94"/>
        <v>0</v>
      </c>
      <c r="AU61" s="511">
        <f t="shared" si="94"/>
        <v>0</v>
      </c>
      <c r="AV61" s="457">
        <f>SUM(AV56:AV60)</f>
        <v>0</v>
      </c>
      <c r="AW61" s="457">
        <f t="shared" ref="AW61:AY61" si="95">SUM(AW56:AW60)</f>
        <v>0</v>
      </c>
      <c r="AX61" s="457">
        <f t="shared" si="95"/>
        <v>0</v>
      </c>
      <c r="AY61" s="511">
        <f t="shared" si="95"/>
        <v>0</v>
      </c>
      <c r="AZ61" s="457">
        <f t="shared" ref="AZ61:BN61" si="96">SUM(AZ56:AZ60)</f>
        <v>0</v>
      </c>
      <c r="BA61" s="457">
        <f t="shared" si="96"/>
        <v>0</v>
      </c>
      <c r="BB61" s="457">
        <f t="shared" si="96"/>
        <v>0</v>
      </c>
      <c r="BC61" s="457">
        <f t="shared" si="96"/>
        <v>0</v>
      </c>
      <c r="BD61" s="457">
        <f t="shared" si="96"/>
        <v>2</v>
      </c>
      <c r="BE61" s="457">
        <f t="shared" si="96"/>
        <v>8.6030099999999995E-3</v>
      </c>
      <c r="BF61" s="457">
        <f t="shared" si="96"/>
        <v>0</v>
      </c>
      <c r="BG61" s="457">
        <f t="shared" si="96"/>
        <v>19</v>
      </c>
      <c r="BH61" s="457">
        <f t="shared" si="96"/>
        <v>9.4965343999999993E-2</v>
      </c>
      <c r="BI61" s="457">
        <f t="shared" si="96"/>
        <v>0</v>
      </c>
      <c r="BJ61" s="457">
        <f t="shared" si="96"/>
        <v>0</v>
      </c>
      <c r="BK61" s="457">
        <f t="shared" si="96"/>
        <v>0</v>
      </c>
      <c r="BL61" s="457">
        <f t="shared" si="96"/>
        <v>0</v>
      </c>
      <c r="BM61" s="457">
        <f t="shared" si="96"/>
        <v>21</v>
      </c>
      <c r="BN61" s="457">
        <f t="shared" si="96"/>
        <v>0.10356835399999999</v>
      </c>
      <c r="BO61" s="525">
        <f>IFERROR(BM61/BL61,0)</f>
        <v>0</v>
      </c>
      <c r="BP61" s="472"/>
      <c r="BQ61" s="457">
        <f t="shared" ref="BQ61:BR61" si="97">SUM(BQ56:BQ60)</f>
        <v>0</v>
      </c>
      <c r="BR61" s="457" t="e">
        <f t="shared" si="97"/>
        <v>#REF!</v>
      </c>
      <c r="BS61" s="525">
        <f t="shared" si="33"/>
        <v>0</v>
      </c>
      <c r="BT61" s="511">
        <f t="shared" ref="BT61" si="98">SUM(BT56:BT60)</f>
        <v>8.6030099999999995E-3</v>
      </c>
      <c r="BU61" s="525">
        <f t="shared" si="62"/>
        <v>0</v>
      </c>
    </row>
    <row r="62" spans="1:73" ht="12.6" customHeight="1">
      <c r="A62" s="254"/>
      <c r="B62" s="254"/>
      <c r="C62" s="461"/>
      <c r="D62" s="254"/>
      <c r="E62" s="254"/>
      <c r="F62" s="254"/>
      <c r="G62" s="513"/>
      <c r="H62" s="254"/>
      <c r="I62" s="254"/>
      <c r="J62" s="254"/>
      <c r="K62" s="513"/>
      <c r="L62" s="254"/>
      <c r="M62" s="254"/>
      <c r="N62" s="254"/>
      <c r="O62" s="513"/>
      <c r="P62" s="254"/>
      <c r="Q62" s="254"/>
      <c r="R62" s="254"/>
      <c r="S62" s="513"/>
      <c r="T62" s="254"/>
      <c r="U62" s="254"/>
      <c r="V62" s="254"/>
      <c r="W62" s="513"/>
      <c r="X62" s="254"/>
      <c r="Y62" s="254"/>
      <c r="Z62" s="254"/>
      <c r="AA62" s="513"/>
      <c r="AB62" s="254"/>
      <c r="AC62" s="254"/>
      <c r="AD62" s="254"/>
      <c r="AE62" s="513"/>
      <c r="AF62" s="254"/>
      <c r="AG62" s="254"/>
      <c r="AH62" s="254"/>
      <c r="AI62" s="513"/>
      <c r="AJ62" s="254"/>
      <c r="AK62" s="254"/>
      <c r="AL62" s="254"/>
      <c r="AM62" s="513"/>
      <c r="AN62" s="254"/>
      <c r="AO62" s="254"/>
      <c r="AP62" s="254"/>
      <c r="AQ62" s="513"/>
      <c r="AR62" s="254"/>
      <c r="AS62" s="254"/>
      <c r="AT62" s="254"/>
      <c r="AU62" s="513"/>
      <c r="AV62" s="254"/>
      <c r="AW62" s="254"/>
      <c r="AX62" s="254"/>
      <c r="AY62" s="513"/>
      <c r="AZ62" s="462"/>
      <c r="BA62" s="463"/>
      <c r="BB62" s="513"/>
      <c r="BC62" s="462"/>
      <c r="BD62" s="463"/>
      <c r="BE62" s="463"/>
      <c r="BF62" s="463"/>
      <c r="BG62" s="462"/>
      <c r="BH62" s="463"/>
      <c r="BI62" s="462"/>
      <c r="BJ62" s="462"/>
      <c r="BK62" s="463"/>
      <c r="BL62" s="462"/>
      <c r="BM62" s="462"/>
      <c r="BN62" s="463"/>
      <c r="BO62" s="469">
        <f t="shared" si="35"/>
        <v>0</v>
      </c>
      <c r="BP62" s="472"/>
      <c r="BQ62" s="462"/>
      <c r="BR62" s="462"/>
      <c r="BS62" s="469">
        <f t="shared" si="33"/>
        <v>0</v>
      </c>
      <c r="BT62" s="529"/>
      <c r="BU62" s="469">
        <f t="shared" si="62"/>
        <v>0</v>
      </c>
    </row>
    <row r="63" spans="1:73" ht="12.6" customHeight="1">
      <c r="A63" s="254" t="s">
        <v>60</v>
      </c>
      <c r="B63" s="129">
        <f>D63+H63+L63+P63+T63+X63+AB63+AF63+AJ63+AN63+AR63+AV63</f>
        <v>0</v>
      </c>
      <c r="C63" s="257">
        <v>0</v>
      </c>
      <c r="D63" s="129"/>
      <c r="E63" s="129"/>
      <c r="F63" s="129"/>
      <c r="G63" s="509">
        <f t="shared" ref="G63:G64" si="99">E63*(F63-C63)*66.47/10^7</f>
        <v>0</v>
      </c>
      <c r="H63" s="129"/>
      <c r="I63" s="129"/>
      <c r="J63" s="129"/>
      <c r="K63" s="509">
        <f>I63*(J63-C63)*66.91/10^7</f>
        <v>0</v>
      </c>
      <c r="L63" s="129"/>
      <c r="M63" s="129"/>
      <c r="N63" s="129"/>
      <c r="O63" s="509"/>
      <c r="P63" s="129"/>
      <c r="Q63" s="129"/>
      <c r="R63" s="129"/>
      <c r="S63" s="509"/>
      <c r="T63" s="129"/>
      <c r="U63" s="129"/>
      <c r="V63" s="129">
        <f>(T63*U63)/10^6</f>
        <v>0</v>
      </c>
      <c r="W63" s="509">
        <f t="shared" ref="W63:W64" si="100">U63*(V63-C63)*66.93/10^7</f>
        <v>0</v>
      </c>
      <c r="X63" s="129"/>
      <c r="Y63" s="129"/>
      <c r="Z63" s="129"/>
      <c r="AA63" s="509">
        <f t="shared" ref="AA63:AA64" si="101">Y63*(Z63-C63)*66.69/10^7</f>
        <v>0</v>
      </c>
      <c r="AB63" s="129"/>
      <c r="AC63" s="129"/>
      <c r="AD63" s="129"/>
      <c r="AE63" s="509">
        <f>AC63*(AD63-G63)*66.73/10^7</f>
        <v>0</v>
      </c>
      <c r="AF63" s="129"/>
      <c r="AG63" s="129"/>
      <c r="AH63" s="129"/>
      <c r="AI63" s="509">
        <f>AG63*(AH63-K63)*67.58/10^7</f>
        <v>0</v>
      </c>
      <c r="AJ63" s="129"/>
      <c r="AK63" s="129"/>
      <c r="AL63" s="129"/>
      <c r="AM63" s="509">
        <f>AK63*(AL63-O63)*67.91/10^7</f>
        <v>0</v>
      </c>
      <c r="AN63" s="129"/>
      <c r="AO63" s="129"/>
      <c r="AP63" s="129"/>
      <c r="AQ63" s="509">
        <f>AO63*(AP63-S63)*68.01/10^7</f>
        <v>0</v>
      </c>
      <c r="AR63" s="129"/>
      <c r="AS63" s="129"/>
      <c r="AT63" s="129"/>
      <c r="AU63" s="509">
        <f>AS63*(AT63-W63)*67.01/10^7</f>
        <v>0</v>
      </c>
      <c r="AV63" s="129"/>
      <c r="AW63" s="129"/>
      <c r="AX63" s="129"/>
      <c r="AY63" s="509">
        <f t="shared" ref="AY63:AY64" si="102">AW63*(AX63-AA63)*66.69/10^7</f>
        <v>0</v>
      </c>
      <c r="AZ63" s="23">
        <f t="shared" ref="AZ63:BA64" si="103">+D63+H63+L63</f>
        <v>0</v>
      </c>
      <c r="BA63" s="23">
        <f t="shared" si="103"/>
        <v>0</v>
      </c>
      <c r="BB63" s="509">
        <f t="shared" ref="BB63:BB64" si="104">+G63+K63+O63</f>
        <v>0</v>
      </c>
      <c r="BC63" s="23">
        <f t="shared" ref="BC63:BD64" si="105">+P63+T63+X63</f>
        <v>0</v>
      </c>
      <c r="BD63" s="257">
        <f t="shared" si="105"/>
        <v>0</v>
      </c>
      <c r="BE63" s="257">
        <f t="shared" ref="BE63:BE64" si="106">S63+W63+AA63</f>
        <v>0</v>
      </c>
      <c r="BF63" s="257">
        <f t="shared" ref="BF63:BG64" si="107">AB63+AF63+AJ63</f>
        <v>0</v>
      </c>
      <c r="BG63" s="23">
        <f t="shared" si="107"/>
        <v>0</v>
      </c>
      <c r="BH63" s="257">
        <f t="shared" ref="BH63:BH64" si="108">AE63+AI63+AM63</f>
        <v>0</v>
      </c>
      <c r="BI63" s="23">
        <f t="shared" ref="BI63:BJ64" si="109">+AN63+AR63+AV63</f>
        <v>0</v>
      </c>
      <c r="BJ63" s="23">
        <f t="shared" si="109"/>
        <v>0</v>
      </c>
      <c r="BK63" s="257">
        <f t="shared" ref="BK63:BK64" si="110">AQ63+AU63+AY63</f>
        <v>0</v>
      </c>
      <c r="BL63" s="23">
        <f t="shared" ref="BL63:BN64" si="111">AZ63+BC63+BF63+BI63</f>
        <v>0</v>
      </c>
      <c r="BM63" s="23">
        <f t="shared" si="111"/>
        <v>0</v>
      </c>
      <c r="BN63" s="257">
        <f t="shared" si="111"/>
        <v>0</v>
      </c>
      <c r="BO63" s="466">
        <f t="shared" ref="BO63:BO64" si="112">IFERROR(BM63/BL63,0)</f>
        <v>0</v>
      </c>
      <c r="BP63" s="472"/>
      <c r="BQ63" s="23">
        <f>D63+H63+L63+P63+T63+X63+AB63</f>
        <v>0</v>
      </c>
      <c r="BR63" s="23" t="e">
        <f>E63+I63+M63+Q63+U63+Y63+#REF!</f>
        <v>#REF!</v>
      </c>
      <c r="BS63" s="466">
        <f t="shared" si="33"/>
        <v>0</v>
      </c>
      <c r="BT63" s="509">
        <f>G63+K63+O63+S63+W63+AA63</f>
        <v>0</v>
      </c>
      <c r="BU63" s="466">
        <f t="shared" si="62"/>
        <v>0</v>
      </c>
    </row>
    <row r="64" spans="1:73" ht="12.6" customHeight="1">
      <c r="A64" s="254" t="s">
        <v>61</v>
      </c>
      <c r="B64" s="129">
        <f>D64+H64+L64+P64+T64+X64+AB64+AF64+AJ64+AN64+AR64+AV64</f>
        <v>0</v>
      </c>
      <c r="C64" s="257">
        <v>0</v>
      </c>
      <c r="D64" s="129"/>
      <c r="E64" s="129"/>
      <c r="F64" s="129"/>
      <c r="G64" s="509">
        <f t="shared" si="99"/>
        <v>0</v>
      </c>
      <c r="H64" s="129"/>
      <c r="I64" s="129"/>
      <c r="J64" s="129"/>
      <c r="K64" s="509">
        <f>I64*(J64-C64)*66.91/10^7</f>
        <v>0</v>
      </c>
      <c r="L64" s="129"/>
      <c r="M64" s="129"/>
      <c r="N64" s="129"/>
      <c r="O64" s="509"/>
      <c r="P64" s="129"/>
      <c r="Q64" s="129"/>
      <c r="R64" s="129"/>
      <c r="S64" s="509"/>
      <c r="T64" s="129"/>
      <c r="U64" s="129"/>
      <c r="V64" s="129">
        <f>(T64*U64)/10^6</f>
        <v>0</v>
      </c>
      <c r="W64" s="509">
        <f t="shared" si="100"/>
        <v>0</v>
      </c>
      <c r="X64" s="129"/>
      <c r="Y64" s="129"/>
      <c r="Z64" s="129"/>
      <c r="AA64" s="509">
        <f t="shared" si="101"/>
        <v>0</v>
      </c>
      <c r="AB64" s="129"/>
      <c r="AC64" s="129"/>
      <c r="AD64" s="129"/>
      <c r="AE64" s="509">
        <f>AC64*(AD64-G64)*66.73/10^7</f>
        <v>0</v>
      </c>
      <c r="AF64" s="129"/>
      <c r="AG64" s="129"/>
      <c r="AH64" s="129"/>
      <c r="AI64" s="509">
        <f>AG64*(AH64-K64)*67.58/10^7</f>
        <v>0</v>
      </c>
      <c r="AJ64" s="129"/>
      <c r="AK64" s="129"/>
      <c r="AL64" s="129"/>
      <c r="AM64" s="509">
        <f>AK64*(AL64-O64)*67.91/10^7</f>
        <v>0</v>
      </c>
      <c r="AN64" s="129"/>
      <c r="AO64" s="129"/>
      <c r="AP64" s="129"/>
      <c r="AQ64" s="509">
        <f>AO64*(AP64-S64)*68.01/10^7</f>
        <v>0</v>
      </c>
      <c r="AR64" s="129"/>
      <c r="AS64" s="129"/>
      <c r="AT64" s="129"/>
      <c r="AU64" s="509">
        <f>AS64*(AT64-W64)*67.01/10^7</f>
        <v>0</v>
      </c>
      <c r="AV64" s="129"/>
      <c r="AW64" s="129"/>
      <c r="AX64" s="129"/>
      <c r="AY64" s="509">
        <f t="shared" si="102"/>
        <v>0</v>
      </c>
      <c r="AZ64" s="23">
        <f t="shared" si="103"/>
        <v>0</v>
      </c>
      <c r="BA64" s="23">
        <f t="shared" si="103"/>
        <v>0</v>
      </c>
      <c r="BB64" s="509">
        <f t="shared" si="104"/>
        <v>0</v>
      </c>
      <c r="BC64" s="23">
        <f t="shared" si="105"/>
        <v>0</v>
      </c>
      <c r="BD64" s="257">
        <f t="shared" si="105"/>
        <v>0</v>
      </c>
      <c r="BE64" s="257">
        <f t="shared" si="106"/>
        <v>0</v>
      </c>
      <c r="BF64" s="257">
        <f t="shared" si="107"/>
        <v>0</v>
      </c>
      <c r="BG64" s="23">
        <f t="shared" si="107"/>
        <v>0</v>
      </c>
      <c r="BH64" s="257">
        <f t="shared" si="108"/>
        <v>0</v>
      </c>
      <c r="BI64" s="23">
        <f t="shared" si="109"/>
        <v>0</v>
      </c>
      <c r="BJ64" s="23">
        <f t="shared" si="109"/>
        <v>0</v>
      </c>
      <c r="BK64" s="257">
        <f t="shared" si="110"/>
        <v>0</v>
      </c>
      <c r="BL64" s="23">
        <f t="shared" si="111"/>
        <v>0</v>
      </c>
      <c r="BM64" s="23">
        <f t="shared" si="111"/>
        <v>0</v>
      </c>
      <c r="BN64" s="257">
        <f t="shared" si="111"/>
        <v>0</v>
      </c>
      <c r="BO64" s="466">
        <f t="shared" si="112"/>
        <v>0</v>
      </c>
      <c r="BP64" s="472"/>
      <c r="BQ64" s="23">
        <f>D64+H64+L64+P64+T64+X64+AB64</f>
        <v>0</v>
      </c>
      <c r="BR64" s="23" t="e">
        <f>E64+I64+M64+Q64+U64+Y64+#REF!</f>
        <v>#REF!</v>
      </c>
      <c r="BS64" s="466">
        <f t="shared" si="33"/>
        <v>0</v>
      </c>
      <c r="BT64" s="509">
        <f>G64+K64+O64+S64+W64+AA64</f>
        <v>0</v>
      </c>
      <c r="BU64" s="466">
        <f t="shared" si="62"/>
        <v>0</v>
      </c>
    </row>
    <row r="65" spans="1:73" ht="12.6" customHeight="1">
      <c r="A65" s="482" t="s">
        <v>104</v>
      </c>
      <c r="B65" s="457">
        <f>SUM(B63:B64)</f>
        <v>0</v>
      </c>
      <c r="C65" s="458"/>
      <c r="D65" s="457">
        <f>SUM(D63:D64)</f>
        <v>0</v>
      </c>
      <c r="E65" s="457"/>
      <c r="F65" s="457"/>
      <c r="G65" s="511">
        <f>SUM(G63:G64)</f>
        <v>0</v>
      </c>
      <c r="H65" s="457">
        <f>SUM(H63:H64)</f>
        <v>0</v>
      </c>
      <c r="I65" s="457">
        <f>SUM(I63:I64)</f>
        <v>0</v>
      </c>
      <c r="J65" s="457"/>
      <c r="K65" s="511">
        <f>SUM(K63:K64)</f>
        <v>0</v>
      </c>
      <c r="L65" s="457">
        <f>SUM(L63:L64)</f>
        <v>0</v>
      </c>
      <c r="M65" s="457">
        <f>SUM(M63:M64)</f>
        <v>0</v>
      </c>
      <c r="N65" s="457"/>
      <c r="O65" s="511">
        <f>SUM(O63:O64)</f>
        <v>0</v>
      </c>
      <c r="P65" s="457">
        <f>SUM(P63:P64)</f>
        <v>0</v>
      </c>
      <c r="Q65" s="457">
        <f>SUM(Q63:Q64)</f>
        <v>0</v>
      </c>
      <c r="R65" s="457"/>
      <c r="S65" s="511">
        <f>SUM(S63:S64)</f>
        <v>0</v>
      </c>
      <c r="T65" s="457">
        <f>SUM(T63:T64)</f>
        <v>0</v>
      </c>
      <c r="U65" s="457">
        <f>IF(ISERROR(V65/T65*1000000),0,(V65/T65*1000000))</f>
        <v>0</v>
      </c>
      <c r="V65" s="457">
        <f>SUM(V63:V64)</f>
        <v>0</v>
      </c>
      <c r="W65" s="511">
        <f>SUM(W63:W64)</f>
        <v>0</v>
      </c>
      <c r="X65" s="457">
        <f>SUM(X63:X64)</f>
        <v>0</v>
      </c>
      <c r="Y65" s="457">
        <f>IF(ISERROR(Z65/X65*1000000),0,(Z65/X65*1000000))</f>
        <v>0</v>
      </c>
      <c r="Z65" s="457">
        <f>SUM(Z63:Z64)</f>
        <v>0</v>
      </c>
      <c r="AA65" s="511">
        <f>SUM(AA63:AA64)</f>
        <v>0</v>
      </c>
      <c r="AB65" s="457">
        <f>SUM(AB63:AB64)</f>
        <v>0</v>
      </c>
      <c r="AC65" s="457">
        <f>IF(ISERROR(AD65/AB65*1000000),0,(AD65/AB65*1000000))</f>
        <v>0</v>
      </c>
      <c r="AD65" s="457">
        <f>SUM(AD63:AD64)</f>
        <v>0</v>
      </c>
      <c r="AE65" s="511">
        <f>SUM(AE63:AE64)</f>
        <v>0</v>
      </c>
      <c r="AF65" s="457">
        <f>SUM(AF63:AF64)</f>
        <v>0</v>
      </c>
      <c r="AG65" s="457">
        <f>IF(ISERROR(AH65/AF65*1000000),0,(AH65/AF65*1000000))</f>
        <v>0</v>
      </c>
      <c r="AH65" s="457">
        <f>SUM(AH63:AH64)</f>
        <v>0</v>
      </c>
      <c r="AI65" s="511">
        <f>SUM(AI63:AI64)</f>
        <v>0</v>
      </c>
      <c r="AJ65" s="457">
        <f>SUM(AJ63:AJ64)</f>
        <v>0</v>
      </c>
      <c r="AK65" s="457">
        <f>IF(ISERROR(AL65/AJ65*1000000),0,(AL65/AJ65*1000000))</f>
        <v>0</v>
      </c>
      <c r="AL65" s="457">
        <f>SUM(AL63:AL64)</f>
        <v>0</v>
      </c>
      <c r="AM65" s="511">
        <f>SUM(AM63:AM64)</f>
        <v>0</v>
      </c>
      <c r="AN65" s="457">
        <f>SUM(AN63:AN64)</f>
        <v>0</v>
      </c>
      <c r="AO65" s="457">
        <f>IF(ISERROR(AP65/AN65*1000000),0,(AP65/AN65*1000000))</f>
        <v>0</v>
      </c>
      <c r="AP65" s="457">
        <f>SUM(AP63:AP64)</f>
        <v>0</v>
      </c>
      <c r="AQ65" s="511">
        <f>SUM(AQ63:AQ64)</f>
        <v>0</v>
      </c>
      <c r="AR65" s="457">
        <f>SUM(AR63:AR64)</f>
        <v>0</v>
      </c>
      <c r="AS65" s="457">
        <f>IF(ISERROR(AT65/AR65*1000000),0,(AT65/AR65*1000000))</f>
        <v>0</v>
      </c>
      <c r="AT65" s="457">
        <f>SUM(AT63:AT64)</f>
        <v>0</v>
      </c>
      <c r="AU65" s="511">
        <f>SUM(AU63:AU64)</f>
        <v>0</v>
      </c>
      <c r="AV65" s="457">
        <f>SUM(AV63:AV64)</f>
        <v>0</v>
      </c>
      <c r="AW65" s="457">
        <f>IF(ISERROR(AX65/AV65*1000000),0,(AX65/AV65*1000000))</f>
        <v>0</v>
      </c>
      <c r="AX65" s="457">
        <f>SUM(AX63:AX64)</f>
        <v>0</v>
      </c>
      <c r="AY65" s="511">
        <f>SUM(AY63:AY64)</f>
        <v>0</v>
      </c>
      <c r="AZ65" s="457">
        <f t="shared" ref="AZ65:BN65" si="113">SUM(AZ63:AZ64)</f>
        <v>0</v>
      </c>
      <c r="BA65" s="458">
        <f t="shared" si="113"/>
        <v>0</v>
      </c>
      <c r="BB65" s="511">
        <f t="shared" si="113"/>
        <v>0</v>
      </c>
      <c r="BC65" s="457">
        <f t="shared" si="113"/>
        <v>0</v>
      </c>
      <c r="BD65" s="458">
        <f t="shared" si="113"/>
        <v>0</v>
      </c>
      <c r="BE65" s="458">
        <f t="shared" si="113"/>
        <v>0</v>
      </c>
      <c r="BF65" s="458">
        <f t="shared" si="113"/>
        <v>0</v>
      </c>
      <c r="BG65" s="458">
        <f t="shared" si="113"/>
        <v>0</v>
      </c>
      <c r="BH65" s="458">
        <f t="shared" si="113"/>
        <v>0</v>
      </c>
      <c r="BI65" s="458">
        <f t="shared" si="113"/>
        <v>0</v>
      </c>
      <c r="BJ65" s="458">
        <f t="shared" si="113"/>
        <v>0</v>
      </c>
      <c r="BK65" s="458">
        <f t="shared" si="113"/>
        <v>0</v>
      </c>
      <c r="BL65" s="458">
        <f t="shared" si="113"/>
        <v>0</v>
      </c>
      <c r="BM65" s="458">
        <f t="shared" si="113"/>
        <v>0</v>
      </c>
      <c r="BN65" s="458">
        <f t="shared" si="113"/>
        <v>0</v>
      </c>
      <c r="BO65" s="525">
        <f>IFERROR(BM65/BL65,0)</f>
        <v>0</v>
      </c>
      <c r="BP65" s="472"/>
      <c r="BQ65" s="457">
        <f t="shared" ref="BQ65:BR65" si="114">SUM(BQ63:BQ64)</f>
        <v>0</v>
      </c>
      <c r="BR65" s="457" t="e">
        <f t="shared" si="114"/>
        <v>#REF!</v>
      </c>
      <c r="BS65" s="525">
        <f t="shared" si="33"/>
        <v>0</v>
      </c>
      <c r="BT65" s="530">
        <f t="shared" ref="BT65" si="115">SUM(BT63:BT64)</f>
        <v>0</v>
      </c>
      <c r="BU65" s="525">
        <f t="shared" si="62"/>
        <v>0</v>
      </c>
    </row>
    <row r="66" spans="1:73" ht="12.6" customHeight="1">
      <c r="A66" s="254"/>
      <c r="B66" s="254"/>
      <c r="C66" s="461"/>
      <c r="D66" s="254"/>
      <c r="E66" s="254"/>
      <c r="F66" s="254"/>
      <c r="G66" s="513"/>
      <c r="H66" s="254"/>
      <c r="I66" s="254"/>
      <c r="J66" s="254"/>
      <c r="K66" s="513"/>
      <c r="L66" s="254"/>
      <c r="M66" s="254"/>
      <c r="N66" s="254"/>
      <c r="O66" s="513"/>
      <c r="P66" s="254"/>
      <c r="Q66" s="254"/>
      <c r="R66" s="254"/>
      <c r="S66" s="513"/>
      <c r="T66" s="254"/>
      <c r="U66" s="254"/>
      <c r="V66" s="254"/>
      <c r="W66" s="513"/>
      <c r="X66" s="254"/>
      <c r="Y66" s="254"/>
      <c r="Z66" s="254"/>
      <c r="AA66" s="513"/>
      <c r="AB66" s="254"/>
      <c r="AC66" s="254"/>
      <c r="AD66" s="254"/>
      <c r="AE66" s="513"/>
      <c r="AF66" s="254"/>
      <c r="AG66" s="254"/>
      <c r="AH66" s="254"/>
      <c r="AI66" s="513"/>
      <c r="AJ66" s="254"/>
      <c r="AK66" s="254"/>
      <c r="AL66" s="254"/>
      <c r="AM66" s="513"/>
      <c r="AN66" s="254"/>
      <c r="AO66" s="254"/>
      <c r="AP66" s="254"/>
      <c r="AQ66" s="513"/>
      <c r="AR66" s="254"/>
      <c r="AS66" s="254"/>
      <c r="AT66" s="254"/>
      <c r="AU66" s="513"/>
      <c r="AV66" s="254"/>
      <c r="AW66" s="254"/>
      <c r="AX66" s="254"/>
      <c r="AY66" s="513"/>
      <c r="AZ66" s="462"/>
      <c r="BA66" s="463"/>
      <c r="BB66" s="513"/>
      <c r="BC66" s="462"/>
      <c r="BD66" s="463"/>
      <c r="BE66" s="463"/>
      <c r="BF66" s="463"/>
      <c r="BG66" s="462"/>
      <c r="BH66" s="463"/>
      <c r="BI66" s="462"/>
      <c r="BJ66" s="462"/>
      <c r="BK66" s="463"/>
      <c r="BL66" s="462"/>
      <c r="BM66" s="462"/>
      <c r="BN66" s="463"/>
      <c r="BO66" s="469">
        <f t="shared" si="35"/>
        <v>0</v>
      </c>
      <c r="BP66" s="472"/>
      <c r="BQ66" s="462"/>
      <c r="BR66" s="462"/>
      <c r="BS66" s="469">
        <f t="shared" si="33"/>
        <v>0</v>
      </c>
      <c r="BT66" s="531"/>
      <c r="BU66" s="469">
        <f t="shared" si="62"/>
        <v>0</v>
      </c>
    </row>
    <row r="67" spans="1:73" ht="12.6" hidden="1" customHeight="1">
      <c r="A67" s="482" t="s">
        <v>82</v>
      </c>
      <c r="B67" s="457">
        <f>B24+B54+B61</f>
        <v>5274</v>
      </c>
      <c r="C67" s="458"/>
      <c r="D67" s="457">
        <f>D24+D54+D61+D65</f>
        <v>279</v>
      </c>
      <c r="E67" s="457">
        <f>E24+E54+E61+E65</f>
        <v>218</v>
      </c>
      <c r="F67" s="457"/>
      <c r="G67" s="511">
        <f>G24+G54+G61</f>
        <v>1.3443771153571429</v>
      </c>
      <c r="H67" s="457">
        <f>H24+H54+H61+H65</f>
        <v>394</v>
      </c>
      <c r="I67" s="457">
        <f>I24+I54+I61+I65</f>
        <v>297</v>
      </c>
      <c r="J67" s="457"/>
      <c r="K67" s="511">
        <f>K24+K54+K61</f>
        <v>1.4970316271000002</v>
      </c>
      <c r="L67" s="457">
        <f>L24+L54+L61+L65</f>
        <v>504</v>
      </c>
      <c r="M67" s="457">
        <f>M24+M54+M61+M65</f>
        <v>177</v>
      </c>
      <c r="N67" s="457"/>
      <c r="O67" s="511">
        <f>O24+O54+O61</f>
        <v>0.83485599040000014</v>
      </c>
      <c r="P67" s="457">
        <f>P24+P54+P61+P65</f>
        <v>412</v>
      </c>
      <c r="Q67" s="457">
        <f>Q24+Q54+Q61+Q65</f>
        <v>920</v>
      </c>
      <c r="R67" s="457"/>
      <c r="S67" s="511">
        <f>S24+S54+S61</f>
        <v>7.123737600000001</v>
      </c>
      <c r="T67" s="457">
        <f>T24+T54+T61+T65</f>
        <v>548</v>
      </c>
      <c r="U67" s="457">
        <f>IF(ISERROR(V67/T67*1000000),0,(V67/T67*1000000))</f>
        <v>0</v>
      </c>
      <c r="V67" s="457">
        <f t="shared" ref="V67:AB67" si="116">V24+V54+V61+V65</f>
        <v>0</v>
      </c>
      <c r="W67" s="511">
        <f t="shared" si="116"/>
        <v>0.64484243939999997</v>
      </c>
      <c r="X67" s="457">
        <f t="shared" si="116"/>
        <v>432</v>
      </c>
      <c r="Y67" s="457">
        <f t="shared" si="116"/>
        <v>254</v>
      </c>
      <c r="Z67" s="457">
        <f t="shared" si="116"/>
        <v>2086</v>
      </c>
      <c r="AA67" s="511">
        <f t="shared" ref="AA67" si="117">AA24+AA54+AA61+AA65</f>
        <v>1.6530230223000002</v>
      </c>
      <c r="AB67" s="457">
        <f t="shared" si="116"/>
        <v>494</v>
      </c>
      <c r="AC67" s="457">
        <f t="shared" ref="AC67:AE67" si="118">AC24+AC54+AC61+AC65</f>
        <v>308</v>
      </c>
      <c r="AD67" s="457">
        <f t="shared" si="118"/>
        <v>0</v>
      </c>
      <c r="AE67" s="511">
        <f t="shared" si="118"/>
        <v>1.9365224777753087</v>
      </c>
      <c r="AF67" s="457">
        <f>AF24+AF54+AF61+AF65</f>
        <v>424</v>
      </c>
      <c r="AG67" s="457">
        <f t="shared" ref="AG67:AI67" si="119">AG24+AG54+AG61+AG65</f>
        <v>372</v>
      </c>
      <c r="AH67" s="457">
        <f t="shared" si="119"/>
        <v>6065</v>
      </c>
      <c r="AI67" s="511">
        <f t="shared" si="119"/>
        <v>1.8702901788768418</v>
      </c>
      <c r="AJ67" s="457">
        <f>AJ24+AJ54+AJ61+AJ65</f>
        <v>447</v>
      </c>
      <c r="AK67" s="457">
        <f t="shared" ref="AK67:AM67" si="120">AK24+AK54+AK61+AK65</f>
        <v>327</v>
      </c>
      <c r="AL67" s="457">
        <f t="shared" si="120"/>
        <v>8143</v>
      </c>
      <c r="AM67" s="511">
        <f t="shared" si="120"/>
        <v>4.0435541570970059</v>
      </c>
      <c r="AN67" s="457">
        <f>AN24+AN54+AN61+AN65</f>
        <v>464</v>
      </c>
      <c r="AO67" s="457">
        <f t="shared" ref="AO67:AQ67" si="121">AO24+AO54+AO61+AO65</f>
        <v>219</v>
      </c>
      <c r="AP67" s="457">
        <f t="shared" si="121"/>
        <v>5442</v>
      </c>
      <c r="AQ67" s="511">
        <f t="shared" si="121"/>
        <v>2.8465088794181641</v>
      </c>
      <c r="AR67" s="457">
        <f>AR24+AR54+AR61+AR65</f>
        <v>434</v>
      </c>
      <c r="AS67" s="457">
        <f t="shared" ref="AS67:AU67" si="122">AS24+AS54+AS61+AS65</f>
        <v>259</v>
      </c>
      <c r="AT67" s="457">
        <f t="shared" si="122"/>
        <v>6236</v>
      </c>
      <c r="AU67" s="511">
        <f t="shared" si="122"/>
        <v>1.8158653352116354</v>
      </c>
      <c r="AV67" s="457">
        <f>AV24+AV54+AV61+AV65</f>
        <v>442</v>
      </c>
      <c r="AW67" s="457">
        <f t="shared" ref="AW67:BK67" si="123">AW24+AW54+AW61+AW65</f>
        <v>0</v>
      </c>
      <c r="AX67" s="457">
        <f t="shared" si="123"/>
        <v>0</v>
      </c>
      <c r="AY67" s="511">
        <f t="shared" si="123"/>
        <v>0</v>
      </c>
      <c r="AZ67" s="458">
        <f t="shared" si="123"/>
        <v>1177</v>
      </c>
      <c r="BA67" s="458">
        <f t="shared" si="123"/>
        <v>692</v>
      </c>
      <c r="BB67" s="511">
        <f t="shared" si="123"/>
        <v>3.6762647328571432</v>
      </c>
      <c r="BC67" s="457">
        <f t="shared" si="123"/>
        <v>1392</v>
      </c>
      <c r="BD67" s="458">
        <f t="shared" si="123"/>
        <v>1285</v>
      </c>
      <c r="BE67" s="458"/>
      <c r="BF67" s="458"/>
      <c r="BG67" s="457">
        <f t="shared" si="123"/>
        <v>1007</v>
      </c>
      <c r="BH67" s="458">
        <f t="shared" si="123"/>
        <v>7.8503668137491571</v>
      </c>
      <c r="BI67" s="457">
        <f t="shared" si="123"/>
        <v>1340</v>
      </c>
      <c r="BJ67" s="457"/>
      <c r="BK67" s="458">
        <f t="shared" si="123"/>
        <v>4.6623742146298</v>
      </c>
      <c r="BL67" s="457">
        <v>25101</v>
      </c>
      <c r="BM67" s="457"/>
      <c r="BN67" s="458" t="e">
        <v>#REF!</v>
      </c>
      <c r="BO67" s="525">
        <f>IFERROR(BM67/BL67,0)</f>
        <v>0</v>
      </c>
      <c r="BP67" s="472"/>
      <c r="BQ67" s="457">
        <f t="shared" ref="BQ67:BR67" si="124">BQ24+BQ54+BQ61+BQ65</f>
        <v>3063</v>
      </c>
      <c r="BR67" s="457" t="e">
        <f t="shared" si="124"/>
        <v>#REF!</v>
      </c>
      <c r="BS67" s="525">
        <f t="shared" si="33"/>
        <v>0</v>
      </c>
      <c r="BT67" s="530">
        <f t="shared" ref="BT67" si="125">BT24+BT54+BT61+BT65</f>
        <v>13.097867794557144</v>
      </c>
      <c r="BU67" s="525">
        <f t="shared" si="62"/>
        <v>0</v>
      </c>
    </row>
    <row r="68" spans="1:73" ht="12.6" hidden="1" customHeight="1">
      <c r="A68" s="254"/>
      <c r="B68" s="254"/>
      <c r="C68" s="461"/>
      <c r="D68" s="254"/>
      <c r="E68" s="254"/>
      <c r="F68" s="254"/>
      <c r="G68" s="513"/>
      <c r="H68" s="254"/>
      <c r="I68" s="254"/>
      <c r="J68" s="254"/>
      <c r="K68" s="513"/>
      <c r="L68" s="254"/>
      <c r="M68" s="254"/>
      <c r="N68" s="254"/>
      <c r="O68" s="513"/>
      <c r="P68" s="254"/>
      <c r="Q68" s="254"/>
      <c r="R68" s="254"/>
      <c r="S68" s="513"/>
      <c r="T68" s="254"/>
      <c r="U68" s="254"/>
      <c r="V68" s="254"/>
      <c r="W68" s="513"/>
      <c r="X68" s="254"/>
      <c r="Y68" s="254"/>
      <c r="Z68" s="254"/>
      <c r="AA68" s="513"/>
      <c r="AB68" s="254"/>
      <c r="AC68" s="254"/>
      <c r="AD68" s="254"/>
      <c r="AE68" s="513"/>
      <c r="AF68" s="254"/>
      <c r="AG68" s="254"/>
      <c r="AH68" s="254"/>
      <c r="AI68" s="513"/>
      <c r="AJ68" s="254"/>
      <c r="AK68" s="254"/>
      <c r="AL68" s="254"/>
      <c r="AM68" s="513"/>
      <c r="AN68" s="254"/>
      <c r="AO68" s="254"/>
      <c r="AP68" s="254"/>
      <c r="AQ68" s="513"/>
      <c r="AR68" s="254"/>
      <c r="AS68" s="254"/>
      <c r="AT68" s="254"/>
      <c r="AU68" s="513"/>
      <c r="AV68" s="254"/>
      <c r="AW68" s="254"/>
      <c r="AX68" s="254"/>
      <c r="AY68" s="513"/>
      <c r="AZ68" s="462"/>
      <c r="BA68" s="463"/>
      <c r="BB68" s="513"/>
      <c r="BC68" s="462"/>
      <c r="BD68" s="257">
        <v>0</v>
      </c>
      <c r="BE68" s="257"/>
      <c r="BF68" s="257"/>
      <c r="BG68" s="462" t="e">
        <f>A68+#REF!+#REF!+#REF!+#REF!+#REF!+#REF!+#REF!+#REF!+#REF!+#REF!+#REF!</f>
        <v>#REF!</v>
      </c>
      <c r="BH68" s="463" t="e">
        <f>+#REF!+#REF!+#REF!+#REF!+#REF!+#REF!+#REF!+#REF!+#REF!+#REF!+#REF!+BI68+#REF!</f>
        <v>#REF!</v>
      </c>
      <c r="BI68" s="462" t="e">
        <f>#REF!+#REF!+#REF!+#REF!+#REF!+#REF!+#REF!+#REF!+#REF!+#REF!+#REF!+#REF!</f>
        <v>#REF!</v>
      </c>
      <c r="BJ68" s="462"/>
      <c r="BK68" s="463" t="e">
        <f>+H68+L68+P68+T68+X68+AB68+AF68+AJ68+AN68+AR68+AV68+BL68+D68</f>
        <v>#REF!</v>
      </c>
      <c r="BL68" s="462" t="e">
        <v>#REF!</v>
      </c>
      <c r="BM68" s="462"/>
      <c r="BN68" s="463">
        <v>0</v>
      </c>
      <c r="BO68" s="469">
        <f t="shared" si="35"/>
        <v>0</v>
      </c>
      <c r="BP68" s="472"/>
      <c r="BQ68" s="462"/>
      <c r="BR68" s="462"/>
      <c r="BS68" s="469">
        <f t="shared" si="33"/>
        <v>0</v>
      </c>
      <c r="BT68" s="531"/>
      <c r="BU68" s="469">
        <f t="shared" si="62"/>
        <v>0</v>
      </c>
    </row>
    <row r="69" spans="1:73" ht="12.6" hidden="1" customHeight="1">
      <c r="A69" s="482" t="s">
        <v>81</v>
      </c>
      <c r="B69" s="498">
        <f>D69+H69+L69+P69+T69+X69+AB69+AF69+AJ69+AN69+AR69+AV69</f>
        <v>0</v>
      </c>
      <c r="C69" s="499"/>
      <c r="D69" s="498"/>
      <c r="E69" s="498"/>
      <c r="F69" s="498"/>
      <c r="G69" s="514"/>
      <c r="H69" s="498"/>
      <c r="I69" s="498"/>
      <c r="J69" s="498"/>
      <c r="K69" s="514"/>
      <c r="L69" s="498"/>
      <c r="M69" s="498"/>
      <c r="N69" s="498"/>
      <c r="O69" s="514"/>
      <c r="P69" s="129"/>
      <c r="Q69" s="498"/>
      <c r="R69" s="498"/>
      <c r="S69" s="514"/>
      <c r="T69" s="498"/>
      <c r="U69" s="498"/>
      <c r="V69" s="498">
        <f>(T69*U69)/10^6</f>
        <v>0</v>
      </c>
      <c r="W69" s="514">
        <f>U69*(V69-C69)*66.93/10^7</f>
        <v>0</v>
      </c>
      <c r="X69" s="498"/>
      <c r="Y69" s="498"/>
      <c r="Z69" s="498"/>
      <c r="AA69" s="514">
        <f>Y69*(Z69-G69)*66.93/10^7</f>
        <v>0</v>
      </c>
      <c r="AB69" s="498"/>
      <c r="AC69" s="498"/>
      <c r="AD69" s="498"/>
      <c r="AE69" s="514">
        <f>AC69*(AD69-K69)*66.93/10^7</f>
        <v>0</v>
      </c>
      <c r="AF69" s="498"/>
      <c r="AG69" s="498"/>
      <c r="AH69" s="498"/>
      <c r="AI69" s="514"/>
      <c r="AJ69" s="498"/>
      <c r="AK69" s="498"/>
      <c r="AL69" s="498"/>
      <c r="AM69" s="514"/>
      <c r="AN69" s="498"/>
      <c r="AO69" s="498"/>
      <c r="AP69" s="498"/>
      <c r="AQ69" s="514"/>
      <c r="AR69" s="498"/>
      <c r="AS69" s="498"/>
      <c r="AT69" s="498"/>
      <c r="AU69" s="514"/>
      <c r="AV69" s="129"/>
      <c r="AW69" s="498"/>
      <c r="AX69" s="498"/>
      <c r="AY69" s="514">
        <f>AW69*(AX69-AE69)*66.93/10^7</f>
        <v>0</v>
      </c>
      <c r="AZ69" s="257">
        <f>+D69+H69+L69</f>
        <v>0</v>
      </c>
      <c r="BA69" s="23">
        <f>+E69+I69+M69</f>
        <v>0</v>
      </c>
      <c r="BB69" s="514">
        <f>+G69+K69+O69</f>
        <v>0</v>
      </c>
      <c r="BC69" s="257">
        <f>+P69+T69+X69</f>
        <v>0</v>
      </c>
      <c r="BD69" s="257">
        <v>0</v>
      </c>
      <c r="BE69" s="257"/>
      <c r="BF69" s="257"/>
      <c r="BG69" s="257">
        <f>+AB69+AF69+AJ69</f>
        <v>0</v>
      </c>
      <c r="BH69" s="257" t="e">
        <f>+#REF!+#REF!+#REF!</f>
        <v>#REF!</v>
      </c>
      <c r="BI69" s="257">
        <f>+AN69+AR69+AV69</f>
        <v>0</v>
      </c>
      <c r="BJ69" s="257"/>
      <c r="BK69" s="257" t="e">
        <f>+#REF!+#REF!+#REF!</f>
        <v>#REF!</v>
      </c>
      <c r="BL69" s="257">
        <v>0</v>
      </c>
      <c r="BM69" s="257"/>
      <c r="BN69" s="257" t="e">
        <v>#REF!</v>
      </c>
      <c r="BO69" s="466">
        <f t="shared" si="35"/>
        <v>0</v>
      </c>
      <c r="BP69" s="472"/>
      <c r="BQ69" s="23">
        <f>D69+H69+L69+P69+T69</f>
        <v>0</v>
      </c>
      <c r="BR69" s="23">
        <f>E69+I69+M69+Q69+U69</f>
        <v>0</v>
      </c>
      <c r="BS69" s="466">
        <f t="shared" si="33"/>
        <v>0</v>
      </c>
      <c r="BT69" s="509">
        <f>G69+K69+O69+S69+W69+AA69</f>
        <v>0</v>
      </c>
      <c r="BU69" s="466">
        <f t="shared" si="62"/>
        <v>0</v>
      </c>
    </row>
    <row r="70" spans="1:73" ht="12.6" hidden="1" customHeight="1">
      <c r="A70" s="254"/>
      <c r="B70" s="462"/>
      <c r="C70" s="463"/>
      <c r="D70" s="462"/>
      <c r="E70" s="462"/>
      <c r="F70" s="462"/>
      <c r="G70" s="515"/>
      <c r="H70" s="462"/>
      <c r="I70" s="462"/>
      <c r="J70" s="462"/>
      <c r="K70" s="515"/>
      <c r="L70" s="462"/>
      <c r="M70" s="462"/>
      <c r="N70" s="462"/>
      <c r="O70" s="515"/>
      <c r="P70" s="462"/>
      <c r="Q70" s="462"/>
      <c r="R70" s="462"/>
      <c r="S70" s="515"/>
      <c r="T70" s="462"/>
      <c r="U70" s="462"/>
      <c r="V70" s="462"/>
      <c r="W70" s="515"/>
      <c r="X70" s="462"/>
      <c r="Y70" s="462"/>
      <c r="Z70" s="462"/>
      <c r="AA70" s="515"/>
      <c r="AB70" s="462"/>
      <c r="AC70" s="462"/>
      <c r="AD70" s="462"/>
      <c r="AE70" s="515"/>
      <c r="AF70" s="462"/>
      <c r="AG70" s="462"/>
      <c r="AH70" s="462"/>
      <c r="AI70" s="515"/>
      <c r="AJ70" s="462"/>
      <c r="AK70" s="462"/>
      <c r="AL70" s="462"/>
      <c r="AM70" s="515"/>
      <c r="AN70" s="462"/>
      <c r="AO70" s="462"/>
      <c r="AP70" s="462"/>
      <c r="AQ70" s="515"/>
      <c r="AR70" s="462"/>
      <c r="AS70" s="462"/>
      <c r="AT70" s="462"/>
      <c r="AU70" s="515"/>
      <c r="AV70" s="462"/>
      <c r="AW70" s="462"/>
      <c r="AX70" s="462"/>
      <c r="AY70" s="515"/>
      <c r="AZ70" s="462"/>
      <c r="BA70" s="463"/>
      <c r="BB70" s="515"/>
      <c r="BC70" s="462"/>
      <c r="BD70" s="257">
        <v>0</v>
      </c>
      <c r="BE70" s="257"/>
      <c r="BF70" s="257"/>
      <c r="BG70" s="462" t="e">
        <f>A70+#REF!+#REF!+#REF!+#REF!+#REF!+#REF!+#REF!+#REF!+#REF!+#REF!+#REF!</f>
        <v>#REF!</v>
      </c>
      <c r="BH70" s="463" t="e">
        <f>+#REF!+#REF!+#REF!+#REF!+#REF!+#REF!+#REF!+#REF!+#REF!+#REF!+#REF!+BI70+#REF!</f>
        <v>#REF!</v>
      </c>
      <c r="BI70" s="462" t="e">
        <f>#REF!+#REF!+#REF!+#REF!+#REF!+#REF!+#REF!+#REF!+#REF!+#REF!+#REF!+#REF!</f>
        <v>#REF!</v>
      </c>
      <c r="BJ70" s="462"/>
      <c r="BK70" s="463" t="e">
        <f>+H70+L70+P70+T70+X70+AB70+AF70+AJ70+AN70+AR70+AV70+BL70+D70</f>
        <v>#REF!</v>
      </c>
      <c r="BL70" s="462" t="e">
        <v>#REF!</v>
      </c>
      <c r="BM70" s="462"/>
      <c r="BN70" s="463">
        <v>0</v>
      </c>
      <c r="BO70" s="469">
        <f t="shared" si="35"/>
        <v>0</v>
      </c>
      <c r="BP70" s="472"/>
      <c r="BQ70" s="462"/>
      <c r="BR70" s="462"/>
      <c r="BS70" s="469">
        <f t="shared" si="33"/>
        <v>0</v>
      </c>
      <c r="BT70" s="531"/>
      <c r="BU70" s="469">
        <f t="shared" ref="BU70:BU81" si="126">IFERROR(BR70/B70,0)</f>
        <v>0</v>
      </c>
    </row>
    <row r="71" spans="1:73" ht="12.6" hidden="1" customHeight="1">
      <c r="A71" s="482" t="s">
        <v>9</v>
      </c>
      <c r="B71" s="457">
        <f>+B67+B69</f>
        <v>5274</v>
      </c>
      <c r="C71" s="458"/>
      <c r="D71" s="457">
        <f>+D67+D69</f>
        <v>279</v>
      </c>
      <c r="E71" s="457">
        <f>+E67+E69</f>
        <v>218</v>
      </c>
      <c r="F71" s="457"/>
      <c r="G71" s="511">
        <f>+G67+G69</f>
        <v>1.3443771153571429</v>
      </c>
      <c r="H71" s="457">
        <f>+H67+H69</f>
        <v>394</v>
      </c>
      <c r="I71" s="457">
        <f>+I67+I69</f>
        <v>297</v>
      </c>
      <c r="J71" s="457"/>
      <c r="K71" s="511">
        <f>+K67+K69</f>
        <v>1.4970316271000002</v>
      </c>
      <c r="L71" s="457">
        <f>+L67+L69</f>
        <v>504</v>
      </c>
      <c r="M71" s="457">
        <f>+M67+M69</f>
        <v>177</v>
      </c>
      <c r="N71" s="457"/>
      <c r="O71" s="511">
        <f>+O67+O69</f>
        <v>0.83485599040000014</v>
      </c>
      <c r="P71" s="457">
        <f>+P67+P69</f>
        <v>412</v>
      </c>
      <c r="Q71" s="457">
        <f>+Q67+Q69</f>
        <v>920</v>
      </c>
      <c r="R71" s="457"/>
      <c r="S71" s="511">
        <f>+S67+S69</f>
        <v>7.123737600000001</v>
      </c>
      <c r="T71" s="457">
        <f>+T67+T69</f>
        <v>548</v>
      </c>
      <c r="U71" s="457">
        <f>IF(ISERROR(V71/T71*1000000),0,(V71/T71*1000000))</f>
        <v>0</v>
      </c>
      <c r="V71" s="457">
        <f t="shared" ref="V71:AB71" si="127">+V67+V69</f>
        <v>0</v>
      </c>
      <c r="W71" s="511">
        <f t="shared" si="127"/>
        <v>0.64484243939999997</v>
      </c>
      <c r="X71" s="457">
        <f t="shared" si="127"/>
        <v>432</v>
      </c>
      <c r="Y71" s="457">
        <f t="shared" si="127"/>
        <v>254</v>
      </c>
      <c r="Z71" s="457">
        <f t="shared" si="127"/>
        <v>2086</v>
      </c>
      <c r="AA71" s="511">
        <f t="shared" ref="AA71" si="128">+AA67+AA69</f>
        <v>1.6530230223000002</v>
      </c>
      <c r="AB71" s="457">
        <f t="shared" si="127"/>
        <v>494</v>
      </c>
      <c r="AC71" s="457">
        <f t="shared" ref="AC71:AE71" si="129">+AC67+AC69</f>
        <v>308</v>
      </c>
      <c r="AD71" s="457">
        <f t="shared" si="129"/>
        <v>0</v>
      </c>
      <c r="AE71" s="511">
        <f t="shared" si="129"/>
        <v>1.9365224777753087</v>
      </c>
      <c r="AF71" s="457">
        <f>+AF67+AF69</f>
        <v>424</v>
      </c>
      <c r="AG71" s="457">
        <f t="shared" ref="AG71:AI71" si="130">+AG67+AG69</f>
        <v>372</v>
      </c>
      <c r="AH71" s="457">
        <f t="shared" si="130"/>
        <v>6065</v>
      </c>
      <c r="AI71" s="511">
        <f t="shared" si="130"/>
        <v>1.8702901788768418</v>
      </c>
      <c r="AJ71" s="457">
        <f>+AJ67+AJ69</f>
        <v>447</v>
      </c>
      <c r="AK71" s="457">
        <f t="shared" ref="AK71:AM71" si="131">+AK67+AK69</f>
        <v>327</v>
      </c>
      <c r="AL71" s="457">
        <f t="shared" si="131"/>
        <v>8143</v>
      </c>
      <c r="AM71" s="511">
        <f t="shared" si="131"/>
        <v>4.0435541570970059</v>
      </c>
      <c r="AN71" s="457">
        <f>+AN67+AN69</f>
        <v>464</v>
      </c>
      <c r="AO71" s="457">
        <f t="shared" ref="AO71:AQ71" si="132">+AO67+AO69</f>
        <v>219</v>
      </c>
      <c r="AP71" s="457">
        <f t="shared" si="132"/>
        <v>5442</v>
      </c>
      <c r="AQ71" s="511">
        <f t="shared" si="132"/>
        <v>2.8465088794181641</v>
      </c>
      <c r="AR71" s="457">
        <f>+AR67+AR69</f>
        <v>434</v>
      </c>
      <c r="AS71" s="457">
        <f t="shared" ref="AS71:AU71" si="133">+AS67+AS69</f>
        <v>259</v>
      </c>
      <c r="AT71" s="457">
        <f t="shared" si="133"/>
        <v>6236</v>
      </c>
      <c r="AU71" s="511">
        <f t="shared" si="133"/>
        <v>1.8158653352116354</v>
      </c>
      <c r="AV71" s="457">
        <f>+AV67+AV69</f>
        <v>442</v>
      </c>
      <c r="AW71" s="457">
        <f t="shared" ref="AW71:BK71" si="134">+AW67+AW69</f>
        <v>0</v>
      </c>
      <c r="AX71" s="457">
        <f t="shared" si="134"/>
        <v>0</v>
      </c>
      <c r="AY71" s="511">
        <f t="shared" si="134"/>
        <v>0</v>
      </c>
      <c r="AZ71" s="458">
        <f t="shared" si="134"/>
        <v>1177</v>
      </c>
      <c r="BA71" s="458">
        <f t="shared" si="134"/>
        <v>692</v>
      </c>
      <c r="BB71" s="511">
        <f t="shared" si="134"/>
        <v>3.6762647328571432</v>
      </c>
      <c r="BC71" s="458">
        <f t="shared" si="134"/>
        <v>1392</v>
      </c>
      <c r="BD71" s="458">
        <f t="shared" si="134"/>
        <v>1285</v>
      </c>
      <c r="BE71" s="458"/>
      <c r="BF71" s="458"/>
      <c r="BG71" s="458">
        <f t="shared" si="134"/>
        <v>1007</v>
      </c>
      <c r="BH71" s="458" t="e">
        <f t="shared" si="134"/>
        <v>#REF!</v>
      </c>
      <c r="BI71" s="458">
        <f t="shared" si="134"/>
        <v>1340</v>
      </c>
      <c r="BJ71" s="458"/>
      <c r="BK71" s="458" t="e">
        <f t="shared" si="134"/>
        <v>#REF!</v>
      </c>
      <c r="BL71" s="458">
        <v>25101</v>
      </c>
      <c r="BM71" s="458"/>
      <c r="BN71" s="458" t="e">
        <v>#REF!</v>
      </c>
      <c r="BO71" s="525">
        <f>IFERROR(BM71/BL71,0)</f>
        <v>0</v>
      </c>
      <c r="BP71" s="472"/>
      <c r="BQ71" s="457">
        <f t="shared" ref="BQ71:BR71" si="135">+BQ67+BQ69</f>
        <v>3063</v>
      </c>
      <c r="BR71" s="457" t="e">
        <f t="shared" si="135"/>
        <v>#REF!</v>
      </c>
      <c r="BS71" s="525">
        <f t="shared" ref="BS71:BS81" si="136">IFERROR(BR71/BQ71,0)</f>
        <v>0</v>
      </c>
      <c r="BT71" s="530">
        <f t="shared" ref="BT71" si="137">+BT67+BT69</f>
        <v>13.097867794557144</v>
      </c>
      <c r="BU71" s="525">
        <f t="shared" si="126"/>
        <v>0</v>
      </c>
    </row>
    <row r="72" spans="1:73" ht="12.6" hidden="1" customHeight="1">
      <c r="A72" s="482"/>
      <c r="B72" s="457"/>
      <c r="C72" s="502"/>
      <c r="D72" s="457"/>
      <c r="E72" s="457"/>
      <c r="F72" s="457"/>
      <c r="G72" s="516"/>
      <c r="H72" s="457"/>
      <c r="I72" s="457"/>
      <c r="J72" s="457"/>
      <c r="K72" s="516"/>
      <c r="L72" s="457"/>
      <c r="M72" s="457"/>
      <c r="N72" s="457"/>
      <c r="O72" s="516"/>
      <c r="P72" s="457"/>
      <c r="Q72" s="457"/>
      <c r="R72" s="457"/>
      <c r="S72" s="516"/>
      <c r="T72" s="457"/>
      <c r="U72" s="457"/>
      <c r="V72" s="457"/>
      <c r="W72" s="516"/>
      <c r="X72" s="457"/>
      <c r="Y72" s="457"/>
      <c r="Z72" s="457"/>
      <c r="AA72" s="516"/>
      <c r="AB72" s="457"/>
      <c r="AC72" s="457"/>
      <c r="AD72" s="457"/>
      <c r="AE72" s="516"/>
      <c r="AF72" s="457"/>
      <c r="AG72" s="457"/>
      <c r="AH72" s="457"/>
      <c r="AI72" s="516"/>
      <c r="AJ72" s="457"/>
      <c r="AK72" s="457"/>
      <c r="AL72" s="457"/>
      <c r="AM72" s="516"/>
      <c r="AN72" s="457"/>
      <c r="AO72" s="457"/>
      <c r="AP72" s="457"/>
      <c r="AQ72" s="516"/>
      <c r="AR72" s="457"/>
      <c r="AS72" s="457"/>
      <c r="AT72" s="457"/>
      <c r="AU72" s="516"/>
      <c r="AV72" s="457"/>
      <c r="AW72" s="457"/>
      <c r="AX72" s="457"/>
      <c r="AY72" s="516"/>
      <c r="AZ72" s="474"/>
      <c r="BA72" s="474"/>
      <c r="BB72" s="516"/>
      <c r="BC72" s="474"/>
      <c r="BD72" s="474"/>
      <c r="BE72" s="474"/>
      <c r="BF72" s="474"/>
      <c r="BG72" s="474"/>
      <c r="BH72" s="474"/>
      <c r="BI72" s="474"/>
      <c r="BJ72" s="474"/>
      <c r="BK72" s="474"/>
      <c r="BL72" s="474"/>
      <c r="BM72" s="474"/>
      <c r="BN72" s="474"/>
      <c r="BO72" s="525">
        <f t="shared" si="35"/>
        <v>0</v>
      </c>
      <c r="BP72" s="472"/>
      <c r="BQ72" s="458"/>
      <c r="BR72" s="457"/>
      <c r="BS72" s="525">
        <f t="shared" si="136"/>
        <v>0</v>
      </c>
      <c r="BT72" s="530"/>
      <c r="BU72" s="525">
        <f t="shared" si="126"/>
        <v>0</v>
      </c>
    </row>
    <row r="73" spans="1:73" ht="12.6" customHeight="1">
      <c r="A73" s="254" t="s">
        <v>109</v>
      </c>
      <c r="B73" s="129">
        <f>D73+H73+L73+P73+T73+X73+AB73+AF73+AJ73+AN73+AR73+AV73</f>
        <v>0</v>
      </c>
      <c r="C73" s="257"/>
      <c r="D73" s="129"/>
      <c r="E73" s="129">
        <v>10</v>
      </c>
      <c r="F73" s="129">
        <v>1880</v>
      </c>
      <c r="G73" s="509">
        <f t="shared" ref="G73:G78" si="138">E73*(F73-C73)*66.47/10^7</f>
        <v>0.12496359999999999</v>
      </c>
      <c r="H73" s="129"/>
      <c r="I73" s="129"/>
      <c r="J73" s="129"/>
      <c r="K73" s="509">
        <f t="shared" ref="K73:K78" si="139">I73*(J73-C73)*66.91/10^7</f>
        <v>0</v>
      </c>
      <c r="L73" s="129"/>
      <c r="M73" s="129">
        <v>12</v>
      </c>
      <c r="N73" s="129">
        <v>1984.5</v>
      </c>
      <c r="O73" s="509">
        <f t="shared" ref="O73:O78" si="140">M73*(N73-C73)*67.28/10^7</f>
        <v>0.160220592</v>
      </c>
      <c r="P73" s="129"/>
      <c r="Q73" s="129"/>
      <c r="R73" s="129"/>
      <c r="S73" s="509">
        <f t="shared" ref="S73:S78" si="141">Q73*(R73-C73)*67.2/10^7</f>
        <v>0</v>
      </c>
      <c r="T73" s="129"/>
      <c r="U73" s="129"/>
      <c r="V73" s="129">
        <f>(T73*U73)/10^6</f>
        <v>0</v>
      </c>
      <c r="W73" s="509">
        <f t="shared" ref="W73:W78" si="142">U73*(V73-C73)*66.93/10^7</f>
        <v>0</v>
      </c>
      <c r="X73" s="129"/>
      <c r="Y73" s="129">
        <v>12</v>
      </c>
      <c r="Z73" s="129">
        <v>2000</v>
      </c>
      <c r="AA73" s="509">
        <f t="shared" ref="AA73:AA78" si="143">Y73*(Z73-C73)*66.69/10^7</f>
        <v>0.160056</v>
      </c>
      <c r="AB73" s="129"/>
      <c r="AC73" s="129">
        <v>13</v>
      </c>
      <c r="AD73" s="129">
        <v>1965</v>
      </c>
      <c r="AE73" s="509">
        <f t="shared" ref="AE73:AE78" si="144">AC73*(AD73-G73)*66.73/10^7</f>
        <v>0.17045094453266363</v>
      </c>
      <c r="AF73" s="129"/>
      <c r="AG73" s="129"/>
      <c r="AH73" s="129"/>
      <c r="AI73" s="509">
        <f t="shared" ref="AI73:AI78" si="145">AG73*(AH73-K73)*67.58/10^7</f>
        <v>0</v>
      </c>
      <c r="AJ73" s="129"/>
      <c r="AK73" s="129"/>
      <c r="AL73" s="129"/>
      <c r="AM73" s="509">
        <f t="shared" ref="AM73:AM78" si="146">AK73*(AL73-O73)*67.91/10^7</f>
        <v>0</v>
      </c>
      <c r="AN73" s="129"/>
      <c r="AO73" s="129"/>
      <c r="AP73" s="129"/>
      <c r="AQ73" s="509">
        <f t="shared" ref="AQ73:AQ78" si="147">AO73*(AP73-S73)*68.01/10^7</f>
        <v>0</v>
      </c>
      <c r="AR73" s="129"/>
      <c r="AS73" s="129"/>
      <c r="AT73" s="129"/>
      <c r="AU73" s="509">
        <f t="shared" ref="AU73:AU78" si="148">AS73*(AT73-W73)*67.01/10^7</f>
        <v>0</v>
      </c>
      <c r="AV73" s="129"/>
      <c r="AW73" s="129"/>
      <c r="AX73" s="129"/>
      <c r="AY73" s="509">
        <f t="shared" ref="AY73:AY78" si="149">AW73*(AX73-AA73)*66.69/10^7</f>
        <v>0</v>
      </c>
      <c r="AZ73" s="23">
        <f t="shared" ref="AZ73:BA78" si="150">+D73+H73+L73</f>
        <v>0</v>
      </c>
      <c r="BA73" s="23">
        <f t="shared" si="150"/>
        <v>22</v>
      </c>
      <c r="BB73" s="509">
        <f t="shared" ref="BB73:BB78" si="151">+G73+K73+O73</f>
        <v>0.285184192</v>
      </c>
      <c r="BC73" s="23">
        <f t="shared" ref="BC73:BD78" si="152">+P73+T73+X73</f>
        <v>0</v>
      </c>
      <c r="BD73" s="257">
        <f t="shared" si="152"/>
        <v>12</v>
      </c>
      <c r="BE73" s="257">
        <f t="shared" ref="BE73:BE78" si="153">S73+W73+AA73</f>
        <v>0.160056</v>
      </c>
      <c r="BF73" s="257">
        <f t="shared" ref="BF73:BG78" si="154">AB73+AF73+AJ73</f>
        <v>0</v>
      </c>
      <c r="BG73" s="23">
        <f t="shared" si="154"/>
        <v>13</v>
      </c>
      <c r="BH73" s="257">
        <f t="shared" ref="BH73:BH78" si="155">AE73+AI73+AM73</f>
        <v>0.17045094453266363</v>
      </c>
      <c r="BI73" s="23">
        <f t="shared" ref="BI73:BJ78" si="156">+AN73+AR73+AV73</f>
        <v>0</v>
      </c>
      <c r="BJ73" s="23">
        <f t="shared" si="156"/>
        <v>0</v>
      </c>
      <c r="BK73" s="257">
        <f t="shared" ref="BK73:BK78" si="157">AQ73+AU73+AY73</f>
        <v>0</v>
      </c>
      <c r="BL73" s="23">
        <f t="shared" ref="BL73:BN78" si="158">AZ73+BC73+BF73+BI73</f>
        <v>0</v>
      </c>
      <c r="BM73" s="23">
        <f t="shared" si="158"/>
        <v>47</v>
      </c>
      <c r="BN73" s="257">
        <f t="shared" si="158"/>
        <v>0.61569113653266361</v>
      </c>
      <c r="BO73" s="466">
        <f t="shared" ref="BO73:BO78" si="159">IFERROR(BM73/BL73,0)</f>
        <v>0</v>
      </c>
      <c r="BP73" s="472"/>
      <c r="BQ73" s="23">
        <f t="shared" ref="BQ73:BQ78" si="160">D73+H73+L73+P73+T73+X73+AB73</f>
        <v>0</v>
      </c>
      <c r="BR73" s="23" t="e">
        <f>E73+I73+M73+Q73+U73+Y73+#REF!</f>
        <v>#REF!</v>
      </c>
      <c r="BS73" s="466">
        <f t="shared" si="136"/>
        <v>0</v>
      </c>
      <c r="BT73" s="509">
        <f t="shared" ref="BT73:BT78" si="161">G73+K73+O73+S73+W73+AA73</f>
        <v>0.44524019199999998</v>
      </c>
      <c r="BU73" s="466">
        <f t="shared" si="126"/>
        <v>0</v>
      </c>
    </row>
    <row r="74" spans="1:73" ht="12.6" customHeight="1">
      <c r="A74" s="254" t="s">
        <v>110</v>
      </c>
      <c r="B74" s="129">
        <f>D74+H74+L74+P74+T74+X74+AB74+AF74+AJ74+AN74+AR74+AV74</f>
        <v>0</v>
      </c>
      <c r="C74" s="257"/>
      <c r="D74" s="129"/>
      <c r="E74" s="129"/>
      <c r="F74" s="129"/>
      <c r="G74" s="509">
        <f t="shared" si="138"/>
        <v>0</v>
      </c>
      <c r="H74" s="129"/>
      <c r="I74" s="129"/>
      <c r="J74" s="129"/>
      <c r="K74" s="509">
        <f t="shared" si="139"/>
        <v>0</v>
      </c>
      <c r="L74" s="129"/>
      <c r="M74" s="129"/>
      <c r="N74" s="129"/>
      <c r="O74" s="509">
        <f t="shared" si="140"/>
        <v>0</v>
      </c>
      <c r="P74" s="129"/>
      <c r="Q74" s="129"/>
      <c r="R74" s="129"/>
      <c r="S74" s="509">
        <f t="shared" si="141"/>
        <v>0</v>
      </c>
      <c r="T74" s="129"/>
      <c r="U74" s="129"/>
      <c r="V74" s="129">
        <f>(T74*U74)/10^6</f>
        <v>0</v>
      </c>
      <c r="W74" s="509">
        <f t="shared" si="142"/>
        <v>0</v>
      </c>
      <c r="X74" s="129"/>
      <c r="Y74" s="129"/>
      <c r="Z74" s="129"/>
      <c r="AA74" s="509">
        <f t="shared" si="143"/>
        <v>0</v>
      </c>
      <c r="AB74" s="129"/>
      <c r="AC74" s="129"/>
      <c r="AD74" s="129"/>
      <c r="AE74" s="509">
        <f t="shared" si="144"/>
        <v>0</v>
      </c>
      <c r="AF74" s="129"/>
      <c r="AG74" s="129">
        <v>2</v>
      </c>
      <c r="AH74" s="129">
        <v>1760</v>
      </c>
      <c r="AI74" s="509">
        <f t="shared" si="145"/>
        <v>2.3788159999999999E-2</v>
      </c>
      <c r="AJ74" s="129"/>
      <c r="AK74" s="129"/>
      <c r="AL74" s="129"/>
      <c r="AM74" s="509">
        <f t="shared" si="146"/>
        <v>0</v>
      </c>
      <c r="AN74" s="129"/>
      <c r="AO74" s="129"/>
      <c r="AP74" s="129"/>
      <c r="AQ74" s="509">
        <f t="shared" si="147"/>
        <v>0</v>
      </c>
      <c r="AR74" s="129"/>
      <c r="AS74" s="129">
        <v>26</v>
      </c>
      <c r="AT74" s="129">
        <v>2247</v>
      </c>
      <c r="AU74" s="509">
        <f t="shared" si="148"/>
        <v>0.39148582200000004</v>
      </c>
      <c r="AV74" s="129"/>
      <c r="AW74" s="129"/>
      <c r="AX74" s="129"/>
      <c r="AY74" s="509">
        <f t="shared" si="149"/>
        <v>0</v>
      </c>
      <c r="AZ74" s="23">
        <f t="shared" si="150"/>
        <v>0</v>
      </c>
      <c r="BA74" s="23">
        <f t="shared" si="150"/>
        <v>0</v>
      </c>
      <c r="BB74" s="509">
        <f t="shared" si="151"/>
        <v>0</v>
      </c>
      <c r="BC74" s="23">
        <f t="shared" si="152"/>
        <v>0</v>
      </c>
      <c r="BD74" s="257">
        <f t="shared" si="152"/>
        <v>0</v>
      </c>
      <c r="BE74" s="257">
        <f t="shared" si="153"/>
        <v>0</v>
      </c>
      <c r="BF74" s="257">
        <f t="shared" si="154"/>
        <v>0</v>
      </c>
      <c r="BG74" s="23">
        <f t="shared" si="154"/>
        <v>2</v>
      </c>
      <c r="BH74" s="257">
        <f t="shared" si="155"/>
        <v>2.3788159999999999E-2</v>
      </c>
      <c r="BI74" s="23">
        <f t="shared" si="156"/>
        <v>0</v>
      </c>
      <c r="BJ74" s="23">
        <f t="shared" si="156"/>
        <v>26</v>
      </c>
      <c r="BK74" s="257">
        <f t="shared" si="157"/>
        <v>0.39148582200000004</v>
      </c>
      <c r="BL74" s="23">
        <f t="shared" si="158"/>
        <v>0</v>
      </c>
      <c r="BM74" s="23">
        <f t="shared" si="158"/>
        <v>28</v>
      </c>
      <c r="BN74" s="257">
        <f t="shared" si="158"/>
        <v>0.41527398200000004</v>
      </c>
      <c r="BO74" s="466">
        <f t="shared" si="159"/>
        <v>0</v>
      </c>
      <c r="BP74" s="472"/>
      <c r="BQ74" s="23">
        <f t="shared" si="160"/>
        <v>0</v>
      </c>
      <c r="BR74" s="23" t="e">
        <f>E74+I74+M74+Q74+U74+Y74+#REF!</f>
        <v>#REF!</v>
      </c>
      <c r="BS74" s="466">
        <f t="shared" si="136"/>
        <v>0</v>
      </c>
      <c r="BT74" s="509">
        <f t="shared" si="161"/>
        <v>0</v>
      </c>
      <c r="BU74" s="466">
        <f t="shared" si="126"/>
        <v>0</v>
      </c>
    </row>
    <row r="75" spans="1:73" ht="12.6" customHeight="1">
      <c r="A75" s="254" t="s">
        <v>132</v>
      </c>
      <c r="B75" s="129">
        <f>D75+H75+L75+P75+T75+X75+AB75+AF75+AJ75+AN75+AR75+AV75</f>
        <v>0</v>
      </c>
      <c r="C75" s="257"/>
      <c r="D75" s="129"/>
      <c r="E75" s="129"/>
      <c r="F75" s="129"/>
      <c r="G75" s="509">
        <f t="shared" si="138"/>
        <v>0</v>
      </c>
      <c r="H75" s="129"/>
      <c r="I75" s="129"/>
      <c r="J75" s="129"/>
      <c r="K75" s="509">
        <f t="shared" si="139"/>
        <v>0</v>
      </c>
      <c r="L75" s="129"/>
      <c r="M75" s="129"/>
      <c r="N75" s="129"/>
      <c r="O75" s="509">
        <f t="shared" si="140"/>
        <v>0</v>
      </c>
      <c r="P75" s="129"/>
      <c r="Q75" s="129"/>
      <c r="R75" s="129"/>
      <c r="S75" s="509">
        <f t="shared" si="141"/>
        <v>0</v>
      </c>
      <c r="T75" s="129"/>
      <c r="U75" s="129"/>
      <c r="V75" s="129">
        <f>(T75*U75)/10^6</f>
        <v>0</v>
      </c>
      <c r="W75" s="509">
        <f t="shared" si="142"/>
        <v>0</v>
      </c>
      <c r="X75" s="129"/>
      <c r="Y75" s="129"/>
      <c r="Z75" s="129"/>
      <c r="AA75" s="509">
        <f t="shared" si="143"/>
        <v>0</v>
      </c>
      <c r="AB75" s="129"/>
      <c r="AC75" s="129"/>
      <c r="AD75" s="129"/>
      <c r="AE75" s="509">
        <f t="shared" si="144"/>
        <v>0</v>
      </c>
      <c r="AF75" s="129"/>
      <c r="AG75" s="129"/>
      <c r="AH75" s="129"/>
      <c r="AI75" s="509">
        <f t="shared" si="145"/>
        <v>0</v>
      </c>
      <c r="AJ75" s="129"/>
      <c r="AK75" s="129"/>
      <c r="AL75" s="129"/>
      <c r="AM75" s="509">
        <f t="shared" si="146"/>
        <v>0</v>
      </c>
      <c r="AN75" s="129"/>
      <c r="AO75" s="129"/>
      <c r="AP75" s="129"/>
      <c r="AQ75" s="509">
        <f t="shared" si="147"/>
        <v>0</v>
      </c>
      <c r="AR75" s="129"/>
      <c r="AS75" s="129"/>
      <c r="AT75" s="129"/>
      <c r="AU75" s="509">
        <f t="shared" si="148"/>
        <v>0</v>
      </c>
      <c r="AV75" s="129"/>
      <c r="AW75" s="129"/>
      <c r="AX75" s="129"/>
      <c r="AY75" s="509">
        <f t="shared" si="149"/>
        <v>0</v>
      </c>
      <c r="AZ75" s="23">
        <f t="shared" si="150"/>
        <v>0</v>
      </c>
      <c r="BA75" s="23">
        <f t="shared" si="150"/>
        <v>0</v>
      </c>
      <c r="BB75" s="509">
        <f t="shared" si="151"/>
        <v>0</v>
      </c>
      <c r="BC75" s="23">
        <f t="shared" si="152"/>
        <v>0</v>
      </c>
      <c r="BD75" s="257">
        <f t="shared" si="152"/>
        <v>0</v>
      </c>
      <c r="BE75" s="257">
        <f t="shared" si="153"/>
        <v>0</v>
      </c>
      <c r="BF75" s="257">
        <f t="shared" si="154"/>
        <v>0</v>
      </c>
      <c r="BG75" s="23">
        <f t="shared" si="154"/>
        <v>0</v>
      </c>
      <c r="BH75" s="257">
        <f t="shared" si="155"/>
        <v>0</v>
      </c>
      <c r="BI75" s="23">
        <f t="shared" si="156"/>
        <v>0</v>
      </c>
      <c r="BJ75" s="23">
        <f t="shared" si="156"/>
        <v>0</v>
      </c>
      <c r="BK75" s="257">
        <f t="shared" si="157"/>
        <v>0</v>
      </c>
      <c r="BL75" s="23">
        <f t="shared" si="158"/>
        <v>0</v>
      </c>
      <c r="BM75" s="23">
        <f t="shared" si="158"/>
        <v>0</v>
      </c>
      <c r="BN75" s="257">
        <f t="shared" si="158"/>
        <v>0</v>
      </c>
      <c r="BO75" s="466">
        <f t="shared" si="159"/>
        <v>0</v>
      </c>
      <c r="BP75" s="472"/>
      <c r="BQ75" s="23">
        <f t="shared" si="160"/>
        <v>0</v>
      </c>
      <c r="BR75" s="23" t="e">
        <f>E75+I75+M75+Q75+U75+Y75+#REF!</f>
        <v>#REF!</v>
      </c>
      <c r="BS75" s="466">
        <f t="shared" si="136"/>
        <v>0</v>
      </c>
      <c r="BT75" s="509">
        <f t="shared" si="161"/>
        <v>0</v>
      </c>
      <c r="BU75" s="466">
        <f t="shared" si="126"/>
        <v>0</v>
      </c>
    </row>
    <row r="76" spans="1:73" ht="12.6" customHeight="1">
      <c r="A76" s="254" t="s">
        <v>121</v>
      </c>
      <c r="B76" s="129"/>
      <c r="C76" s="257"/>
      <c r="D76" s="129"/>
      <c r="E76" s="129"/>
      <c r="F76" s="129"/>
      <c r="G76" s="509">
        <f t="shared" si="138"/>
        <v>0</v>
      </c>
      <c r="H76" s="129"/>
      <c r="I76" s="129"/>
      <c r="J76" s="129"/>
      <c r="K76" s="509">
        <f t="shared" si="139"/>
        <v>0</v>
      </c>
      <c r="L76" s="129"/>
      <c r="M76" s="129"/>
      <c r="N76" s="129"/>
      <c r="O76" s="509">
        <f t="shared" si="140"/>
        <v>0</v>
      </c>
      <c r="P76" s="129"/>
      <c r="Q76" s="129"/>
      <c r="R76" s="129"/>
      <c r="S76" s="509">
        <f t="shared" si="141"/>
        <v>0</v>
      </c>
      <c r="T76" s="129"/>
      <c r="U76" s="129"/>
      <c r="V76" s="129"/>
      <c r="W76" s="509">
        <f t="shared" si="142"/>
        <v>0</v>
      </c>
      <c r="X76" s="129"/>
      <c r="Y76" s="129"/>
      <c r="Z76" s="129"/>
      <c r="AA76" s="509">
        <f t="shared" si="143"/>
        <v>0</v>
      </c>
      <c r="AB76" s="129"/>
      <c r="AC76" s="129"/>
      <c r="AD76" s="129"/>
      <c r="AE76" s="509">
        <f t="shared" si="144"/>
        <v>0</v>
      </c>
      <c r="AF76" s="129"/>
      <c r="AG76" s="129"/>
      <c r="AH76" s="129"/>
      <c r="AI76" s="509">
        <f t="shared" si="145"/>
        <v>0</v>
      </c>
      <c r="AJ76" s="129"/>
      <c r="AK76" s="129"/>
      <c r="AL76" s="129"/>
      <c r="AM76" s="509">
        <f t="shared" si="146"/>
        <v>0</v>
      </c>
      <c r="AN76" s="129"/>
      <c r="AO76" s="129"/>
      <c r="AP76" s="129"/>
      <c r="AQ76" s="509">
        <f t="shared" si="147"/>
        <v>0</v>
      </c>
      <c r="AR76" s="129"/>
      <c r="AS76" s="129"/>
      <c r="AT76" s="129"/>
      <c r="AU76" s="509">
        <f t="shared" si="148"/>
        <v>0</v>
      </c>
      <c r="AV76" s="129"/>
      <c r="AW76" s="129"/>
      <c r="AX76" s="129"/>
      <c r="AY76" s="509">
        <f t="shared" si="149"/>
        <v>0</v>
      </c>
      <c r="AZ76" s="23">
        <f t="shared" si="150"/>
        <v>0</v>
      </c>
      <c r="BA76" s="23">
        <f t="shared" si="150"/>
        <v>0</v>
      </c>
      <c r="BB76" s="509">
        <f t="shared" si="151"/>
        <v>0</v>
      </c>
      <c r="BC76" s="23">
        <f t="shared" si="152"/>
        <v>0</v>
      </c>
      <c r="BD76" s="257">
        <f t="shared" si="152"/>
        <v>0</v>
      </c>
      <c r="BE76" s="257">
        <f t="shared" si="153"/>
        <v>0</v>
      </c>
      <c r="BF76" s="257">
        <f t="shared" si="154"/>
        <v>0</v>
      </c>
      <c r="BG76" s="23">
        <f t="shared" si="154"/>
        <v>0</v>
      </c>
      <c r="BH76" s="257">
        <f t="shared" si="155"/>
        <v>0</v>
      </c>
      <c r="BI76" s="23">
        <f t="shared" si="156"/>
        <v>0</v>
      </c>
      <c r="BJ76" s="23">
        <f t="shared" si="156"/>
        <v>0</v>
      </c>
      <c r="BK76" s="257">
        <f t="shared" si="157"/>
        <v>0</v>
      </c>
      <c r="BL76" s="23">
        <f t="shared" si="158"/>
        <v>0</v>
      </c>
      <c r="BM76" s="23">
        <f t="shared" si="158"/>
        <v>0</v>
      </c>
      <c r="BN76" s="257">
        <f t="shared" si="158"/>
        <v>0</v>
      </c>
      <c r="BO76" s="466">
        <f t="shared" si="159"/>
        <v>0</v>
      </c>
      <c r="BP76" s="472"/>
      <c r="BQ76" s="23">
        <f t="shared" si="160"/>
        <v>0</v>
      </c>
      <c r="BR76" s="23" t="e">
        <f>E76+I76+M76+Q76+U76+Y76+#REF!</f>
        <v>#REF!</v>
      </c>
      <c r="BS76" s="466">
        <f t="shared" si="136"/>
        <v>0</v>
      </c>
      <c r="BT76" s="509">
        <f t="shared" si="161"/>
        <v>0</v>
      </c>
      <c r="BU76" s="466">
        <f t="shared" si="126"/>
        <v>0</v>
      </c>
    </row>
    <row r="77" spans="1:73" ht="12.6" customHeight="1">
      <c r="A77" s="254" t="s">
        <v>122</v>
      </c>
      <c r="B77" s="129">
        <f>D77+H77+L77+P77+T77+X77+AB77+AF77+AJ77+AN77+AR77+AV77</f>
        <v>0</v>
      </c>
      <c r="C77" s="257"/>
      <c r="D77" s="129"/>
      <c r="E77" s="129"/>
      <c r="F77" s="129"/>
      <c r="G77" s="509">
        <f t="shared" si="138"/>
        <v>0</v>
      </c>
      <c r="H77" s="129"/>
      <c r="I77" s="129"/>
      <c r="J77" s="129"/>
      <c r="K77" s="509">
        <f t="shared" si="139"/>
        <v>0</v>
      </c>
      <c r="L77" s="129"/>
      <c r="M77" s="129"/>
      <c r="N77" s="129"/>
      <c r="O77" s="509">
        <f t="shared" si="140"/>
        <v>0</v>
      </c>
      <c r="P77" s="129"/>
      <c r="Q77" s="129"/>
      <c r="R77" s="129"/>
      <c r="S77" s="509">
        <f t="shared" si="141"/>
        <v>0</v>
      </c>
      <c r="T77" s="129"/>
      <c r="U77" s="129"/>
      <c r="V77" s="129">
        <f>(T77*U77)/10^6</f>
        <v>0</v>
      </c>
      <c r="W77" s="509">
        <f t="shared" si="142"/>
        <v>0</v>
      </c>
      <c r="X77" s="129"/>
      <c r="Y77" s="129"/>
      <c r="Z77" s="129"/>
      <c r="AA77" s="509">
        <f t="shared" si="143"/>
        <v>0</v>
      </c>
      <c r="AB77" s="129"/>
      <c r="AC77" s="129"/>
      <c r="AD77" s="129"/>
      <c r="AE77" s="509">
        <f t="shared" si="144"/>
        <v>0</v>
      </c>
      <c r="AF77" s="129"/>
      <c r="AG77" s="129"/>
      <c r="AH77" s="129"/>
      <c r="AI77" s="509">
        <f t="shared" si="145"/>
        <v>0</v>
      </c>
      <c r="AJ77" s="129"/>
      <c r="AK77" s="129"/>
      <c r="AL77" s="129"/>
      <c r="AM77" s="509">
        <f t="shared" si="146"/>
        <v>0</v>
      </c>
      <c r="AN77" s="129"/>
      <c r="AO77" s="129"/>
      <c r="AP77" s="129"/>
      <c r="AQ77" s="509">
        <f t="shared" si="147"/>
        <v>0</v>
      </c>
      <c r="AR77" s="129"/>
      <c r="AS77" s="129"/>
      <c r="AT77" s="129"/>
      <c r="AU77" s="509">
        <f t="shared" si="148"/>
        <v>0</v>
      </c>
      <c r="AV77" s="129"/>
      <c r="AW77" s="129"/>
      <c r="AX77" s="129"/>
      <c r="AY77" s="509">
        <f t="shared" si="149"/>
        <v>0</v>
      </c>
      <c r="AZ77" s="23">
        <f t="shared" si="150"/>
        <v>0</v>
      </c>
      <c r="BA77" s="23">
        <f t="shared" si="150"/>
        <v>0</v>
      </c>
      <c r="BB77" s="509">
        <f t="shared" si="151"/>
        <v>0</v>
      </c>
      <c r="BC77" s="23">
        <f t="shared" si="152"/>
        <v>0</v>
      </c>
      <c r="BD77" s="257">
        <f t="shared" si="152"/>
        <v>0</v>
      </c>
      <c r="BE77" s="257">
        <f t="shared" si="153"/>
        <v>0</v>
      </c>
      <c r="BF77" s="257">
        <f t="shared" si="154"/>
        <v>0</v>
      </c>
      <c r="BG77" s="23">
        <f t="shared" si="154"/>
        <v>0</v>
      </c>
      <c r="BH77" s="257">
        <f t="shared" si="155"/>
        <v>0</v>
      </c>
      <c r="BI77" s="23">
        <f t="shared" si="156"/>
        <v>0</v>
      </c>
      <c r="BJ77" s="23">
        <f t="shared" si="156"/>
        <v>0</v>
      </c>
      <c r="BK77" s="257">
        <f t="shared" si="157"/>
        <v>0</v>
      </c>
      <c r="BL77" s="23">
        <f t="shared" si="158"/>
        <v>0</v>
      </c>
      <c r="BM77" s="23">
        <f t="shared" si="158"/>
        <v>0</v>
      </c>
      <c r="BN77" s="257">
        <f t="shared" si="158"/>
        <v>0</v>
      </c>
      <c r="BO77" s="466">
        <f t="shared" si="159"/>
        <v>0</v>
      </c>
      <c r="BP77" s="472"/>
      <c r="BQ77" s="23">
        <f t="shared" si="160"/>
        <v>0</v>
      </c>
      <c r="BR77" s="23" t="e">
        <f>E77+I77+M77+Q77+U77+Y77+#REF!</f>
        <v>#REF!</v>
      </c>
      <c r="BS77" s="466">
        <f t="shared" si="136"/>
        <v>0</v>
      </c>
      <c r="BT77" s="509">
        <f t="shared" si="161"/>
        <v>0</v>
      </c>
      <c r="BU77" s="466">
        <f t="shared" si="126"/>
        <v>0</v>
      </c>
    </row>
    <row r="78" spans="1:73" ht="12.6" customHeight="1">
      <c r="A78" s="503" t="s">
        <v>123</v>
      </c>
      <c r="B78" s="129">
        <f>D78+H78+L78+P78+T78+X78+AB78+AF78+AJ78+AN78+AR78+AV78</f>
        <v>0</v>
      </c>
      <c r="C78" s="257"/>
      <c r="D78" s="129"/>
      <c r="E78" s="129"/>
      <c r="F78" s="129"/>
      <c r="G78" s="509">
        <f t="shared" si="138"/>
        <v>0</v>
      </c>
      <c r="H78" s="129"/>
      <c r="I78" s="129"/>
      <c r="J78" s="129"/>
      <c r="K78" s="509">
        <f t="shared" si="139"/>
        <v>0</v>
      </c>
      <c r="L78" s="129"/>
      <c r="M78" s="129"/>
      <c r="N78" s="129"/>
      <c r="O78" s="509">
        <f t="shared" si="140"/>
        <v>0</v>
      </c>
      <c r="P78" s="129"/>
      <c r="Q78" s="129"/>
      <c r="R78" s="129"/>
      <c r="S78" s="509">
        <f t="shared" si="141"/>
        <v>0</v>
      </c>
      <c r="T78" s="129"/>
      <c r="U78" s="129"/>
      <c r="V78" s="129">
        <f>(T78*U78)/10^6</f>
        <v>0</v>
      </c>
      <c r="W78" s="509">
        <f t="shared" si="142"/>
        <v>0</v>
      </c>
      <c r="X78" s="129"/>
      <c r="Y78" s="129"/>
      <c r="Z78" s="129"/>
      <c r="AA78" s="509">
        <f t="shared" si="143"/>
        <v>0</v>
      </c>
      <c r="AB78" s="129"/>
      <c r="AC78" s="129"/>
      <c r="AD78" s="129"/>
      <c r="AE78" s="509">
        <f t="shared" si="144"/>
        <v>0</v>
      </c>
      <c r="AF78" s="129"/>
      <c r="AG78" s="129"/>
      <c r="AH78" s="129"/>
      <c r="AI78" s="509">
        <f t="shared" si="145"/>
        <v>0</v>
      </c>
      <c r="AJ78" s="129"/>
      <c r="AK78" s="129"/>
      <c r="AL78" s="129"/>
      <c r="AM78" s="509">
        <f t="shared" si="146"/>
        <v>0</v>
      </c>
      <c r="AN78" s="129"/>
      <c r="AO78" s="129"/>
      <c r="AP78" s="129"/>
      <c r="AQ78" s="509">
        <f t="shared" si="147"/>
        <v>0</v>
      </c>
      <c r="AR78" s="129"/>
      <c r="AS78" s="129"/>
      <c r="AT78" s="129"/>
      <c r="AU78" s="509">
        <f t="shared" si="148"/>
        <v>0</v>
      </c>
      <c r="AV78" s="129"/>
      <c r="AW78" s="129"/>
      <c r="AX78" s="129"/>
      <c r="AY78" s="509">
        <f t="shared" si="149"/>
        <v>0</v>
      </c>
      <c r="AZ78" s="23">
        <f t="shared" si="150"/>
        <v>0</v>
      </c>
      <c r="BA78" s="23">
        <f t="shared" si="150"/>
        <v>0</v>
      </c>
      <c r="BB78" s="509">
        <f t="shared" si="151"/>
        <v>0</v>
      </c>
      <c r="BC78" s="23">
        <f t="shared" si="152"/>
        <v>0</v>
      </c>
      <c r="BD78" s="257">
        <f t="shared" si="152"/>
        <v>0</v>
      </c>
      <c r="BE78" s="257">
        <f t="shared" si="153"/>
        <v>0</v>
      </c>
      <c r="BF78" s="257">
        <f t="shared" si="154"/>
        <v>0</v>
      </c>
      <c r="BG78" s="23">
        <f t="shared" si="154"/>
        <v>0</v>
      </c>
      <c r="BH78" s="257">
        <f t="shared" si="155"/>
        <v>0</v>
      </c>
      <c r="BI78" s="23">
        <f t="shared" si="156"/>
        <v>0</v>
      </c>
      <c r="BJ78" s="23">
        <f t="shared" si="156"/>
        <v>0</v>
      </c>
      <c r="BK78" s="257">
        <f t="shared" si="157"/>
        <v>0</v>
      </c>
      <c r="BL78" s="23">
        <f t="shared" si="158"/>
        <v>0</v>
      </c>
      <c r="BM78" s="23">
        <f t="shared" si="158"/>
        <v>0</v>
      </c>
      <c r="BN78" s="257">
        <f t="shared" si="158"/>
        <v>0</v>
      </c>
      <c r="BO78" s="466">
        <f t="shared" si="159"/>
        <v>0</v>
      </c>
      <c r="BP78" s="472"/>
      <c r="BQ78" s="23">
        <f t="shared" si="160"/>
        <v>0</v>
      </c>
      <c r="BR78" s="23" t="e">
        <f>E78+I78+M78+Q78+U78+Y78+#REF!</f>
        <v>#REF!</v>
      </c>
      <c r="BS78" s="466">
        <f t="shared" si="136"/>
        <v>0</v>
      </c>
      <c r="BT78" s="509">
        <f t="shared" si="161"/>
        <v>0</v>
      </c>
      <c r="BU78" s="466">
        <f t="shared" si="126"/>
        <v>0</v>
      </c>
    </row>
    <row r="79" spans="1:73" ht="12.6" customHeight="1">
      <c r="A79" s="482" t="s">
        <v>108</v>
      </c>
      <c r="B79" s="457">
        <f>SUM(B73:B78)</f>
        <v>0</v>
      </c>
      <c r="C79" s="458"/>
      <c r="D79" s="457">
        <f>SUM(D73:D78)</f>
        <v>0</v>
      </c>
      <c r="E79" s="457">
        <f>SUM(E73:E78)</f>
        <v>10</v>
      </c>
      <c r="F79" s="457"/>
      <c r="G79" s="511">
        <f>SUM(G73:G78)</f>
        <v>0.12496359999999999</v>
      </c>
      <c r="H79" s="457">
        <f>SUM(H73:H78)</f>
        <v>0</v>
      </c>
      <c r="I79" s="457"/>
      <c r="J79" s="457"/>
      <c r="K79" s="511">
        <f>SUM(K73:K78)</f>
        <v>0</v>
      </c>
      <c r="L79" s="457">
        <f>SUM(L73:L78)</f>
        <v>0</v>
      </c>
      <c r="M79" s="457">
        <f>SUM(M73:M78)</f>
        <v>12</v>
      </c>
      <c r="N79" s="457"/>
      <c r="O79" s="511">
        <f>SUM(O73:O78)</f>
        <v>0.160220592</v>
      </c>
      <c r="P79" s="457">
        <f>SUM(P73:P78)</f>
        <v>0</v>
      </c>
      <c r="Q79" s="457">
        <f>SUM(Q73:Q78)</f>
        <v>0</v>
      </c>
      <c r="R79" s="457"/>
      <c r="S79" s="511">
        <f>SUM(S73:S78)</f>
        <v>0</v>
      </c>
      <c r="T79" s="457">
        <f>SUM(T73:T78)</f>
        <v>0</v>
      </c>
      <c r="U79" s="457">
        <f>IF(ISERROR(V79/T79*1000000),0,(V79/T79*1000000))</f>
        <v>0</v>
      </c>
      <c r="V79" s="457">
        <f t="shared" ref="V79:AB79" si="162">SUM(V73:V78)</f>
        <v>0</v>
      </c>
      <c r="W79" s="511">
        <f t="shared" si="162"/>
        <v>0</v>
      </c>
      <c r="X79" s="457">
        <f t="shared" si="162"/>
        <v>0</v>
      </c>
      <c r="Y79" s="457">
        <f t="shared" si="162"/>
        <v>12</v>
      </c>
      <c r="Z79" s="457">
        <f t="shared" si="162"/>
        <v>2000</v>
      </c>
      <c r="AA79" s="511">
        <f t="shared" ref="AA79" si="163">SUM(AA73:AA78)</f>
        <v>0.160056</v>
      </c>
      <c r="AB79" s="457">
        <f t="shared" si="162"/>
        <v>0</v>
      </c>
      <c r="AC79" s="457">
        <f t="shared" ref="AC79:AE79" si="164">SUM(AC73:AC78)</f>
        <v>13</v>
      </c>
      <c r="AD79" s="457">
        <f t="shared" si="164"/>
        <v>1965</v>
      </c>
      <c r="AE79" s="511">
        <f t="shared" si="164"/>
        <v>0.17045094453266363</v>
      </c>
      <c r="AF79" s="457">
        <f>SUM(AF73:AF78)</f>
        <v>0</v>
      </c>
      <c r="AG79" s="457">
        <f t="shared" ref="AG79:AI79" si="165">SUM(AG73:AG78)</f>
        <v>2</v>
      </c>
      <c r="AH79" s="457">
        <f t="shared" si="165"/>
        <v>1760</v>
      </c>
      <c r="AI79" s="511">
        <f t="shared" si="165"/>
        <v>2.3788159999999999E-2</v>
      </c>
      <c r="AJ79" s="457">
        <f>SUM(AJ73:AJ78)</f>
        <v>0</v>
      </c>
      <c r="AK79" s="457">
        <f t="shared" ref="AK79:AM79" si="166">SUM(AK73:AK78)</f>
        <v>0</v>
      </c>
      <c r="AL79" s="457">
        <f t="shared" si="166"/>
        <v>0</v>
      </c>
      <c r="AM79" s="511">
        <f t="shared" si="166"/>
        <v>0</v>
      </c>
      <c r="AN79" s="457">
        <f>SUM(AN73:AN78)</f>
        <v>0</v>
      </c>
      <c r="AO79" s="457">
        <f t="shared" ref="AO79:AQ79" si="167">SUM(AO73:AO78)</f>
        <v>0</v>
      </c>
      <c r="AP79" s="457">
        <f t="shared" si="167"/>
        <v>0</v>
      </c>
      <c r="AQ79" s="511">
        <f t="shared" si="167"/>
        <v>0</v>
      </c>
      <c r="AR79" s="457">
        <f>SUM(AR73:AR78)</f>
        <v>0</v>
      </c>
      <c r="AS79" s="457">
        <f t="shared" ref="AS79:AU79" si="168">SUM(AS73:AS78)</f>
        <v>26</v>
      </c>
      <c r="AT79" s="457">
        <f t="shared" si="168"/>
        <v>2247</v>
      </c>
      <c r="AU79" s="511">
        <f t="shared" si="168"/>
        <v>0.39148582200000004</v>
      </c>
      <c r="AV79" s="457">
        <f>SUM(AV73:AV78)</f>
        <v>0</v>
      </c>
      <c r="AW79" s="457">
        <f t="shared" ref="AW79:AY79" si="169">SUM(AW73:AW78)</f>
        <v>0</v>
      </c>
      <c r="AX79" s="457">
        <f t="shared" si="169"/>
        <v>0</v>
      </c>
      <c r="AY79" s="511">
        <f t="shared" si="169"/>
        <v>0</v>
      </c>
      <c r="AZ79" s="457">
        <f t="shared" ref="AZ79:BN79" si="170">SUM(AZ73:AZ78)</f>
        <v>0</v>
      </c>
      <c r="BA79" s="457">
        <f t="shared" si="170"/>
        <v>22</v>
      </c>
      <c r="BB79" s="457">
        <f t="shared" si="170"/>
        <v>0.285184192</v>
      </c>
      <c r="BC79" s="457">
        <f t="shared" si="170"/>
        <v>0</v>
      </c>
      <c r="BD79" s="457">
        <f t="shared" si="170"/>
        <v>12</v>
      </c>
      <c r="BE79" s="457">
        <f t="shared" si="170"/>
        <v>0.160056</v>
      </c>
      <c r="BF79" s="457">
        <f t="shared" si="170"/>
        <v>0</v>
      </c>
      <c r="BG79" s="457">
        <f t="shared" si="170"/>
        <v>15</v>
      </c>
      <c r="BH79" s="457">
        <f t="shared" si="170"/>
        <v>0.19423910453266363</v>
      </c>
      <c r="BI79" s="457">
        <f t="shared" si="170"/>
        <v>0</v>
      </c>
      <c r="BJ79" s="457">
        <f t="shared" si="170"/>
        <v>26</v>
      </c>
      <c r="BK79" s="457">
        <f t="shared" si="170"/>
        <v>0.39148582200000004</v>
      </c>
      <c r="BL79" s="457">
        <f t="shared" si="170"/>
        <v>0</v>
      </c>
      <c r="BM79" s="457">
        <f t="shared" si="170"/>
        <v>75</v>
      </c>
      <c r="BN79" s="457">
        <f t="shared" si="170"/>
        <v>1.0309651185326636</v>
      </c>
      <c r="BO79" s="525">
        <f>IFERROR(BM79/BL79,0)</f>
        <v>0</v>
      </c>
      <c r="BP79" s="472"/>
      <c r="BQ79" s="457">
        <f t="shared" ref="BQ79:BR79" si="171">SUM(BQ73:BQ78)</f>
        <v>0</v>
      </c>
      <c r="BR79" s="458" t="e">
        <f t="shared" si="171"/>
        <v>#REF!</v>
      </c>
      <c r="BS79" s="525">
        <f t="shared" si="136"/>
        <v>0</v>
      </c>
      <c r="BT79" s="530">
        <f t="shared" ref="BT79" si="172">SUM(BT73:BT78)</f>
        <v>0.44524019199999998</v>
      </c>
      <c r="BU79" s="525">
        <f t="shared" si="126"/>
        <v>0</v>
      </c>
    </row>
    <row r="80" spans="1:73" s="4" customFormat="1" ht="12.6" customHeight="1">
      <c r="A80" s="508"/>
      <c r="B80" s="464"/>
      <c r="C80" s="502"/>
      <c r="D80" s="464"/>
      <c r="E80" s="464"/>
      <c r="F80" s="464"/>
      <c r="G80" s="516"/>
      <c r="H80" s="464"/>
      <c r="I80" s="464"/>
      <c r="J80" s="464"/>
      <c r="K80" s="516"/>
      <c r="L80" s="464"/>
      <c r="M80" s="464"/>
      <c r="N80" s="464"/>
      <c r="O80" s="516"/>
      <c r="P80" s="464"/>
      <c r="Q80" s="464"/>
      <c r="R80" s="464"/>
      <c r="S80" s="516"/>
      <c r="T80" s="464"/>
      <c r="U80" s="464"/>
      <c r="V80" s="464"/>
      <c r="W80" s="516"/>
      <c r="X80" s="464"/>
      <c r="Y80" s="464"/>
      <c r="Z80" s="464"/>
      <c r="AA80" s="516"/>
      <c r="AB80" s="464"/>
      <c r="AC80" s="464"/>
      <c r="AD80" s="464"/>
      <c r="AE80" s="516"/>
      <c r="AF80" s="464"/>
      <c r="AG80" s="464"/>
      <c r="AH80" s="464"/>
      <c r="AI80" s="516"/>
      <c r="AJ80" s="464"/>
      <c r="AK80" s="464"/>
      <c r="AL80" s="464"/>
      <c r="AM80" s="516"/>
      <c r="AN80" s="464"/>
      <c r="AO80" s="464"/>
      <c r="AP80" s="464"/>
      <c r="AQ80" s="516"/>
      <c r="AR80" s="464"/>
      <c r="AS80" s="464"/>
      <c r="AT80" s="464"/>
      <c r="AU80" s="516"/>
      <c r="AV80" s="464"/>
      <c r="AW80" s="464"/>
      <c r="AX80" s="464"/>
      <c r="AY80" s="516"/>
      <c r="AZ80" s="474"/>
      <c r="BA80" s="474"/>
      <c r="BB80" s="516"/>
      <c r="BC80" s="474"/>
      <c r="BD80" s="474"/>
      <c r="BE80" s="474"/>
      <c r="BF80" s="474"/>
      <c r="BG80" s="474"/>
      <c r="BH80" s="474"/>
      <c r="BI80" s="474"/>
      <c r="BJ80" s="474"/>
      <c r="BK80" s="474"/>
      <c r="BL80" s="474"/>
      <c r="BM80" s="474"/>
      <c r="BN80" s="474"/>
      <c r="BO80" s="527">
        <f t="shared" si="35"/>
        <v>0</v>
      </c>
      <c r="BP80" s="477"/>
      <c r="BQ80" s="464"/>
      <c r="BR80" s="465"/>
      <c r="BS80" s="527">
        <f t="shared" si="136"/>
        <v>0</v>
      </c>
      <c r="BT80" s="532"/>
      <c r="BU80" s="527">
        <f t="shared" si="126"/>
        <v>0</v>
      </c>
    </row>
    <row r="81" spans="1:73" ht="12.6" customHeight="1">
      <c r="A81" s="482" t="s">
        <v>233</v>
      </c>
      <c r="B81" s="457">
        <f>B71+B79</f>
        <v>5274</v>
      </c>
      <c r="C81" s="457"/>
      <c r="D81" s="457">
        <f t="shared" ref="D81:E81" si="173">D24+D54+D61+D65+D79</f>
        <v>279</v>
      </c>
      <c r="E81" s="457">
        <f t="shared" si="173"/>
        <v>228</v>
      </c>
      <c r="F81" s="483"/>
      <c r="G81" s="511">
        <f t="shared" ref="G81" si="174">G24+G54+G61+G65+G79</f>
        <v>1.4693407153571429</v>
      </c>
      <c r="H81" s="457">
        <f t="shared" ref="H81:BR81" si="175">H24+H54+H61+H65+H79</f>
        <v>394</v>
      </c>
      <c r="I81" s="457">
        <f t="shared" si="175"/>
        <v>297</v>
      </c>
      <c r="J81" s="457"/>
      <c r="K81" s="511">
        <f t="shared" ref="K81" si="176">K24+K54+K61+K65+K79</f>
        <v>1.4970316271000002</v>
      </c>
      <c r="L81" s="457">
        <f t="shared" si="175"/>
        <v>504</v>
      </c>
      <c r="M81" s="457">
        <f t="shared" si="175"/>
        <v>189</v>
      </c>
      <c r="N81" s="457"/>
      <c r="O81" s="511">
        <f t="shared" ref="O81" si="177">O24+O54+O61+O65+O79</f>
        <v>0.99507658240000008</v>
      </c>
      <c r="P81" s="457">
        <f t="shared" si="175"/>
        <v>412</v>
      </c>
      <c r="Q81" s="457">
        <f t="shared" ref="Q81" si="178">Q24+Q54+Q61+Q65+Q79</f>
        <v>920</v>
      </c>
      <c r="R81" s="457"/>
      <c r="S81" s="511">
        <f t="shared" ref="S81" si="179">S24+S54+S61+S65+S79</f>
        <v>7.123737600000001</v>
      </c>
      <c r="T81" s="457">
        <f t="shared" si="175"/>
        <v>548</v>
      </c>
      <c r="U81" s="457">
        <f t="shared" si="175"/>
        <v>111</v>
      </c>
      <c r="V81" s="457">
        <f t="shared" si="175"/>
        <v>0</v>
      </c>
      <c r="W81" s="511">
        <f t="shared" si="175"/>
        <v>0.64484243939999997</v>
      </c>
      <c r="X81" s="457">
        <f t="shared" si="175"/>
        <v>432</v>
      </c>
      <c r="Y81" s="457">
        <f t="shared" si="175"/>
        <v>266</v>
      </c>
      <c r="Z81" s="457">
        <f t="shared" si="175"/>
        <v>4086</v>
      </c>
      <c r="AA81" s="511">
        <f t="shared" ref="AA81" si="180">AA24+AA54+AA61+AA65+AA79</f>
        <v>1.8130790223000002</v>
      </c>
      <c r="AB81" s="457">
        <f t="shared" si="175"/>
        <v>494</v>
      </c>
      <c r="AC81" s="457">
        <f t="shared" ref="AC81:AE81" si="181">AC24+AC54+AC61+AC65+AC79</f>
        <v>321</v>
      </c>
      <c r="AD81" s="457">
        <f t="shared" si="181"/>
        <v>1965</v>
      </c>
      <c r="AE81" s="511">
        <f t="shared" si="181"/>
        <v>2.1069734223079726</v>
      </c>
      <c r="AF81" s="457">
        <f t="shared" si="175"/>
        <v>424</v>
      </c>
      <c r="AG81" s="457">
        <f t="shared" si="175"/>
        <v>374</v>
      </c>
      <c r="AH81" s="457">
        <f t="shared" si="175"/>
        <v>7825</v>
      </c>
      <c r="AI81" s="511">
        <f t="shared" si="175"/>
        <v>1.8940783388768418</v>
      </c>
      <c r="AJ81" s="457">
        <f t="shared" si="175"/>
        <v>447</v>
      </c>
      <c r="AK81" s="457">
        <f t="shared" ref="AK81:AM81" si="182">AK24+AK54+AK61+AK65+AK79</f>
        <v>327</v>
      </c>
      <c r="AL81" s="457">
        <f t="shared" si="182"/>
        <v>8143</v>
      </c>
      <c r="AM81" s="511">
        <f t="shared" si="182"/>
        <v>4.0435541570970059</v>
      </c>
      <c r="AN81" s="457">
        <f t="shared" si="175"/>
        <v>464</v>
      </c>
      <c r="AO81" s="457">
        <f t="shared" si="175"/>
        <v>219</v>
      </c>
      <c r="AP81" s="457">
        <f t="shared" si="175"/>
        <v>5442</v>
      </c>
      <c r="AQ81" s="511">
        <f t="shared" si="175"/>
        <v>2.8465088794181641</v>
      </c>
      <c r="AR81" s="457">
        <f t="shared" si="175"/>
        <v>434</v>
      </c>
      <c r="AS81" s="457">
        <f t="shared" ref="AS81:AU81" si="183">AS24+AS54+AS61+AS65+AS79</f>
        <v>285</v>
      </c>
      <c r="AT81" s="457">
        <f t="shared" si="183"/>
        <v>8483</v>
      </c>
      <c r="AU81" s="511">
        <f t="shared" si="183"/>
        <v>2.2073511572116353</v>
      </c>
      <c r="AV81" s="457">
        <f t="shared" si="175"/>
        <v>442</v>
      </c>
      <c r="AW81" s="457">
        <f t="shared" si="175"/>
        <v>0</v>
      </c>
      <c r="AX81" s="457">
        <f t="shared" si="175"/>
        <v>0</v>
      </c>
      <c r="AY81" s="511">
        <f t="shared" si="175"/>
        <v>0</v>
      </c>
      <c r="AZ81" s="458">
        <f t="shared" ref="AZ81:BA81" si="184">+D81+H81+L81</f>
        <v>1177</v>
      </c>
      <c r="BA81" s="458">
        <f t="shared" si="184"/>
        <v>714</v>
      </c>
      <c r="BB81" s="511">
        <f>+G81+K81+O81</f>
        <v>3.9614489248571436</v>
      </c>
      <c r="BC81" s="458">
        <f>+P81+T81+X81</f>
        <v>1392</v>
      </c>
      <c r="BD81" s="458">
        <f>+Q81+U81+Y81</f>
        <v>1297</v>
      </c>
      <c r="BE81" s="458">
        <f>S81+W81+AA81</f>
        <v>9.5816590617000017</v>
      </c>
      <c r="BF81" s="458">
        <f>AB81+AF81+AJ81</f>
        <v>1365</v>
      </c>
      <c r="BG81" s="458">
        <f>AC81+AG81+AK81</f>
        <v>1022</v>
      </c>
      <c r="BH81" s="458">
        <f>AE81+AI81+AM81</f>
        <v>8.044605918281821</v>
      </c>
      <c r="BI81" s="458">
        <f>+AN81+AR81+AV81</f>
        <v>1340</v>
      </c>
      <c r="BJ81" s="458">
        <f>+AO81+AS81+AW81</f>
        <v>504</v>
      </c>
      <c r="BK81" s="458">
        <f>AQ81+AU81+AY81</f>
        <v>5.0538600366297999</v>
      </c>
      <c r="BL81" s="458">
        <f>AZ81+BC81+BF81+BI81</f>
        <v>5274</v>
      </c>
      <c r="BM81" s="458">
        <f t="shared" ref="BM81:BN81" si="185">BA81+BD81+BG81+BJ81</f>
        <v>3537</v>
      </c>
      <c r="BN81" s="458">
        <f t="shared" si="185"/>
        <v>26.641573941468767</v>
      </c>
      <c r="BO81" s="525">
        <f>IFERROR(BM81/BL81,0)</f>
        <v>0.67064846416382251</v>
      </c>
      <c r="BP81" s="472"/>
      <c r="BQ81" s="457">
        <f t="shared" si="175"/>
        <v>3063</v>
      </c>
      <c r="BR81" s="457" t="e">
        <f t="shared" si="175"/>
        <v>#REF!</v>
      </c>
      <c r="BS81" s="525">
        <f t="shared" si="136"/>
        <v>0</v>
      </c>
      <c r="BT81" s="530">
        <f t="shared" ref="BT81" si="186">BT24+BT54+BT61+BT65+BT79</f>
        <v>13.543107986557144</v>
      </c>
      <c r="BU81" s="525">
        <f t="shared" si="126"/>
        <v>0</v>
      </c>
    </row>
    <row r="82" spans="1:73" ht="12.75" customHeight="1">
      <c r="BJ82" s="21"/>
      <c r="BK82" s="21"/>
      <c r="BL82" s="21"/>
      <c r="BM82" s="21"/>
      <c r="BN82" s="21"/>
    </row>
    <row r="83" spans="1:73" ht="12.6" customHeight="1">
      <c r="A83" s="482" t="s">
        <v>241</v>
      </c>
      <c r="B83" s="457"/>
      <c r="C83" s="457"/>
      <c r="D83" s="457"/>
      <c r="E83" s="457"/>
      <c r="F83" s="457"/>
      <c r="G83" s="511">
        <f>SUM(G6:G14)+SUM(G16:G20)+G31+G33+G39+G40+G47+G41</f>
        <v>0.4346287184</v>
      </c>
      <c r="H83" s="457"/>
      <c r="I83" s="457"/>
      <c r="J83" s="457"/>
      <c r="K83" s="511">
        <f>SUM(K6:K14)+SUM(K16:K20)+K31+K33+K39+K40+K47+K41</f>
        <v>0.70296181279999992</v>
      </c>
      <c r="L83" s="457"/>
      <c r="M83" s="457"/>
      <c r="N83" s="457"/>
      <c r="O83" s="511">
        <f>SUM(O6:O14)+SUM(O16:O20)+O31+O33+O39+O40+O47+O41</f>
        <v>0.13015181439999998</v>
      </c>
      <c r="P83" s="457"/>
      <c r="Q83" s="457"/>
      <c r="R83" s="457"/>
      <c r="S83" s="511">
        <f>SUM(S6:S14)+SUM(S16:S20)+S31+S33+S39+S40+S47+S41</f>
        <v>1.9460582400000004</v>
      </c>
      <c r="T83" s="457"/>
      <c r="U83" s="457"/>
      <c r="V83" s="457"/>
      <c r="W83" s="511">
        <f>SUM(W6:W14)+SUM(W16:W20)+W31+W33+W39+W40+W47+W41</f>
        <v>0.39984651300000001</v>
      </c>
      <c r="X83" s="457"/>
      <c r="Y83" s="457"/>
      <c r="Z83" s="457"/>
      <c r="AA83" s="511">
        <f>SUM(AA6:AA14)+SUM(AA16:AA20)+AA31+AA33+AA39+AA40+AA47+AA41</f>
        <v>0.53870848199999999</v>
      </c>
      <c r="AB83" s="457"/>
      <c r="AC83" s="457"/>
      <c r="AD83" s="457"/>
      <c r="AE83" s="511">
        <f>SUM(AE6:AE14)+SUM(AE16:AE20)+AE31+AE33+AE39+AE40+AE47+AE41</f>
        <v>0.77099174699999995</v>
      </c>
      <c r="AF83" s="458"/>
      <c r="AG83" s="457"/>
      <c r="AH83" s="457"/>
      <c r="AI83" s="511">
        <f>SUM(AI6:AI14)+SUM(AI16:AI20)+AI31+AI33+AI39+AI40+AI47+AI41</f>
        <v>0.7484958060000001</v>
      </c>
      <c r="AJ83" s="458"/>
      <c r="AK83" s="457"/>
      <c r="AL83" s="457"/>
      <c r="AM83" s="511">
        <f>SUM(AM6:AM14)+SUM(AM16:AM20)+AM31+AM33+AM39+AM40+AM47+AM41</f>
        <v>0.27167897858874779</v>
      </c>
      <c r="AN83" s="458"/>
      <c r="AO83" s="457"/>
      <c r="AP83" s="457"/>
      <c r="AQ83" s="511">
        <f>SUM(AQ6:AQ14)+SUM(AQ16:AQ20)+AQ31+AQ33+AQ39+AQ40+AQ47+AQ41</f>
        <v>0.25823945133395998</v>
      </c>
      <c r="AR83" s="458">
        <f t="shared" ref="AR83:AV85" si="187">AR26+AR56+AR63+AR67+AR81</f>
        <v>868</v>
      </c>
      <c r="AS83" s="457"/>
      <c r="AT83" s="457"/>
      <c r="AU83" s="511">
        <f>SUM(AU6:AU14)+SUM(AU16:AU20)+AU31+AU33+AU39+AU40+AU47+AU41</f>
        <v>0.90911064097717742</v>
      </c>
      <c r="AV83" s="458">
        <f t="shared" si="187"/>
        <v>884</v>
      </c>
      <c r="AW83" s="457"/>
      <c r="AX83" s="457"/>
      <c r="AY83" s="511">
        <f>SUM(AY6:AY14)+SUM(AY16:AY20)+AY31+AY33+AY39+AY40+AY47+AY41</f>
        <v>0</v>
      </c>
      <c r="AZ83" s="458">
        <f t="shared" ref="AZ83:BA85" si="188">+D83+H83+L83</f>
        <v>0</v>
      </c>
      <c r="BA83" s="458">
        <f t="shared" si="188"/>
        <v>0</v>
      </c>
      <c r="BB83" s="511">
        <f t="shared" ref="BB83:BB85" si="189">+G83+K83+O83</f>
        <v>1.2677423455999999</v>
      </c>
      <c r="BC83" s="458">
        <f t="shared" ref="BC83:BD85" si="190">+P83+T83+X83</f>
        <v>0</v>
      </c>
      <c r="BD83" s="458">
        <f t="shared" si="190"/>
        <v>0</v>
      </c>
      <c r="BE83" s="458">
        <f t="shared" ref="BE83:BE85" si="191">S83+W83+AA83</f>
        <v>2.8846132350000007</v>
      </c>
      <c r="BF83" s="458">
        <f t="shared" ref="BF83:BG85" si="192">AB83+AF83+AJ83</f>
        <v>0</v>
      </c>
      <c r="BG83" s="458">
        <f t="shared" si="192"/>
        <v>0</v>
      </c>
      <c r="BH83" s="458">
        <f t="shared" ref="BH83:BH85" si="193">AE83+AI83+AM83</f>
        <v>1.7911665315887477</v>
      </c>
      <c r="BI83" s="458">
        <f t="shared" ref="BI83:BJ85" si="194">+AN83+AR83+AV83</f>
        <v>1752</v>
      </c>
      <c r="BJ83" s="458">
        <f t="shared" si="194"/>
        <v>0</v>
      </c>
      <c r="BK83" s="458">
        <f t="shared" ref="BK83:BK85" si="195">AQ83+AU83+AY83</f>
        <v>1.1673500923111373</v>
      </c>
      <c r="BL83" s="458">
        <f t="shared" ref="BL83:BN85" si="196">AZ83+BC83+BF83+BI83</f>
        <v>1752</v>
      </c>
      <c r="BM83" s="458">
        <f t="shared" si="196"/>
        <v>0</v>
      </c>
      <c r="BN83" s="458">
        <f t="shared" si="196"/>
        <v>7.1108722044998851</v>
      </c>
      <c r="BO83" s="525">
        <f t="shared" ref="BO83:BO85" si="197">IFERROR(BM83/BL83,0)</f>
        <v>0</v>
      </c>
      <c r="BQ83" s="457"/>
      <c r="BR83" s="457"/>
      <c r="BS83" s="525"/>
      <c r="BT83" s="511">
        <f>SUM(BT6:BT14)+SUM(BT16:BT20)+BT31+BT33+BT39+BT40+BT47+BT41</f>
        <v>4.1523555806000001</v>
      </c>
      <c r="BU83" s="525"/>
    </row>
    <row r="84" spans="1:73" ht="12.6" customHeight="1">
      <c r="AF84" s="21"/>
      <c r="AJ84" s="21"/>
      <c r="AN84" s="21"/>
      <c r="BJ84" s="21"/>
      <c r="BK84" s="21"/>
      <c r="BL84" s="21"/>
      <c r="BM84" s="21"/>
      <c r="BN84" s="21"/>
    </row>
    <row r="85" spans="1:73" ht="12.6" customHeight="1">
      <c r="A85" s="482" t="s">
        <v>242</v>
      </c>
      <c r="B85" s="457"/>
      <c r="C85" s="457"/>
      <c r="D85" s="457"/>
      <c r="E85" s="457"/>
      <c r="F85" s="457"/>
      <c r="G85" s="530">
        <f>G81-G83</f>
        <v>1.034711996957143</v>
      </c>
      <c r="H85" s="457"/>
      <c r="I85" s="457"/>
      <c r="J85" s="457"/>
      <c r="K85" s="530">
        <f>K81-K83</f>
        <v>0.79406981430000023</v>
      </c>
      <c r="L85" s="457"/>
      <c r="M85" s="457"/>
      <c r="N85" s="457"/>
      <c r="O85" s="530">
        <f>O81-O83</f>
        <v>0.86492476800000007</v>
      </c>
      <c r="P85" s="457"/>
      <c r="Q85" s="457"/>
      <c r="R85" s="457"/>
      <c r="S85" s="530">
        <f>S81-S83</f>
        <v>5.1776793600000008</v>
      </c>
      <c r="T85" s="457"/>
      <c r="U85" s="457"/>
      <c r="V85" s="457"/>
      <c r="W85" s="530">
        <f>W81-W83</f>
        <v>0.24499592639999995</v>
      </c>
      <c r="X85" s="457"/>
      <c r="Y85" s="457"/>
      <c r="Z85" s="457"/>
      <c r="AA85" s="530">
        <f>AA81-AA83</f>
        <v>1.2743705403000001</v>
      </c>
      <c r="AB85" s="457"/>
      <c r="AC85" s="457"/>
      <c r="AD85" s="457"/>
      <c r="AE85" s="530">
        <f>AE81-AE83</f>
        <v>1.3359816753079725</v>
      </c>
      <c r="AF85" s="458"/>
      <c r="AG85" s="457"/>
      <c r="AH85" s="457"/>
      <c r="AI85" s="530">
        <f>AI81-AI83</f>
        <v>1.1455825328768419</v>
      </c>
      <c r="AJ85" s="458"/>
      <c r="AK85" s="457"/>
      <c r="AL85" s="457"/>
      <c r="AM85" s="530">
        <f>AM81-AM83</f>
        <v>3.771875178508258</v>
      </c>
      <c r="AN85" s="458"/>
      <c r="AO85" s="457"/>
      <c r="AP85" s="457"/>
      <c r="AQ85" s="530">
        <f>AQ81-AQ83</f>
        <v>2.588269428084204</v>
      </c>
      <c r="AR85" s="458">
        <f t="shared" si="187"/>
        <v>868</v>
      </c>
      <c r="AS85" s="457"/>
      <c r="AT85" s="457"/>
      <c r="AU85" s="530">
        <f>AU81-AU83</f>
        <v>1.2982405162344579</v>
      </c>
      <c r="AV85" s="458">
        <f t="shared" si="187"/>
        <v>884</v>
      </c>
      <c r="AW85" s="457"/>
      <c r="AX85" s="457"/>
      <c r="AY85" s="530">
        <f>AY81-AY83</f>
        <v>0</v>
      </c>
      <c r="AZ85" s="458">
        <f t="shared" si="188"/>
        <v>0</v>
      </c>
      <c r="BA85" s="458">
        <f t="shared" si="188"/>
        <v>0</v>
      </c>
      <c r="BB85" s="511">
        <f t="shared" si="189"/>
        <v>2.6937065792571433</v>
      </c>
      <c r="BC85" s="458">
        <f t="shared" si="190"/>
        <v>0</v>
      </c>
      <c r="BD85" s="458">
        <f t="shared" si="190"/>
        <v>0</v>
      </c>
      <c r="BE85" s="458">
        <f t="shared" si="191"/>
        <v>6.6970458267000001</v>
      </c>
      <c r="BF85" s="458">
        <f t="shared" si="192"/>
        <v>0</v>
      </c>
      <c r="BG85" s="458">
        <f t="shared" si="192"/>
        <v>0</v>
      </c>
      <c r="BH85" s="458">
        <f t="shared" si="193"/>
        <v>6.2534393866930724</v>
      </c>
      <c r="BI85" s="458">
        <f t="shared" si="194"/>
        <v>1752</v>
      </c>
      <c r="BJ85" s="458">
        <f t="shared" si="194"/>
        <v>0</v>
      </c>
      <c r="BK85" s="458">
        <f t="shared" si="195"/>
        <v>3.8865099443186617</v>
      </c>
      <c r="BL85" s="458">
        <f t="shared" si="196"/>
        <v>1752</v>
      </c>
      <c r="BM85" s="458">
        <f t="shared" si="196"/>
        <v>0</v>
      </c>
      <c r="BN85" s="458">
        <f t="shared" si="196"/>
        <v>19.530701736968879</v>
      </c>
      <c r="BO85" s="525">
        <f t="shared" si="197"/>
        <v>0</v>
      </c>
      <c r="BQ85" s="457"/>
      <c r="BR85" s="457"/>
      <c r="BS85" s="525"/>
      <c r="BT85" s="530">
        <f>BT81-BT83</f>
        <v>9.3907524059571443</v>
      </c>
      <c r="BU85" s="525"/>
    </row>
  </sheetData>
  <mergeCells count="19">
    <mergeCell ref="AV4:AY4"/>
    <mergeCell ref="BQ4:BT4"/>
    <mergeCell ref="AZ4:BB4"/>
    <mergeCell ref="BC4:BE4"/>
    <mergeCell ref="BF4:BH4"/>
    <mergeCell ref="BI4:BK4"/>
    <mergeCell ref="BL4:BO4"/>
    <mergeCell ref="AN4:AQ4"/>
    <mergeCell ref="AR4:AU4"/>
    <mergeCell ref="T4:W4"/>
    <mergeCell ref="X4:AA4"/>
    <mergeCell ref="AB4:AE4"/>
    <mergeCell ref="AF4:AI4"/>
    <mergeCell ref="AJ4:AM4"/>
    <mergeCell ref="P4:S4"/>
    <mergeCell ref="A4:A5"/>
    <mergeCell ref="D4:G4"/>
    <mergeCell ref="H4:K4"/>
    <mergeCell ref="L4:O4"/>
  </mergeCells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B118"/>
  <sheetViews>
    <sheetView showGridLines="0" zoomScaleNormal="100" workbookViewId="0">
      <pane xSplit="7" ySplit="3" topLeftCell="H99" activePane="bottomRight" state="frozen"/>
      <selection pane="topRight" activeCell="H1" sqref="H1"/>
      <selection pane="bottomLeft" activeCell="A4" sqref="A4"/>
      <selection pane="bottomRight" activeCell="F118" sqref="F118"/>
    </sheetView>
  </sheetViews>
  <sheetFormatPr defaultRowHeight="12.75"/>
  <cols>
    <col min="1" max="1" width="12.140625" style="290" bestFit="1" customWidth="1"/>
    <col min="2" max="2" width="21.42578125" style="290" bestFit="1" customWidth="1"/>
    <col min="3" max="3" width="8.5703125" style="290" customWidth="1"/>
    <col min="4" max="4" width="15.42578125" style="290" customWidth="1"/>
    <col min="5" max="5" width="7.5703125" style="290" customWidth="1"/>
    <col min="6" max="7" width="9" style="290" customWidth="1"/>
    <col min="8" max="8" width="9" style="371" customWidth="1"/>
    <col min="9" max="9" width="12.28515625" style="290" customWidth="1"/>
    <col min="10" max="10" width="14.140625" style="290" customWidth="1"/>
    <col min="11" max="11" width="8.5703125" style="371" customWidth="1"/>
    <col min="12" max="12" width="10.5703125" style="290" customWidth="1"/>
    <col min="13" max="15" width="8.5703125" style="290" customWidth="1"/>
    <col min="16" max="18" width="8.5703125" style="371" customWidth="1"/>
    <col min="19" max="19" width="9.42578125" style="290" customWidth="1"/>
    <col min="20" max="20" width="7.7109375" style="290" customWidth="1"/>
    <col min="21" max="21" width="10.5703125" style="290" customWidth="1"/>
    <col min="22" max="22" width="7.5703125" style="290" customWidth="1"/>
    <col min="23" max="23" width="13.85546875" style="290" customWidth="1"/>
    <col min="24" max="24" width="12.85546875" style="290" customWidth="1"/>
    <col min="25" max="25" width="9.140625" style="371" customWidth="1"/>
    <col min="26" max="26" width="9.42578125" style="290" customWidth="1"/>
    <col min="27" max="27" width="7.7109375" style="290" customWidth="1"/>
    <col min="28" max="28" width="10.5703125" style="290" customWidth="1"/>
    <col min="29" max="29" width="7.5703125" style="290" customWidth="1"/>
    <col min="30" max="30" width="13.85546875" style="290" customWidth="1"/>
    <col min="31" max="31" width="12.85546875" style="290" customWidth="1"/>
    <col min="32" max="32" width="9.140625" style="290" customWidth="1"/>
    <col min="33" max="33" width="9.42578125" style="290" customWidth="1"/>
    <col min="34" max="34" width="7.7109375" style="290" customWidth="1"/>
    <col min="35" max="35" width="10.5703125" style="290" customWidth="1"/>
    <col min="36" max="36" width="5.85546875" style="290" customWidth="1"/>
    <col min="37" max="37" width="13.85546875" style="290" customWidth="1"/>
    <col min="38" max="38" width="12.85546875" style="290" customWidth="1"/>
    <col min="39" max="45" width="9.140625" style="290" customWidth="1"/>
    <col min="46" max="46" width="9.140625" style="371" customWidth="1"/>
    <col min="47" max="47" width="9.42578125" style="290" bestFit="1" customWidth="1"/>
    <col min="48" max="48" width="7.7109375" style="290" bestFit="1" customWidth="1"/>
    <col min="49" max="49" width="10.5703125" style="290" bestFit="1" customWidth="1"/>
    <col min="50" max="50" width="8.7109375" style="290" customWidth="1"/>
    <col min="51" max="51" width="13.85546875" style="290" bestFit="1" customWidth="1"/>
    <col min="52" max="52" width="12.85546875" style="290" bestFit="1" customWidth="1"/>
    <col min="53" max="53" width="9.140625" style="371"/>
    <col min="54" max="54" width="9.42578125" style="290" bestFit="1" customWidth="1"/>
    <col min="55" max="55" width="7.7109375" style="290" bestFit="1" customWidth="1"/>
    <col min="56" max="56" width="10.5703125" style="290" bestFit="1" customWidth="1"/>
    <col min="57" max="57" width="6.5703125" style="290" bestFit="1" customWidth="1"/>
    <col min="58" max="58" width="13.85546875" style="290" bestFit="1" customWidth="1"/>
    <col min="59" max="59" width="12.85546875" style="290" bestFit="1" customWidth="1"/>
    <col min="60" max="60" width="10" style="406" bestFit="1" customWidth="1"/>
    <col min="61" max="61" width="6.140625" style="406" bestFit="1" customWidth="1"/>
    <col min="62" max="62" width="9.140625" style="371"/>
    <col min="63" max="63" width="9.42578125" style="432" customWidth="1"/>
    <col min="64" max="64" width="7.7109375" style="432" customWidth="1"/>
    <col min="65" max="65" width="10.5703125" style="432" customWidth="1"/>
    <col min="66" max="66" width="7.5703125" style="432" customWidth="1"/>
    <col min="67" max="67" width="13.85546875" style="432" customWidth="1"/>
    <col min="68" max="68" width="12.85546875" style="432" customWidth="1"/>
    <col min="69" max="69" width="9.140625" style="432"/>
    <col min="70" max="71" width="9.140625" style="382"/>
    <col min="72" max="78" width="9.140625" style="371"/>
    <col min="79" max="79" width="9.42578125" style="290" bestFit="1" customWidth="1"/>
    <col min="80" max="80" width="7.7109375" style="290" bestFit="1" customWidth="1"/>
    <col min="81" max="81" width="10.5703125" style="290" bestFit="1" customWidth="1"/>
    <col min="82" max="82" width="6.5703125" style="290" bestFit="1" customWidth="1"/>
    <col min="83" max="83" width="13.85546875" style="290" bestFit="1" customWidth="1"/>
    <col min="84" max="84" width="12.85546875" style="290" bestFit="1" customWidth="1"/>
    <col min="85" max="85" width="10" style="406" bestFit="1" customWidth="1"/>
    <col min="86" max="86" width="6.140625" style="406" bestFit="1" customWidth="1"/>
    <col min="87" max="87" width="9.140625" style="371"/>
    <col min="88" max="88" width="9.42578125" style="432" customWidth="1"/>
    <col min="89" max="89" width="7.7109375" style="432" customWidth="1"/>
    <col min="90" max="90" width="10.5703125" style="432" customWidth="1"/>
    <col min="91" max="91" width="7.5703125" style="432" customWidth="1"/>
    <col min="92" max="92" width="13.85546875" style="432" customWidth="1"/>
    <col min="93" max="93" width="12.85546875" style="432" customWidth="1"/>
    <col min="94" max="94" width="9.140625" style="420"/>
    <col min="95" max="95" width="9.140625" style="371"/>
    <col min="96" max="96" width="9.140625" style="411"/>
    <col min="97" max="97" width="9.140625" style="371"/>
    <col min="98" max="98" width="8.5703125" style="290" customWidth="1"/>
    <col min="99" max="99" width="7.7109375" style="290" customWidth="1"/>
    <col min="100" max="100" width="10.5703125" style="290" customWidth="1"/>
    <col min="101" max="101" width="7.5703125" style="290" customWidth="1"/>
    <col min="102" max="102" width="13.85546875" style="290" customWidth="1"/>
    <col min="103" max="103" width="12.85546875" style="290" customWidth="1"/>
    <col min="104" max="104" width="9.140625" style="406"/>
    <col min="105" max="16384" width="9.140625" style="371"/>
  </cols>
  <sheetData>
    <row r="1" spans="1:105">
      <c r="A1" s="394" t="s">
        <v>204</v>
      </c>
      <c r="C1" s="557" t="s">
        <v>89</v>
      </c>
      <c r="D1" s="557"/>
      <c r="E1" s="416"/>
      <c r="S1" s="558" t="s">
        <v>149</v>
      </c>
      <c r="T1" s="558"/>
      <c r="U1" s="558"/>
      <c r="V1" s="558"/>
      <c r="W1" s="558"/>
      <c r="X1" s="558"/>
      <c r="Z1" s="558" t="s">
        <v>67</v>
      </c>
      <c r="AA1" s="558"/>
      <c r="AB1" s="558"/>
      <c r="AC1" s="558"/>
      <c r="AD1" s="558"/>
      <c r="AE1" s="558"/>
      <c r="AG1" s="558" t="s">
        <v>150</v>
      </c>
      <c r="AH1" s="558"/>
      <c r="AI1" s="558"/>
      <c r="AJ1" s="558"/>
      <c r="AK1" s="558"/>
      <c r="AL1" s="558"/>
      <c r="AN1" s="558" t="s">
        <v>151</v>
      </c>
      <c r="AO1" s="558"/>
      <c r="AP1" s="558"/>
      <c r="AQ1" s="558"/>
      <c r="AR1" s="558"/>
      <c r="AS1" s="558"/>
      <c r="AT1" s="404"/>
      <c r="AU1" s="558" t="s">
        <v>199</v>
      </c>
      <c r="AV1" s="558"/>
      <c r="AW1" s="558"/>
      <c r="AX1" s="558"/>
      <c r="AY1" s="558"/>
      <c r="AZ1" s="558"/>
      <c r="BB1" s="558" t="s">
        <v>200</v>
      </c>
      <c r="BC1" s="558"/>
      <c r="BD1" s="558"/>
      <c r="BE1" s="558"/>
      <c r="BF1" s="558"/>
      <c r="BG1" s="558"/>
      <c r="BK1" s="559" t="s">
        <v>203</v>
      </c>
      <c r="BL1" s="559"/>
      <c r="BM1" s="559"/>
      <c r="BN1" s="559"/>
      <c r="BO1" s="559"/>
      <c r="BP1" s="559"/>
      <c r="BX1" s="561" t="s">
        <v>210</v>
      </c>
      <c r="BY1" s="561"/>
      <c r="CA1" s="558" t="s">
        <v>200</v>
      </c>
      <c r="CB1" s="558"/>
      <c r="CC1" s="558"/>
      <c r="CD1" s="558"/>
      <c r="CE1" s="558"/>
      <c r="CF1" s="558"/>
      <c r="CJ1" s="559" t="s">
        <v>203</v>
      </c>
      <c r="CK1" s="559"/>
      <c r="CL1" s="559"/>
      <c r="CM1" s="559"/>
      <c r="CN1" s="559"/>
      <c r="CO1" s="559"/>
      <c r="CT1" s="560" t="s">
        <v>211</v>
      </c>
      <c r="CU1" s="560"/>
      <c r="CV1" s="560"/>
      <c r="CW1" s="560"/>
      <c r="CX1" s="560"/>
      <c r="CY1" s="560"/>
      <c r="CZ1" s="560"/>
    </row>
    <row r="2" spans="1:105" ht="51">
      <c r="A2" s="394">
        <v>70</v>
      </c>
      <c r="B2"/>
      <c r="C2" s="364" t="s">
        <v>194</v>
      </c>
      <c r="D2" s="364" t="s">
        <v>195</v>
      </c>
      <c r="E2" s="364"/>
      <c r="F2" s="364" t="s">
        <v>197</v>
      </c>
      <c r="G2" s="364" t="s">
        <v>196</v>
      </c>
      <c r="H2" s="398"/>
      <c r="I2" s="385" t="s">
        <v>198</v>
      </c>
      <c r="J2" s="364" t="s">
        <v>199</v>
      </c>
      <c r="L2" s="385" t="s">
        <v>207</v>
      </c>
      <c r="M2" s="363" t="s">
        <v>206</v>
      </c>
      <c r="N2" s="385" t="s">
        <v>207</v>
      </c>
      <c r="O2" s="385" t="s">
        <v>209</v>
      </c>
      <c r="P2" s="402"/>
      <c r="Q2" s="402"/>
      <c r="S2" s="300" t="s">
        <v>3</v>
      </c>
      <c r="T2" s="300" t="s">
        <v>6</v>
      </c>
      <c r="U2" s="300" t="s">
        <v>145</v>
      </c>
      <c r="V2" s="300" t="s">
        <v>146</v>
      </c>
      <c r="W2" s="300" t="s">
        <v>147</v>
      </c>
      <c r="X2" s="300" t="s">
        <v>148</v>
      </c>
      <c r="Z2" s="300" t="s">
        <v>3</v>
      </c>
      <c r="AA2" s="300" t="s">
        <v>6</v>
      </c>
      <c r="AB2" s="300" t="s">
        <v>145</v>
      </c>
      <c r="AC2" s="300" t="s">
        <v>146</v>
      </c>
      <c r="AD2" s="300" t="s">
        <v>147</v>
      </c>
      <c r="AE2" s="300" t="s">
        <v>148</v>
      </c>
      <c r="AG2" s="300" t="s">
        <v>3</v>
      </c>
      <c r="AH2" s="300" t="s">
        <v>6</v>
      </c>
      <c r="AI2" s="300" t="s">
        <v>145</v>
      </c>
      <c r="AJ2" s="300" t="s">
        <v>146</v>
      </c>
      <c r="AK2" s="300" t="s">
        <v>147</v>
      </c>
      <c r="AL2" s="300" t="s">
        <v>148</v>
      </c>
      <c r="AN2" s="300" t="s">
        <v>3</v>
      </c>
      <c r="AO2" s="300" t="s">
        <v>6</v>
      </c>
      <c r="AP2" s="300" t="s">
        <v>145</v>
      </c>
      <c r="AQ2" s="300" t="s">
        <v>146</v>
      </c>
      <c r="AR2" s="300" t="s">
        <v>147</v>
      </c>
      <c r="AS2" s="300" t="s">
        <v>148</v>
      </c>
      <c r="AT2" s="404"/>
      <c r="AU2" s="300" t="s">
        <v>3</v>
      </c>
      <c r="AV2" s="300" t="s">
        <v>6</v>
      </c>
      <c r="AW2" s="300" t="s">
        <v>145</v>
      </c>
      <c r="AX2" s="300" t="s">
        <v>146</v>
      </c>
      <c r="AY2" s="300" t="s">
        <v>147</v>
      </c>
      <c r="AZ2" s="300" t="s">
        <v>148</v>
      </c>
      <c r="BB2" s="300" t="s">
        <v>3</v>
      </c>
      <c r="BC2" s="300" t="s">
        <v>6</v>
      </c>
      <c r="BD2" s="300" t="s">
        <v>145</v>
      </c>
      <c r="BE2" s="300" t="s">
        <v>146</v>
      </c>
      <c r="BF2" s="300" t="s">
        <v>147</v>
      </c>
      <c r="BG2" s="300" t="s">
        <v>148</v>
      </c>
      <c r="BH2" s="407" t="s">
        <v>201</v>
      </c>
      <c r="BI2" s="407" t="s">
        <v>202</v>
      </c>
      <c r="BK2" s="421" t="s">
        <v>3</v>
      </c>
      <c r="BL2" s="421" t="s">
        <v>6</v>
      </c>
      <c r="BM2" s="421" t="s">
        <v>145</v>
      </c>
      <c r="BN2" s="421" t="s">
        <v>146</v>
      </c>
      <c r="BO2" s="421" t="s">
        <v>147</v>
      </c>
      <c r="BP2" s="421" t="s">
        <v>148</v>
      </c>
      <c r="BQ2" s="435" t="s">
        <v>89</v>
      </c>
      <c r="BX2" s="561"/>
      <c r="BY2" s="561"/>
      <c r="CA2" s="300" t="s">
        <v>3</v>
      </c>
      <c r="CB2" s="300" t="s">
        <v>6</v>
      </c>
      <c r="CC2" s="300" t="s">
        <v>145</v>
      </c>
      <c r="CD2" s="300" t="s">
        <v>146</v>
      </c>
      <c r="CE2" s="300" t="s">
        <v>147</v>
      </c>
      <c r="CF2" s="300" t="s">
        <v>148</v>
      </c>
      <c r="CG2" s="407" t="s">
        <v>201</v>
      </c>
      <c r="CH2" s="407" t="s">
        <v>202</v>
      </c>
      <c r="CJ2" s="421" t="s">
        <v>3</v>
      </c>
      <c r="CK2" s="421" t="s">
        <v>6</v>
      </c>
      <c r="CL2" s="421" t="s">
        <v>145</v>
      </c>
      <c r="CM2" s="421" t="s">
        <v>146</v>
      </c>
      <c r="CN2" s="421" t="s">
        <v>147</v>
      </c>
      <c r="CO2" s="421" t="s">
        <v>148</v>
      </c>
      <c r="CP2" s="422" t="s">
        <v>89</v>
      </c>
      <c r="CT2" s="421" t="s">
        <v>3</v>
      </c>
      <c r="CU2" s="421" t="s">
        <v>6</v>
      </c>
      <c r="CV2" s="421" t="s">
        <v>145</v>
      </c>
      <c r="CW2" s="421" t="s">
        <v>146</v>
      </c>
      <c r="CX2" s="421" t="s">
        <v>147</v>
      </c>
      <c r="CY2" s="421" t="s">
        <v>148</v>
      </c>
      <c r="CZ2" s="444" t="s">
        <v>89</v>
      </c>
    </row>
    <row r="3" spans="1:105">
      <c r="B3" s="294" t="s">
        <v>141</v>
      </c>
      <c r="C3" s="301">
        <f>SUM(C4:C7)</f>
        <v>37720</v>
      </c>
      <c r="D3" s="301"/>
      <c r="E3" s="383"/>
      <c r="F3" s="301">
        <f>SUM(F4:F7)</f>
        <v>35557</v>
      </c>
      <c r="H3" s="398"/>
      <c r="I3" s="362"/>
      <c r="J3" s="362"/>
      <c r="L3" s="393" t="s">
        <v>205</v>
      </c>
      <c r="N3" s="393" t="s">
        <v>208</v>
      </c>
      <c r="O3" s="393" t="s">
        <v>208</v>
      </c>
      <c r="P3" s="403"/>
      <c r="Q3" s="403"/>
      <c r="S3" s="301">
        <f t="shared" ref="S3:X3" si="0">SUM(S4:S7)</f>
        <v>27240</v>
      </c>
      <c r="T3" s="301">
        <f t="shared" si="0"/>
        <v>1600</v>
      </c>
      <c r="U3" s="301">
        <f t="shared" si="0"/>
        <v>480</v>
      </c>
      <c r="V3" s="301">
        <f t="shared" si="0"/>
        <v>8400</v>
      </c>
      <c r="W3" s="301">
        <f t="shared" si="0"/>
        <v>0</v>
      </c>
      <c r="X3" s="301">
        <f t="shared" si="0"/>
        <v>0</v>
      </c>
      <c r="Z3" s="390"/>
      <c r="AA3" s="390"/>
      <c r="AB3" s="390"/>
      <c r="AC3" s="390"/>
      <c r="AD3" s="390"/>
      <c r="AE3" s="390"/>
      <c r="AG3" s="301">
        <f t="shared" ref="AG3:AL3" si="1">SUM(AG4:AG7)</f>
        <v>37.226719999999993</v>
      </c>
      <c r="AH3" s="301">
        <f t="shared" si="1"/>
        <v>2.16</v>
      </c>
      <c r="AI3" s="301">
        <f t="shared" si="1"/>
        <v>0.59087999999999996</v>
      </c>
      <c r="AJ3" s="301">
        <f t="shared" si="1"/>
        <v>11.34</v>
      </c>
      <c r="AK3" s="301">
        <f t="shared" si="1"/>
        <v>0</v>
      </c>
      <c r="AL3" s="301">
        <f t="shared" si="1"/>
        <v>0</v>
      </c>
      <c r="AN3" s="301">
        <f>AG3*70/10</f>
        <v>260.58703999999994</v>
      </c>
      <c r="AO3" s="301">
        <f t="shared" ref="AO3:AS57" si="2">AH3*70/10</f>
        <v>15.120000000000001</v>
      </c>
      <c r="AP3" s="301">
        <f t="shared" si="2"/>
        <v>4.1361599999999994</v>
      </c>
      <c r="AQ3" s="301">
        <f t="shared" si="2"/>
        <v>79.38</v>
      </c>
      <c r="AR3" s="301">
        <f t="shared" si="2"/>
        <v>0</v>
      </c>
      <c r="AS3" s="301">
        <f t="shared" si="2"/>
        <v>0</v>
      </c>
      <c r="AT3" s="404"/>
      <c r="AU3" s="301"/>
      <c r="AV3" s="301"/>
      <c r="AW3" s="301"/>
      <c r="AX3" s="301"/>
      <c r="AY3" s="301"/>
      <c r="AZ3" s="301"/>
      <c r="BB3" s="301"/>
      <c r="BC3" s="301"/>
      <c r="BD3" s="301"/>
      <c r="BE3" s="301"/>
      <c r="BF3" s="301"/>
      <c r="BG3" s="301"/>
      <c r="BK3" s="441">
        <f t="shared" ref="BK3:BQ3" si="3">SUM(BK4:BK7)</f>
        <v>27.796903890340772</v>
      </c>
      <c r="BL3" s="423">
        <f t="shared" si="3"/>
        <v>0.12283134830301788</v>
      </c>
      <c r="BM3" s="423">
        <f t="shared" si="3"/>
        <v>-0.36299059550909463</v>
      </c>
      <c r="BN3" s="423">
        <f t="shared" si="3"/>
        <v>0.64486457859084378</v>
      </c>
      <c r="BO3" s="423">
        <f t="shared" si="3"/>
        <v>0</v>
      </c>
      <c r="BP3" s="423">
        <f t="shared" si="3"/>
        <v>0</v>
      </c>
      <c r="BQ3" s="423">
        <f t="shared" si="3"/>
        <v>28.201609221725537</v>
      </c>
      <c r="BX3" s="561"/>
      <c r="BY3" s="561"/>
      <c r="CA3" s="301"/>
      <c r="CB3" s="301"/>
      <c r="CC3" s="301"/>
      <c r="CD3" s="301"/>
      <c r="CE3" s="301"/>
      <c r="CF3" s="301"/>
      <c r="CJ3" s="423">
        <f t="shared" ref="CJ3:CP3" si="4">SUM(CJ4:CJ7)</f>
        <v>0</v>
      </c>
      <c r="CK3" s="423">
        <f t="shared" si="4"/>
        <v>0</v>
      </c>
      <c r="CL3" s="423">
        <f t="shared" si="4"/>
        <v>0</v>
      </c>
      <c r="CM3" s="423">
        <f t="shared" si="4"/>
        <v>0</v>
      </c>
      <c r="CN3" s="423">
        <f t="shared" si="4"/>
        <v>0</v>
      </c>
      <c r="CO3" s="423">
        <f t="shared" si="4"/>
        <v>0</v>
      </c>
      <c r="CP3" s="424">
        <f t="shared" si="4"/>
        <v>0</v>
      </c>
      <c r="CT3" s="445">
        <f t="shared" ref="CT3:CZ3" si="5">SUM(CT4:CT7)</f>
        <v>27.796903890340772</v>
      </c>
      <c r="CU3" s="445">
        <f t="shared" si="5"/>
        <v>0.12283134830301788</v>
      </c>
      <c r="CV3" s="445">
        <f t="shared" si="5"/>
        <v>-0.36299059550909463</v>
      </c>
      <c r="CW3" s="445">
        <f t="shared" si="5"/>
        <v>0.64486457859084378</v>
      </c>
      <c r="CX3" s="445">
        <f t="shared" si="5"/>
        <v>0</v>
      </c>
      <c r="CY3" s="445">
        <f t="shared" si="5"/>
        <v>0</v>
      </c>
      <c r="CZ3" s="446">
        <f t="shared" si="5"/>
        <v>28.201609221725537</v>
      </c>
    </row>
    <row r="4" spans="1:105">
      <c r="B4" s="292" t="str">
        <f>'[50]Productwise sales'!A6</f>
        <v>V12-14</v>
      </c>
      <c r="C4" s="295">
        <f>'[50]Productwise sales'!I6</f>
        <v>22370</v>
      </c>
      <c r="D4" s="295">
        <f>'[50]Productwise sales'!J6</f>
        <v>1414.9870362092086</v>
      </c>
      <c r="E4" s="295"/>
      <c r="F4" s="302">
        <f>'[50]Revised GC'!Z9</f>
        <v>23317</v>
      </c>
      <c r="G4" s="290">
        <f>'[50]Revised GC'!AA9</f>
        <v>83</v>
      </c>
      <c r="H4" s="399"/>
      <c r="I4" s="384">
        <f>F4*G4/(C4+C6+C7)</f>
        <v>75.954120879120879</v>
      </c>
      <c r="J4" s="384">
        <f>D4-I4</f>
        <v>1339.0329153300877</v>
      </c>
      <c r="K4" s="401"/>
      <c r="L4" s="291"/>
      <c r="M4" s="291"/>
      <c r="N4" s="291"/>
      <c r="O4" s="291"/>
      <c r="P4" s="401"/>
      <c r="Q4" s="401"/>
      <c r="R4" s="401"/>
      <c r="S4" s="295">
        <f>[50]Domestic!J6</f>
        <v>13490</v>
      </c>
      <c r="T4" s="295">
        <f>[50]Europe!B6</f>
        <v>0</v>
      </c>
      <c r="U4" s="295">
        <f>'[50]Asia-Pacific'!B6</f>
        <v>480</v>
      </c>
      <c r="V4" s="295">
        <f>'[50]Rest of world'!B6</f>
        <v>8400</v>
      </c>
      <c r="W4" s="295">
        <f>'[50]North America'!B6</f>
        <v>0</v>
      </c>
      <c r="X4" s="295">
        <f>'[50]Latin America'!B6</f>
        <v>0</v>
      </c>
      <c r="Z4" s="295">
        <f>[50]Domestic!K6</f>
        <v>1461.9999999999998</v>
      </c>
      <c r="AA4" s="295">
        <f>[50]Europe!C6</f>
        <v>0</v>
      </c>
      <c r="AB4" s="295">
        <f>'[50]Asia-Pacific'!C6</f>
        <v>1231</v>
      </c>
      <c r="AC4" s="295">
        <f>'[50]Rest of world'!C6</f>
        <v>1350</v>
      </c>
      <c r="AD4" s="295">
        <f>'[50]North America'!C6</f>
        <v>0</v>
      </c>
      <c r="AE4" s="295">
        <f>'[50]Latin America'!C6</f>
        <v>0</v>
      </c>
      <c r="AG4" s="302">
        <f>S4*Z4/10^6</f>
        <v>19.722379999999998</v>
      </c>
      <c r="AH4" s="302">
        <f t="shared" ref="AH4:AL19" si="6">T4*AA4/10^6</f>
        <v>0</v>
      </c>
      <c r="AI4" s="302">
        <f t="shared" si="6"/>
        <v>0.59087999999999996</v>
      </c>
      <c r="AJ4" s="302">
        <f t="shared" si="6"/>
        <v>11.34</v>
      </c>
      <c r="AK4" s="302">
        <f t="shared" si="6"/>
        <v>0</v>
      </c>
      <c r="AL4" s="302">
        <f t="shared" si="6"/>
        <v>0</v>
      </c>
      <c r="AN4" s="302">
        <f t="shared" ref="AN4:AS67" si="7">AG4*70/10</f>
        <v>138.05665999999999</v>
      </c>
      <c r="AO4" s="302">
        <f t="shared" si="2"/>
        <v>0</v>
      </c>
      <c r="AP4" s="302">
        <f t="shared" si="2"/>
        <v>4.1361599999999994</v>
      </c>
      <c r="AQ4" s="302">
        <f t="shared" si="2"/>
        <v>79.38</v>
      </c>
      <c r="AR4" s="302">
        <f t="shared" si="2"/>
        <v>0</v>
      </c>
      <c r="AS4" s="302">
        <f t="shared" si="2"/>
        <v>0</v>
      </c>
      <c r="AT4" s="404"/>
      <c r="AU4" s="302">
        <f>J4</f>
        <v>1339.0329153300877</v>
      </c>
      <c r="AV4" s="302">
        <f t="shared" ref="AV4:AZ7" si="8">AU4</f>
        <v>1339.0329153300877</v>
      </c>
      <c r="AW4" s="302">
        <f t="shared" si="8"/>
        <v>1339.0329153300877</v>
      </c>
      <c r="AX4" s="302">
        <f t="shared" si="8"/>
        <v>1339.0329153300877</v>
      </c>
      <c r="AY4" s="302">
        <f t="shared" si="8"/>
        <v>1339.0329153300877</v>
      </c>
      <c r="AZ4" s="302">
        <f t="shared" si="8"/>
        <v>1339.0329153300877</v>
      </c>
      <c r="BB4" s="302">
        <f>IF(Z4=0,0,Z4-AU4)</f>
        <v>122.96708466991208</v>
      </c>
      <c r="BC4" s="302">
        <f t="shared" ref="BC4:BG7" si="9">IF(AA4=0,0,AA4-AV4)</f>
        <v>0</v>
      </c>
      <c r="BD4" s="302">
        <f t="shared" si="9"/>
        <v>-108.03291533008769</v>
      </c>
      <c r="BE4" s="302">
        <f t="shared" si="9"/>
        <v>10.96708466991231</v>
      </c>
      <c r="BF4" s="302">
        <f t="shared" si="9"/>
        <v>0</v>
      </c>
      <c r="BG4" s="302">
        <f t="shared" si="9"/>
        <v>0</v>
      </c>
      <c r="BH4" s="408">
        <f>SUMPRODUCT(S4:X4,BB4:BG4)/C4</f>
        <v>75.954120879120936</v>
      </c>
      <c r="BI4" s="409">
        <f>BH4-I4</f>
        <v>0</v>
      </c>
      <c r="BK4" s="425">
        <f t="shared" ref="BK4:BP7" si="10">S4*BB4*$A$2/10^7</f>
        <v>11.611781805379797</v>
      </c>
      <c r="BL4" s="425">
        <f t="shared" si="10"/>
        <v>0</v>
      </c>
      <c r="BM4" s="425">
        <f t="shared" si="10"/>
        <v>-0.36299059550909463</v>
      </c>
      <c r="BN4" s="425">
        <f t="shared" si="10"/>
        <v>0.64486457859084378</v>
      </c>
      <c r="BO4" s="425">
        <f t="shared" si="10"/>
        <v>0</v>
      </c>
      <c r="BP4" s="425">
        <f t="shared" si="10"/>
        <v>0</v>
      </c>
      <c r="BQ4" s="436">
        <f>SUM(BK4:BP4)</f>
        <v>11.893655788461547</v>
      </c>
      <c r="BT4" s="399"/>
      <c r="BX4" s="561"/>
      <c r="BY4" s="561"/>
      <c r="CA4" s="302"/>
      <c r="CB4" s="302"/>
      <c r="CC4" s="302"/>
      <c r="CD4" s="302"/>
      <c r="CE4" s="302"/>
      <c r="CF4" s="302"/>
      <c r="CG4" s="408"/>
      <c r="CH4" s="409"/>
      <c r="CJ4" s="425"/>
      <c r="CK4" s="425"/>
      <c r="CL4" s="425"/>
      <c r="CM4" s="425"/>
      <c r="CN4" s="425"/>
      <c r="CO4" s="425"/>
      <c r="CP4" s="426"/>
      <c r="CT4" s="447">
        <f>BK4+CJ4</f>
        <v>11.611781805379797</v>
      </c>
      <c r="CU4" s="447">
        <f t="shared" ref="CU4:CZ7" si="11">BL4+CK4</f>
        <v>0</v>
      </c>
      <c r="CV4" s="447">
        <f t="shared" si="11"/>
        <v>-0.36299059550909463</v>
      </c>
      <c r="CW4" s="447">
        <f t="shared" si="11"/>
        <v>0.64486457859084378</v>
      </c>
      <c r="CX4" s="447">
        <f t="shared" si="11"/>
        <v>0</v>
      </c>
      <c r="CY4" s="447">
        <f t="shared" si="11"/>
        <v>0</v>
      </c>
      <c r="CZ4" s="448">
        <f t="shared" si="11"/>
        <v>11.893655788461547</v>
      </c>
      <c r="DA4" s="413"/>
    </row>
    <row r="5" spans="1:105">
      <c r="B5" s="292" t="str">
        <f>'[50]Productwise sales'!A7</f>
        <v>V12-14 [HUL]</v>
      </c>
      <c r="C5" s="295">
        <f>'[50]Productwise sales'!I7</f>
        <v>12240</v>
      </c>
      <c r="D5" s="295">
        <f>'[50]Productwise sales'!J7</f>
        <v>1247.0000000000002</v>
      </c>
      <c r="E5" s="295"/>
      <c r="F5" s="302">
        <f>'[50]Revised GC'!Z10</f>
        <v>12240</v>
      </c>
      <c r="G5" s="290">
        <f>'[50]Revised GC'!AA10</f>
        <v>171</v>
      </c>
      <c r="H5" s="399"/>
      <c r="I5" s="384">
        <f>F5*G5/C5</f>
        <v>171</v>
      </c>
      <c r="J5" s="384">
        <f>D5-I5</f>
        <v>1076.0000000000002</v>
      </c>
      <c r="K5" s="401"/>
      <c r="L5" s="291"/>
      <c r="M5" s="291"/>
      <c r="N5" s="291"/>
      <c r="O5" s="291"/>
      <c r="P5" s="401"/>
      <c r="Q5" s="401"/>
      <c r="R5" s="401"/>
      <c r="S5" s="295">
        <f>[50]Domestic!J7</f>
        <v>12240</v>
      </c>
      <c r="T5" s="295">
        <f>[50]Europe!B7</f>
        <v>0</v>
      </c>
      <c r="U5" s="295">
        <f>'[50]Asia-Pacific'!B7</f>
        <v>0</v>
      </c>
      <c r="V5" s="295">
        <f>'[50]Rest of world'!B7</f>
        <v>0</v>
      </c>
      <c r="W5" s="295">
        <f>'[50]North America'!B7</f>
        <v>0</v>
      </c>
      <c r="X5" s="295">
        <f>'[50]Latin America'!B7</f>
        <v>0</v>
      </c>
      <c r="Z5" s="295">
        <f>[50]Domestic!K7</f>
        <v>1247.0000000000002</v>
      </c>
      <c r="AA5" s="295">
        <f>[50]Europe!C7</f>
        <v>0</v>
      </c>
      <c r="AB5" s="295">
        <f>'[50]Asia-Pacific'!C7</f>
        <v>0</v>
      </c>
      <c r="AC5" s="295">
        <f>'[50]Rest of world'!C7</f>
        <v>0</v>
      </c>
      <c r="AD5" s="295">
        <f>'[50]North America'!C7</f>
        <v>0</v>
      </c>
      <c r="AE5" s="295">
        <f>'[50]Latin America'!C7</f>
        <v>0</v>
      </c>
      <c r="AG5" s="302">
        <f t="shared" ref="AG5:AL64" si="12">S5*Z5/10^6</f>
        <v>15.263280000000002</v>
      </c>
      <c r="AH5" s="302">
        <f t="shared" si="6"/>
        <v>0</v>
      </c>
      <c r="AI5" s="302">
        <f t="shared" si="6"/>
        <v>0</v>
      </c>
      <c r="AJ5" s="302">
        <f t="shared" si="6"/>
        <v>0</v>
      </c>
      <c r="AK5" s="302">
        <f t="shared" si="6"/>
        <v>0</v>
      </c>
      <c r="AL5" s="302">
        <f t="shared" si="6"/>
        <v>0</v>
      </c>
      <c r="AN5" s="302">
        <f t="shared" si="7"/>
        <v>106.84296000000002</v>
      </c>
      <c r="AO5" s="302">
        <f t="shared" si="2"/>
        <v>0</v>
      </c>
      <c r="AP5" s="302">
        <f t="shared" si="2"/>
        <v>0</v>
      </c>
      <c r="AQ5" s="302">
        <f t="shared" si="2"/>
        <v>0</v>
      </c>
      <c r="AR5" s="302">
        <f t="shared" si="2"/>
        <v>0</v>
      </c>
      <c r="AS5" s="302">
        <f t="shared" si="2"/>
        <v>0</v>
      </c>
      <c r="AT5" s="404"/>
      <c r="AU5" s="302">
        <f>J5</f>
        <v>1076.0000000000002</v>
      </c>
      <c r="AV5" s="302">
        <f t="shared" si="8"/>
        <v>1076.0000000000002</v>
      </c>
      <c r="AW5" s="302">
        <f t="shared" si="8"/>
        <v>1076.0000000000002</v>
      </c>
      <c r="AX5" s="302">
        <f t="shared" si="8"/>
        <v>1076.0000000000002</v>
      </c>
      <c r="AY5" s="302">
        <f t="shared" si="8"/>
        <v>1076.0000000000002</v>
      </c>
      <c r="AZ5" s="302">
        <f t="shared" si="8"/>
        <v>1076.0000000000002</v>
      </c>
      <c r="BB5" s="302">
        <f>IF(Z5=0,0,Z5-AU5)</f>
        <v>171</v>
      </c>
      <c r="BC5" s="302">
        <f t="shared" si="9"/>
        <v>0</v>
      </c>
      <c r="BD5" s="302">
        <f t="shared" si="9"/>
        <v>0</v>
      </c>
      <c r="BE5" s="302">
        <f t="shared" si="9"/>
        <v>0</v>
      </c>
      <c r="BF5" s="302">
        <f t="shared" si="9"/>
        <v>0</v>
      </c>
      <c r="BG5" s="302">
        <f t="shared" si="9"/>
        <v>0</v>
      </c>
      <c r="BH5" s="408">
        <f>SUMPRODUCT(S5:X5,BB5:BG5)/C5</f>
        <v>171</v>
      </c>
      <c r="BI5" s="409">
        <f>BH5-I5</f>
        <v>0</v>
      </c>
      <c r="BK5" s="425">
        <f t="shared" si="10"/>
        <v>14.65128</v>
      </c>
      <c r="BL5" s="425">
        <f t="shared" si="10"/>
        <v>0</v>
      </c>
      <c r="BM5" s="425">
        <f t="shared" si="10"/>
        <v>0</v>
      </c>
      <c r="BN5" s="425">
        <f t="shared" si="10"/>
        <v>0</v>
      </c>
      <c r="BO5" s="425">
        <f t="shared" si="10"/>
        <v>0</v>
      </c>
      <c r="BP5" s="425">
        <f t="shared" si="10"/>
        <v>0</v>
      </c>
      <c r="BQ5" s="436">
        <f>SUM(BK5:BP5)</f>
        <v>14.65128</v>
      </c>
      <c r="BX5" s="561"/>
      <c r="BY5" s="561"/>
      <c r="CA5" s="302"/>
      <c r="CB5" s="302"/>
      <c r="CC5" s="302"/>
      <c r="CD5" s="302"/>
      <c r="CE5" s="302"/>
      <c r="CF5" s="302"/>
      <c r="CG5" s="408"/>
      <c r="CH5" s="409"/>
      <c r="CJ5" s="425"/>
      <c r="CK5" s="425"/>
      <c r="CL5" s="425"/>
      <c r="CM5" s="425"/>
      <c r="CN5" s="425"/>
      <c r="CO5" s="425"/>
      <c r="CP5" s="426"/>
      <c r="CT5" s="447">
        <f t="shared" ref="CT5:CT7" si="13">BK5+CJ5</f>
        <v>14.65128</v>
      </c>
      <c r="CU5" s="447">
        <f t="shared" si="11"/>
        <v>0</v>
      </c>
      <c r="CV5" s="447">
        <f t="shared" si="11"/>
        <v>0</v>
      </c>
      <c r="CW5" s="447">
        <f t="shared" si="11"/>
        <v>0</v>
      </c>
      <c r="CX5" s="447">
        <f t="shared" si="11"/>
        <v>0</v>
      </c>
      <c r="CY5" s="447">
        <f t="shared" si="11"/>
        <v>0</v>
      </c>
      <c r="CZ5" s="448">
        <f t="shared" si="11"/>
        <v>14.65128</v>
      </c>
      <c r="DA5" s="413"/>
    </row>
    <row r="6" spans="1:105">
      <c r="B6" s="292" t="str">
        <f>'[50]Productwise sales'!A8</f>
        <v>V12-16</v>
      </c>
      <c r="C6" s="295">
        <f>'[50]Productwise sales'!I8</f>
        <v>980</v>
      </c>
      <c r="D6" s="295">
        <f>'[50]Productwise sales'!J8</f>
        <v>1414.9999999999998</v>
      </c>
      <c r="E6" s="295"/>
      <c r="F6" s="302"/>
      <c r="G6" s="290">
        <f>'[50]Revised GC'!AA9</f>
        <v>83</v>
      </c>
      <c r="H6" s="399"/>
      <c r="I6" s="384">
        <f>I4</f>
        <v>75.954120879120879</v>
      </c>
      <c r="J6" s="384">
        <f>J4</f>
        <v>1339.0329153300877</v>
      </c>
      <c r="K6" s="401"/>
      <c r="L6" s="291"/>
      <c r="M6" s="291"/>
      <c r="N6" s="291"/>
      <c r="O6" s="291"/>
      <c r="P6" s="401"/>
      <c r="Q6" s="401"/>
      <c r="R6" s="401"/>
      <c r="S6" s="295">
        <f>[50]Domestic!J8</f>
        <v>980</v>
      </c>
      <c r="T6" s="295">
        <f>[50]Europe!B8</f>
        <v>0</v>
      </c>
      <c r="U6" s="295">
        <f>'[50]Asia-Pacific'!B8</f>
        <v>0</v>
      </c>
      <c r="V6" s="295">
        <f>'[50]Rest of world'!B8</f>
        <v>0</v>
      </c>
      <c r="W6" s="295">
        <f>'[50]North America'!B8</f>
        <v>0</v>
      </c>
      <c r="X6" s="295">
        <f>'[50]Latin America'!B8</f>
        <v>0</v>
      </c>
      <c r="Z6" s="295">
        <f>[50]Domestic!K8</f>
        <v>1414.9999999999998</v>
      </c>
      <c r="AA6" s="295">
        <f>[50]Europe!C8</f>
        <v>0</v>
      </c>
      <c r="AB6" s="295">
        <f>'[50]Asia-Pacific'!C8</f>
        <v>0</v>
      </c>
      <c r="AC6" s="295">
        <f>'[50]Rest of world'!C8</f>
        <v>0</v>
      </c>
      <c r="AD6" s="295">
        <f>'[50]North America'!C8</f>
        <v>0</v>
      </c>
      <c r="AE6" s="295">
        <f>'[50]Latin America'!C8</f>
        <v>0</v>
      </c>
      <c r="AG6" s="302">
        <f t="shared" si="12"/>
        <v>1.3866999999999998</v>
      </c>
      <c r="AH6" s="302">
        <f t="shared" si="6"/>
        <v>0</v>
      </c>
      <c r="AI6" s="302">
        <f t="shared" si="6"/>
        <v>0</v>
      </c>
      <c r="AJ6" s="302">
        <f t="shared" si="6"/>
        <v>0</v>
      </c>
      <c r="AK6" s="302">
        <f t="shared" si="6"/>
        <v>0</v>
      </c>
      <c r="AL6" s="302">
        <f t="shared" si="6"/>
        <v>0</v>
      </c>
      <c r="AN6" s="302">
        <f t="shared" si="7"/>
        <v>9.7068999999999992</v>
      </c>
      <c r="AO6" s="302">
        <f t="shared" si="2"/>
        <v>0</v>
      </c>
      <c r="AP6" s="302">
        <f t="shared" si="2"/>
        <v>0</v>
      </c>
      <c r="AQ6" s="302">
        <f t="shared" si="2"/>
        <v>0</v>
      </c>
      <c r="AR6" s="302">
        <f t="shared" si="2"/>
        <v>0</v>
      </c>
      <c r="AS6" s="302">
        <f t="shared" si="2"/>
        <v>0</v>
      </c>
      <c r="AT6" s="404"/>
      <c r="AU6" s="302">
        <f>AU4</f>
        <v>1339.0329153300877</v>
      </c>
      <c r="AV6" s="302">
        <f t="shared" si="8"/>
        <v>1339.0329153300877</v>
      </c>
      <c r="AW6" s="302">
        <f t="shared" si="8"/>
        <v>1339.0329153300877</v>
      </c>
      <c r="AX6" s="302">
        <f t="shared" si="8"/>
        <v>1339.0329153300877</v>
      </c>
      <c r="AY6" s="302">
        <f t="shared" si="8"/>
        <v>1339.0329153300877</v>
      </c>
      <c r="AZ6" s="302">
        <f t="shared" si="8"/>
        <v>1339.0329153300877</v>
      </c>
      <c r="BB6" s="302">
        <f>IF(Z6=0,0,Z6-AU6)</f>
        <v>75.967084669912083</v>
      </c>
      <c r="BC6" s="302">
        <f t="shared" si="9"/>
        <v>0</v>
      </c>
      <c r="BD6" s="302">
        <f t="shared" si="9"/>
        <v>0</v>
      </c>
      <c r="BE6" s="302">
        <f t="shared" si="9"/>
        <v>0</v>
      </c>
      <c r="BF6" s="302">
        <f t="shared" si="9"/>
        <v>0</v>
      </c>
      <c r="BG6" s="302">
        <f t="shared" si="9"/>
        <v>0</v>
      </c>
      <c r="BH6" s="408">
        <f>SUMPRODUCT(S6:X6,BB6:BG6)/C6</f>
        <v>75.967084669912083</v>
      </c>
      <c r="BI6" s="409">
        <f>BH6-I6</f>
        <v>1.2963790791204133E-2</v>
      </c>
      <c r="BK6" s="425">
        <f t="shared" si="10"/>
        <v>0.52113420083559692</v>
      </c>
      <c r="BL6" s="425">
        <f t="shared" si="10"/>
        <v>0</v>
      </c>
      <c r="BM6" s="425">
        <f t="shared" si="10"/>
        <v>0</v>
      </c>
      <c r="BN6" s="425">
        <f t="shared" si="10"/>
        <v>0</v>
      </c>
      <c r="BO6" s="425">
        <f t="shared" si="10"/>
        <v>0</v>
      </c>
      <c r="BP6" s="425">
        <f t="shared" si="10"/>
        <v>0</v>
      </c>
      <c r="BQ6" s="428">
        <f>SUM(BK6:BP6)</f>
        <v>0.52113420083559692</v>
      </c>
      <c r="BX6" s="561"/>
      <c r="BY6" s="561"/>
      <c r="CA6" s="302"/>
      <c r="CB6" s="302"/>
      <c r="CC6" s="302"/>
      <c r="CD6" s="302"/>
      <c r="CE6" s="302"/>
      <c r="CF6" s="302"/>
      <c r="CG6" s="408"/>
      <c r="CH6" s="409"/>
      <c r="CJ6" s="425"/>
      <c r="CK6" s="425"/>
      <c r="CL6" s="425"/>
      <c r="CM6" s="425"/>
      <c r="CN6" s="425"/>
      <c r="CO6" s="425"/>
      <c r="CP6" s="427"/>
      <c r="CT6" s="447">
        <f t="shared" si="13"/>
        <v>0.52113420083559692</v>
      </c>
      <c r="CU6" s="447">
        <f t="shared" si="11"/>
        <v>0</v>
      </c>
      <c r="CV6" s="447">
        <f t="shared" si="11"/>
        <v>0</v>
      </c>
      <c r="CW6" s="447">
        <f t="shared" si="11"/>
        <v>0</v>
      </c>
      <c r="CX6" s="447">
        <f t="shared" si="11"/>
        <v>0</v>
      </c>
      <c r="CY6" s="447">
        <f t="shared" si="11"/>
        <v>0</v>
      </c>
      <c r="CZ6" s="449">
        <f t="shared" si="11"/>
        <v>0.52113420083559692</v>
      </c>
      <c r="DA6" s="413"/>
    </row>
    <row r="7" spans="1:105">
      <c r="B7" s="292" t="str">
        <f>'[50]Productwise sales'!A9</f>
        <v>V12:18</v>
      </c>
      <c r="C7" s="295">
        <f>'[50]Productwise sales'!I9</f>
        <v>2130</v>
      </c>
      <c r="D7" s="295">
        <f>'[50]Productwise sales'!J9</f>
        <v>1415.1924882629107</v>
      </c>
      <c r="E7" s="295"/>
      <c r="F7" s="302"/>
      <c r="G7" s="290">
        <f>'[50]Revised GC'!AA9</f>
        <v>83</v>
      </c>
      <c r="H7" s="399"/>
      <c r="I7" s="384">
        <f>I6</f>
        <v>75.954120879120879</v>
      </c>
      <c r="J7" s="384">
        <f>J6</f>
        <v>1339.0329153300877</v>
      </c>
      <c r="K7" s="401"/>
      <c r="L7" s="291"/>
      <c r="M7" s="291"/>
      <c r="N7" s="291"/>
      <c r="O7" s="291"/>
      <c r="P7" s="401"/>
      <c r="Q7" s="401"/>
      <c r="R7" s="401"/>
      <c r="S7" s="295">
        <f>[50]Domestic!J9</f>
        <v>530</v>
      </c>
      <c r="T7" s="295">
        <f>[50]Europe!B9</f>
        <v>1600</v>
      </c>
      <c r="U7" s="295">
        <f>'[50]Asia-Pacific'!B9</f>
        <v>0</v>
      </c>
      <c r="V7" s="295">
        <f>'[50]Rest of world'!B9</f>
        <v>0</v>
      </c>
      <c r="W7" s="295">
        <f>'[50]North America'!B9</f>
        <v>0</v>
      </c>
      <c r="X7" s="295">
        <f>'[50]Latin America'!B9</f>
        <v>0</v>
      </c>
      <c r="Z7" s="295">
        <f>[50]Domestic!K9</f>
        <v>1612</v>
      </c>
      <c r="AA7" s="295">
        <f>[50]Europe!C9</f>
        <v>1350</v>
      </c>
      <c r="AB7" s="295">
        <f>'[50]Asia-Pacific'!C9</f>
        <v>0</v>
      </c>
      <c r="AC7" s="295">
        <f>'[50]Rest of world'!C9</f>
        <v>0</v>
      </c>
      <c r="AD7" s="295">
        <f>'[50]North America'!C9</f>
        <v>0</v>
      </c>
      <c r="AE7" s="295">
        <f>'[50]Latin America'!C9</f>
        <v>0</v>
      </c>
      <c r="AG7" s="302">
        <f t="shared" si="12"/>
        <v>0.85436000000000001</v>
      </c>
      <c r="AH7" s="302">
        <f t="shared" si="6"/>
        <v>2.16</v>
      </c>
      <c r="AI7" s="302">
        <f t="shared" si="6"/>
        <v>0</v>
      </c>
      <c r="AJ7" s="302">
        <f t="shared" si="6"/>
        <v>0</v>
      </c>
      <c r="AK7" s="302">
        <f t="shared" si="6"/>
        <v>0</v>
      </c>
      <c r="AL7" s="302">
        <f t="shared" si="6"/>
        <v>0</v>
      </c>
      <c r="AN7" s="302">
        <f t="shared" si="7"/>
        <v>5.9805200000000003</v>
      </c>
      <c r="AO7" s="302">
        <f t="shared" si="2"/>
        <v>15.120000000000001</v>
      </c>
      <c r="AP7" s="302">
        <f t="shared" si="2"/>
        <v>0</v>
      </c>
      <c r="AQ7" s="302">
        <f t="shared" si="2"/>
        <v>0</v>
      </c>
      <c r="AR7" s="302">
        <f t="shared" si="2"/>
        <v>0</v>
      </c>
      <c r="AS7" s="302">
        <f t="shared" si="2"/>
        <v>0</v>
      </c>
      <c r="AT7" s="404"/>
      <c r="AU7" s="302">
        <f>AU6</f>
        <v>1339.0329153300877</v>
      </c>
      <c r="AV7" s="302">
        <f t="shared" si="8"/>
        <v>1339.0329153300877</v>
      </c>
      <c r="AW7" s="302">
        <f t="shared" si="8"/>
        <v>1339.0329153300877</v>
      </c>
      <c r="AX7" s="302">
        <f t="shared" si="8"/>
        <v>1339.0329153300877</v>
      </c>
      <c r="AY7" s="302">
        <f t="shared" si="8"/>
        <v>1339.0329153300877</v>
      </c>
      <c r="AZ7" s="302">
        <f t="shared" si="8"/>
        <v>1339.0329153300877</v>
      </c>
      <c r="BB7" s="302">
        <f>IF(Z7=0,0,Z7-AU7)</f>
        <v>272.96708466991231</v>
      </c>
      <c r="BC7" s="302">
        <f t="shared" si="9"/>
        <v>10.96708466991231</v>
      </c>
      <c r="BD7" s="302">
        <f t="shared" si="9"/>
        <v>0</v>
      </c>
      <c r="BE7" s="302">
        <f t="shared" si="9"/>
        <v>0</v>
      </c>
      <c r="BF7" s="302">
        <f t="shared" si="9"/>
        <v>0</v>
      </c>
      <c r="BG7" s="302">
        <f t="shared" si="9"/>
        <v>0</v>
      </c>
      <c r="BH7" s="408">
        <f>SUMPRODUCT(S7:X7,BB7:BG7)/C7</f>
        <v>76.15957293282311</v>
      </c>
      <c r="BI7" s="409">
        <f>BH7-I7</f>
        <v>0.2054520537022313</v>
      </c>
      <c r="BK7" s="425">
        <f t="shared" si="10"/>
        <v>1.0127078841253747</v>
      </c>
      <c r="BL7" s="425">
        <f t="shared" si="10"/>
        <v>0.12283134830301788</v>
      </c>
      <c r="BM7" s="425">
        <f t="shared" si="10"/>
        <v>0</v>
      </c>
      <c r="BN7" s="425">
        <f t="shared" si="10"/>
        <v>0</v>
      </c>
      <c r="BO7" s="425">
        <f t="shared" si="10"/>
        <v>0</v>
      </c>
      <c r="BP7" s="425">
        <f t="shared" si="10"/>
        <v>0</v>
      </c>
      <c r="BQ7" s="428">
        <f>SUM(BK7:BP7)</f>
        <v>1.1355392324283926</v>
      </c>
      <c r="BX7" s="561"/>
      <c r="BY7" s="561"/>
      <c r="CA7" s="302"/>
      <c r="CB7" s="302"/>
      <c r="CC7" s="302"/>
      <c r="CD7" s="302"/>
      <c r="CE7" s="302"/>
      <c r="CF7" s="302"/>
      <c r="CG7" s="408"/>
      <c r="CH7" s="409"/>
      <c r="CJ7" s="425"/>
      <c r="CK7" s="425"/>
      <c r="CL7" s="425"/>
      <c r="CM7" s="425"/>
      <c r="CN7" s="425"/>
      <c r="CO7" s="425"/>
      <c r="CP7" s="427"/>
      <c r="CT7" s="447">
        <f t="shared" si="13"/>
        <v>1.0127078841253747</v>
      </c>
      <c r="CU7" s="447">
        <f t="shared" si="11"/>
        <v>0.12283134830301788</v>
      </c>
      <c r="CV7" s="447">
        <f t="shared" si="11"/>
        <v>0</v>
      </c>
      <c r="CW7" s="447">
        <f t="shared" si="11"/>
        <v>0</v>
      </c>
      <c r="CX7" s="447">
        <f t="shared" si="11"/>
        <v>0</v>
      </c>
      <c r="CY7" s="447">
        <f t="shared" si="11"/>
        <v>0</v>
      </c>
      <c r="CZ7" s="449">
        <f t="shared" si="11"/>
        <v>1.1355392324283926</v>
      </c>
      <c r="DA7" s="413"/>
    </row>
    <row r="8" spans="1:105">
      <c r="B8" s="293" t="s">
        <v>140</v>
      </c>
      <c r="C8" s="301">
        <f>SUM(C9:C15)</f>
        <v>46974</v>
      </c>
      <c r="D8" s="301"/>
      <c r="E8" s="383"/>
      <c r="F8" s="301">
        <f>SUM(F9:F15)</f>
        <v>37222</v>
      </c>
      <c r="H8" s="398"/>
      <c r="I8" s="384"/>
      <c r="J8" s="384"/>
      <c r="K8" s="401"/>
      <c r="L8" s="291"/>
      <c r="M8" s="291"/>
      <c r="N8" s="291"/>
      <c r="O8" s="291"/>
      <c r="P8" s="401"/>
      <c r="Q8" s="401"/>
      <c r="R8" s="401"/>
      <c r="S8" s="301">
        <f t="shared" ref="S8:X8" si="14">SUM(S9:S15)</f>
        <v>16804</v>
      </c>
      <c r="T8" s="301">
        <f t="shared" si="14"/>
        <v>3645</v>
      </c>
      <c r="U8" s="301">
        <f t="shared" si="14"/>
        <v>3030</v>
      </c>
      <c r="V8" s="301">
        <f t="shared" si="14"/>
        <v>7040</v>
      </c>
      <c r="W8" s="301">
        <f t="shared" si="14"/>
        <v>12785</v>
      </c>
      <c r="X8" s="301">
        <f t="shared" si="14"/>
        <v>3670</v>
      </c>
      <c r="AG8" s="301">
        <f t="shared" ref="AG8:AL8" si="15">SUM(AG9:AG15)</f>
        <v>15.114980000000001</v>
      </c>
      <c r="AH8" s="301">
        <f t="shared" si="15"/>
        <v>4.4027249999999993</v>
      </c>
      <c r="AI8" s="301">
        <f t="shared" si="15"/>
        <v>4.2975900000000014</v>
      </c>
      <c r="AJ8" s="301">
        <f t="shared" si="15"/>
        <v>9.4740199999999994</v>
      </c>
      <c r="AK8" s="301">
        <f t="shared" si="15"/>
        <v>17.072222999999994</v>
      </c>
      <c r="AL8" s="301">
        <f t="shared" si="15"/>
        <v>4.8070500000000003</v>
      </c>
      <c r="AN8" s="301">
        <f t="shared" si="7"/>
        <v>105.80486000000001</v>
      </c>
      <c r="AO8" s="301">
        <f t="shared" si="2"/>
        <v>30.819074999999998</v>
      </c>
      <c r="AP8" s="301">
        <f t="shared" si="2"/>
        <v>30.083130000000011</v>
      </c>
      <c r="AQ8" s="301">
        <f t="shared" si="2"/>
        <v>66.31814</v>
      </c>
      <c r="AR8" s="301">
        <f t="shared" si="2"/>
        <v>119.50556099999997</v>
      </c>
      <c r="AS8" s="301">
        <f t="shared" si="2"/>
        <v>33.649350000000005</v>
      </c>
      <c r="AT8" s="404"/>
      <c r="AU8" s="301"/>
      <c r="AV8" s="301"/>
      <c r="AW8" s="301"/>
      <c r="AX8" s="301"/>
      <c r="AY8" s="301"/>
      <c r="AZ8" s="301"/>
      <c r="BB8" s="301"/>
      <c r="BC8" s="301"/>
      <c r="BD8" s="301"/>
      <c r="BE8" s="301"/>
      <c r="BF8" s="301"/>
      <c r="BG8" s="301"/>
      <c r="BK8" s="441">
        <f t="shared" ref="BK8:BQ8" si="16">SUM(BK9:BK15)</f>
        <v>24.864339984843852</v>
      </c>
      <c r="BL8" s="423">
        <f t="shared" si="16"/>
        <v>6.4516762991299714</v>
      </c>
      <c r="BM8" s="423">
        <f t="shared" si="16"/>
        <v>8.6294142389134212</v>
      </c>
      <c r="BN8" s="423">
        <f t="shared" si="16"/>
        <v>18.724235988720324</v>
      </c>
      <c r="BO8" s="423">
        <f t="shared" si="16"/>
        <v>22.276186585017737</v>
      </c>
      <c r="BP8" s="423">
        <f t="shared" si="16"/>
        <v>8.8314429033746702</v>
      </c>
      <c r="BQ8" s="423">
        <f t="shared" si="16"/>
        <v>89.777295999999978</v>
      </c>
      <c r="BX8" s="561"/>
      <c r="BY8" s="561"/>
      <c r="CA8" s="301"/>
      <c r="CB8" s="301"/>
      <c r="CC8" s="301"/>
      <c r="CD8" s="301"/>
      <c r="CE8" s="301"/>
      <c r="CF8" s="301"/>
      <c r="CJ8" s="423">
        <f>SUM(CJ9:CJ15)</f>
        <v>34.8394428</v>
      </c>
      <c r="CK8" s="423">
        <f t="shared" ref="CK8:CP8" si="17">SUM(CK9:CK15)</f>
        <v>2.4146999999999994</v>
      </c>
      <c r="CL8" s="423">
        <f t="shared" si="17"/>
        <v>0.98520000000000019</v>
      </c>
      <c r="CM8" s="423">
        <f t="shared" si="17"/>
        <v>7.5436399999999999</v>
      </c>
      <c r="CN8" s="423">
        <f t="shared" si="17"/>
        <v>20.732024999999997</v>
      </c>
      <c r="CO8" s="423">
        <f t="shared" si="17"/>
        <v>3.7354500000000002</v>
      </c>
      <c r="CP8" s="423">
        <f t="shared" si="17"/>
        <v>70.250457799999992</v>
      </c>
      <c r="CT8" s="445">
        <f>SUM(CT9:CT15)</f>
        <v>59.703782784843852</v>
      </c>
      <c r="CU8" s="445">
        <f t="shared" ref="CU8:CZ8" si="18">SUM(CU9:CU15)</f>
        <v>8.8663762991299695</v>
      </c>
      <c r="CV8" s="445">
        <f t="shared" si="18"/>
        <v>9.6146142389134219</v>
      </c>
      <c r="CW8" s="445">
        <f t="shared" si="18"/>
        <v>26.267875988720327</v>
      </c>
      <c r="CX8" s="445">
        <f t="shared" si="18"/>
        <v>43.00821158501774</v>
      </c>
      <c r="CY8" s="445">
        <f t="shared" si="18"/>
        <v>12.56689290337467</v>
      </c>
      <c r="CZ8" s="446">
        <f t="shared" si="18"/>
        <v>160.02775379999997</v>
      </c>
    </row>
    <row r="9" spans="1:105">
      <c r="B9" s="292" t="str">
        <f>'[50]Productwise sales'!A10</f>
        <v>V16:18 TA</v>
      </c>
      <c r="C9" s="295">
        <f>'[50]Productwise sales'!I10</f>
        <v>21588</v>
      </c>
      <c r="D9" s="295">
        <f>'[50]Productwise sales'!J10</f>
        <v>1329.9777654252364</v>
      </c>
      <c r="E9" s="295"/>
      <c r="F9" s="302">
        <f>'[50]Revised GC'!Z11</f>
        <v>21014</v>
      </c>
      <c r="G9" s="290">
        <f>'[50]Revised GC'!AA11</f>
        <v>434</v>
      </c>
      <c r="H9" s="399"/>
      <c r="I9" s="384">
        <f>F9*G9/C9</f>
        <v>422.46044098573282</v>
      </c>
      <c r="J9" s="384">
        <f>D9-I9</f>
        <v>907.51732443950357</v>
      </c>
      <c r="K9" s="401"/>
      <c r="L9" s="291"/>
      <c r="M9" s="291"/>
      <c r="N9" s="291"/>
      <c r="O9" s="291"/>
      <c r="P9" s="401"/>
      <c r="Q9" s="401"/>
      <c r="R9" s="401"/>
      <c r="S9" s="295">
        <f>[50]Domestic!J10</f>
        <v>3780</v>
      </c>
      <c r="T9" s="295">
        <f>[50]Europe!B10</f>
        <v>3000</v>
      </c>
      <c r="U9" s="295">
        <f>'[50]Asia-Pacific'!B10</f>
        <v>1590</v>
      </c>
      <c r="V9" s="295">
        <f>'[50]Rest of world'!B10</f>
        <v>4800</v>
      </c>
      <c r="W9" s="295">
        <f>'[50]North America'!B10</f>
        <v>5418</v>
      </c>
      <c r="X9" s="295">
        <f>'[50]Latin America'!B10</f>
        <v>3000</v>
      </c>
      <c r="Z9" s="295">
        <f>[50]Domestic!K10</f>
        <v>1470.0000000000002</v>
      </c>
      <c r="AA9" s="295">
        <f>[50]Europe!C10</f>
        <v>1189.9999999999998</v>
      </c>
      <c r="AB9" s="295">
        <f>'[50]Asia-Pacific'!C10</f>
        <v>1333.0000000000002</v>
      </c>
      <c r="AC9" s="295">
        <f>'[50]Rest of world'!C10</f>
        <v>1350</v>
      </c>
      <c r="AD9" s="295">
        <f>'[50]North America'!C10</f>
        <v>1304.9999999999995</v>
      </c>
      <c r="AE9" s="295">
        <f>'[50]Latin America'!C10</f>
        <v>1305</v>
      </c>
      <c r="AG9" s="302">
        <f t="shared" si="12"/>
        <v>5.5566000000000013</v>
      </c>
      <c r="AH9" s="302">
        <f t="shared" si="6"/>
        <v>3.5699999999999994</v>
      </c>
      <c r="AI9" s="302">
        <f t="shared" si="6"/>
        <v>2.1194700000000006</v>
      </c>
      <c r="AJ9" s="302">
        <f t="shared" si="6"/>
        <v>6.48</v>
      </c>
      <c r="AK9" s="302">
        <f t="shared" si="6"/>
        <v>7.0704899999999968</v>
      </c>
      <c r="AL9" s="302">
        <f t="shared" si="6"/>
        <v>3.915</v>
      </c>
      <c r="AN9" s="302">
        <f t="shared" si="7"/>
        <v>38.896200000000007</v>
      </c>
      <c r="AO9" s="302">
        <f t="shared" si="2"/>
        <v>24.989999999999995</v>
      </c>
      <c r="AP9" s="302">
        <f t="shared" si="2"/>
        <v>14.836290000000005</v>
      </c>
      <c r="AQ9" s="302">
        <f t="shared" si="2"/>
        <v>45.36</v>
      </c>
      <c r="AR9" s="302">
        <f t="shared" si="2"/>
        <v>49.493429999999975</v>
      </c>
      <c r="AS9" s="302">
        <f t="shared" si="2"/>
        <v>27.405000000000001</v>
      </c>
      <c r="AT9" s="404"/>
      <c r="AU9" s="302">
        <f>J9</f>
        <v>907.51732443950357</v>
      </c>
      <c r="AV9" s="302">
        <f t="shared" ref="AV9:AZ10" si="19">AU9</f>
        <v>907.51732443950357</v>
      </c>
      <c r="AW9" s="302">
        <f t="shared" si="19"/>
        <v>907.51732443950357</v>
      </c>
      <c r="AX9" s="302">
        <f t="shared" si="19"/>
        <v>907.51732443950357</v>
      </c>
      <c r="AY9" s="302">
        <f t="shared" si="19"/>
        <v>907.51732443950357</v>
      </c>
      <c r="AZ9" s="302">
        <f t="shared" si="19"/>
        <v>907.51732443950357</v>
      </c>
      <c r="BB9" s="302">
        <f>IF(Z9=0,0,Z9-AU9)</f>
        <v>562.48267556049666</v>
      </c>
      <c r="BC9" s="302">
        <f t="shared" ref="BC9:BG10" si="20">IF(AA9=0,0,AA9-AV9)</f>
        <v>282.4826755604962</v>
      </c>
      <c r="BD9" s="302">
        <f t="shared" si="20"/>
        <v>425.48267556049666</v>
      </c>
      <c r="BE9" s="302">
        <f t="shared" si="20"/>
        <v>442.48267556049643</v>
      </c>
      <c r="BF9" s="302">
        <f t="shared" si="20"/>
        <v>397.48267556049598</v>
      </c>
      <c r="BG9" s="302">
        <f t="shared" si="20"/>
        <v>397.48267556049643</v>
      </c>
      <c r="BH9" s="408">
        <f>SUMPRODUCT(S9:X9,BB9:BG9)/C9</f>
        <v>422.46044098573265</v>
      </c>
      <c r="BI9" s="409">
        <f t="shared" ref="BI9:BI10" si="21">BH9-I9</f>
        <v>0</v>
      </c>
      <c r="BK9" s="425">
        <f t="shared" ref="BK9:BP15" si="22">S9*BB9*$A$2/10^7</f>
        <v>14.883291595330743</v>
      </c>
      <c r="BL9" s="425">
        <f t="shared" si="22"/>
        <v>5.9321361867704203</v>
      </c>
      <c r="BM9" s="425">
        <f t="shared" si="22"/>
        <v>4.7356221789883275</v>
      </c>
      <c r="BN9" s="425">
        <f t="shared" si="22"/>
        <v>14.867417898832683</v>
      </c>
      <c r="BO9" s="425">
        <f t="shared" si="22"/>
        <v>15.074927953307371</v>
      </c>
      <c r="BP9" s="425">
        <f t="shared" si="22"/>
        <v>8.3471361867704257</v>
      </c>
      <c r="BQ9" s="428">
        <f t="shared" ref="BQ9:BQ15" si="23">SUM(BK9:BP9)</f>
        <v>63.840531999999975</v>
      </c>
      <c r="BX9" s="561"/>
      <c r="BY9" s="561"/>
      <c r="CA9" s="302"/>
      <c r="CB9" s="302"/>
      <c r="CC9" s="302"/>
      <c r="CD9" s="302"/>
      <c r="CE9" s="302"/>
      <c r="CF9" s="302"/>
      <c r="CG9" s="408"/>
      <c r="CH9" s="409"/>
      <c r="CJ9" s="425"/>
      <c r="CK9" s="425"/>
      <c r="CL9" s="425"/>
      <c r="CM9" s="425"/>
      <c r="CN9" s="425"/>
      <c r="CO9" s="425"/>
      <c r="CP9" s="427"/>
      <c r="CT9" s="447">
        <f t="shared" ref="CT9:CZ15" si="24">BK9+CJ9</f>
        <v>14.883291595330743</v>
      </c>
      <c r="CU9" s="447">
        <f t="shared" si="24"/>
        <v>5.9321361867704203</v>
      </c>
      <c r="CV9" s="447">
        <f t="shared" si="24"/>
        <v>4.7356221789883275</v>
      </c>
      <c r="CW9" s="447">
        <f t="shared" si="24"/>
        <v>14.867417898832683</v>
      </c>
      <c r="CX9" s="447">
        <f t="shared" si="24"/>
        <v>15.074927953307371</v>
      </c>
      <c r="CY9" s="447">
        <f t="shared" si="24"/>
        <v>8.3471361867704257</v>
      </c>
      <c r="CZ9" s="449">
        <f t="shared" si="24"/>
        <v>63.840531999999975</v>
      </c>
      <c r="DA9" s="413"/>
    </row>
    <row r="10" spans="1:105">
      <c r="B10" s="292" t="str">
        <f>'[50]Productwise sales'!A11</f>
        <v>V16:18 TA [GODREJ]</v>
      </c>
      <c r="C10" s="295">
        <f>'[50]Productwise sales'!I11</f>
        <v>7000</v>
      </c>
      <c r="D10" s="295">
        <f>'[50]Productwise sales'!J11</f>
        <v>296</v>
      </c>
      <c r="E10" s="295"/>
      <c r="F10" s="302">
        <f>'[50]Revised GC'!Z13</f>
        <v>7000</v>
      </c>
      <c r="G10" s="290">
        <f>'[50]Revised GC'!AA13</f>
        <v>146</v>
      </c>
      <c r="H10" s="399"/>
      <c r="I10" s="384">
        <f>F10*G10/C10</f>
        <v>146</v>
      </c>
      <c r="J10" s="384">
        <f>D10-I10</f>
        <v>150</v>
      </c>
      <c r="K10" s="401"/>
      <c r="L10" s="291"/>
      <c r="M10" s="291"/>
      <c r="N10" s="291"/>
      <c r="O10" s="291"/>
      <c r="P10" s="401"/>
      <c r="Q10" s="401"/>
      <c r="R10" s="401"/>
      <c r="S10" s="295">
        <f>[50]Domestic!J11</f>
        <v>7000</v>
      </c>
      <c r="T10" s="295">
        <f>[50]Europe!B11</f>
        <v>0</v>
      </c>
      <c r="U10" s="295">
        <f>'[50]Asia-Pacific'!B11</f>
        <v>0</v>
      </c>
      <c r="V10" s="295">
        <f>'[50]Rest of world'!B11</f>
        <v>0</v>
      </c>
      <c r="W10" s="295">
        <f>'[50]North America'!B11</f>
        <v>0</v>
      </c>
      <c r="X10" s="295">
        <f>'[50]Latin America'!B11</f>
        <v>0</v>
      </c>
      <c r="Z10" s="295">
        <f>[50]Domestic!K11</f>
        <v>296</v>
      </c>
      <c r="AA10" s="295">
        <f>[50]Europe!C11</f>
        <v>0</v>
      </c>
      <c r="AB10" s="295">
        <f>'[50]Asia-Pacific'!C11</f>
        <v>0</v>
      </c>
      <c r="AC10" s="295">
        <f>'[50]Rest of world'!C11</f>
        <v>0</v>
      </c>
      <c r="AD10" s="295">
        <f>'[50]North America'!C11</f>
        <v>0</v>
      </c>
      <c r="AE10" s="295">
        <f>'[50]Latin America'!C11</f>
        <v>0</v>
      </c>
      <c r="AG10" s="302">
        <f t="shared" si="12"/>
        <v>2.0720000000000001</v>
      </c>
      <c r="AH10" s="302">
        <f t="shared" si="6"/>
        <v>0</v>
      </c>
      <c r="AI10" s="302">
        <f t="shared" si="6"/>
        <v>0</v>
      </c>
      <c r="AJ10" s="302">
        <f t="shared" si="6"/>
        <v>0</v>
      </c>
      <c r="AK10" s="302">
        <f t="shared" si="6"/>
        <v>0</v>
      </c>
      <c r="AL10" s="302">
        <f t="shared" si="6"/>
        <v>0</v>
      </c>
      <c r="AN10" s="302">
        <f t="shared" si="7"/>
        <v>14.504</v>
      </c>
      <c r="AO10" s="302">
        <f t="shared" si="2"/>
        <v>0</v>
      </c>
      <c r="AP10" s="302">
        <f t="shared" si="2"/>
        <v>0</v>
      </c>
      <c r="AQ10" s="302">
        <f t="shared" si="2"/>
        <v>0</v>
      </c>
      <c r="AR10" s="302">
        <f t="shared" si="2"/>
        <v>0</v>
      </c>
      <c r="AS10" s="302">
        <f t="shared" si="2"/>
        <v>0</v>
      </c>
      <c r="AT10" s="404"/>
      <c r="AU10" s="302">
        <f>J10</f>
        <v>150</v>
      </c>
      <c r="AV10" s="302">
        <f t="shared" si="19"/>
        <v>150</v>
      </c>
      <c r="AW10" s="302">
        <f t="shared" si="19"/>
        <v>150</v>
      </c>
      <c r="AX10" s="302">
        <f t="shared" si="19"/>
        <v>150</v>
      </c>
      <c r="AY10" s="302">
        <f t="shared" si="19"/>
        <v>150</v>
      </c>
      <c r="AZ10" s="302">
        <f t="shared" si="19"/>
        <v>150</v>
      </c>
      <c r="BB10" s="302">
        <f>IF(Z10=0,0,Z10-AU10)</f>
        <v>146</v>
      </c>
      <c r="BC10" s="302">
        <f t="shared" si="20"/>
        <v>0</v>
      </c>
      <c r="BD10" s="302">
        <f t="shared" si="20"/>
        <v>0</v>
      </c>
      <c r="BE10" s="302">
        <f t="shared" si="20"/>
        <v>0</v>
      </c>
      <c r="BF10" s="302">
        <f t="shared" si="20"/>
        <v>0</v>
      </c>
      <c r="BG10" s="302">
        <f t="shared" si="20"/>
        <v>0</v>
      </c>
      <c r="BH10" s="408">
        <f>SUMPRODUCT(S10:X10,BB10:BG10)/C10</f>
        <v>146</v>
      </c>
      <c r="BI10" s="409">
        <f t="shared" si="21"/>
        <v>0</v>
      </c>
      <c r="BK10" s="425">
        <f t="shared" si="22"/>
        <v>7.1539999999999999</v>
      </c>
      <c r="BL10" s="425">
        <f t="shared" si="22"/>
        <v>0</v>
      </c>
      <c r="BM10" s="425">
        <f t="shared" si="22"/>
        <v>0</v>
      </c>
      <c r="BN10" s="425">
        <f t="shared" si="22"/>
        <v>0</v>
      </c>
      <c r="BO10" s="425">
        <f t="shared" si="22"/>
        <v>0</v>
      </c>
      <c r="BP10" s="425">
        <f t="shared" si="22"/>
        <v>0</v>
      </c>
      <c r="BQ10" s="436">
        <f t="shared" si="23"/>
        <v>7.1539999999999999</v>
      </c>
      <c r="BX10" s="561"/>
      <c r="BY10" s="561"/>
      <c r="CA10" s="302"/>
      <c r="CB10" s="302"/>
      <c r="CC10" s="302"/>
      <c r="CD10" s="302"/>
      <c r="CE10" s="302"/>
      <c r="CF10" s="302"/>
      <c r="CG10" s="408"/>
      <c r="CH10" s="409"/>
      <c r="CJ10" s="425"/>
      <c r="CK10" s="425"/>
      <c r="CL10" s="425"/>
      <c r="CM10" s="425"/>
      <c r="CN10" s="425"/>
      <c r="CO10" s="425"/>
      <c r="CP10" s="426"/>
      <c r="CT10" s="447">
        <f t="shared" si="24"/>
        <v>7.1539999999999999</v>
      </c>
      <c r="CU10" s="447">
        <f t="shared" si="24"/>
        <v>0</v>
      </c>
      <c r="CV10" s="447">
        <f t="shared" si="24"/>
        <v>0</v>
      </c>
      <c r="CW10" s="447">
        <f t="shared" si="24"/>
        <v>0</v>
      </c>
      <c r="CX10" s="447">
        <f t="shared" si="24"/>
        <v>0</v>
      </c>
      <c r="CY10" s="447">
        <f t="shared" si="24"/>
        <v>0</v>
      </c>
      <c r="CZ10" s="448">
        <f t="shared" si="24"/>
        <v>7.1539999999999999</v>
      </c>
      <c r="DA10" s="413"/>
    </row>
    <row r="11" spans="1:105">
      <c r="A11" s="366"/>
      <c r="B11" s="365" t="str">
        <f>'[50]Productwise sales'!A12</f>
        <v>V16:18 TA [HUL]</v>
      </c>
      <c r="C11" s="395">
        <f>'[50]Productwise sales'!I12</f>
        <v>4356</v>
      </c>
      <c r="D11" s="395">
        <f>'[50]Productwise sales'!J12</f>
        <v>1200</v>
      </c>
      <c r="E11" s="395"/>
      <c r="F11" s="381"/>
      <c r="G11" s="366"/>
      <c r="H11" s="398"/>
      <c r="I11" s="396"/>
      <c r="J11" s="396"/>
      <c r="K11" s="401"/>
      <c r="L11" s="381">
        <f>865+9152</f>
        <v>10017</v>
      </c>
      <c r="M11" s="380">
        <f>1</f>
        <v>1</v>
      </c>
      <c r="N11" s="381">
        <f>L11/M11</f>
        <v>10017</v>
      </c>
      <c r="O11" s="485">
        <f>N11/$A$2</f>
        <v>143.1</v>
      </c>
      <c r="P11" s="401"/>
      <c r="Q11" s="401"/>
      <c r="R11" s="401"/>
      <c r="S11" s="395">
        <f>[50]Domestic!J12</f>
        <v>4356</v>
      </c>
      <c r="T11" s="395">
        <f>[50]Europe!B12</f>
        <v>0</v>
      </c>
      <c r="U11" s="395">
        <f>'[50]Asia-Pacific'!B12</f>
        <v>0</v>
      </c>
      <c r="V11" s="395">
        <f>'[50]Rest of world'!B12</f>
        <v>0</v>
      </c>
      <c r="W11" s="395">
        <f>'[50]North America'!B12</f>
        <v>0</v>
      </c>
      <c r="X11" s="395">
        <f>'[50]Latin America'!B12</f>
        <v>0</v>
      </c>
      <c r="Z11" s="395">
        <f>[50]Domestic!K12</f>
        <v>1200</v>
      </c>
      <c r="AA11" s="395">
        <f>[50]Europe!C12</f>
        <v>0</v>
      </c>
      <c r="AB11" s="395">
        <f>'[50]Asia-Pacific'!C12</f>
        <v>0</v>
      </c>
      <c r="AC11" s="395">
        <f>'[50]Rest of world'!C12</f>
        <v>0</v>
      </c>
      <c r="AD11" s="395">
        <f>'[50]North America'!C12</f>
        <v>0</v>
      </c>
      <c r="AE11" s="395">
        <f>'[50]Latin America'!C12</f>
        <v>0</v>
      </c>
      <c r="AF11" s="366"/>
      <c r="AG11" s="381">
        <f t="shared" si="12"/>
        <v>5.2271999999999998</v>
      </c>
      <c r="AH11" s="381">
        <f t="shared" si="6"/>
        <v>0</v>
      </c>
      <c r="AI11" s="381">
        <f t="shared" si="6"/>
        <v>0</v>
      </c>
      <c r="AJ11" s="381">
        <f t="shared" si="6"/>
        <v>0</v>
      </c>
      <c r="AK11" s="381">
        <f t="shared" si="6"/>
        <v>0</v>
      </c>
      <c r="AL11" s="381">
        <f t="shared" si="6"/>
        <v>0</v>
      </c>
      <c r="AM11" s="366"/>
      <c r="AN11" s="381">
        <f t="shared" si="7"/>
        <v>36.590400000000002</v>
      </c>
      <c r="AO11" s="381">
        <f t="shared" si="2"/>
        <v>0</v>
      </c>
      <c r="AP11" s="381">
        <f t="shared" si="2"/>
        <v>0</v>
      </c>
      <c r="AQ11" s="381">
        <f t="shared" si="2"/>
        <v>0</v>
      </c>
      <c r="AR11" s="381">
        <f t="shared" si="2"/>
        <v>0</v>
      </c>
      <c r="AS11" s="381">
        <f t="shared" si="2"/>
        <v>0</v>
      </c>
      <c r="AT11" s="404"/>
      <c r="AU11" s="381"/>
      <c r="AV11" s="381"/>
      <c r="AW11" s="381"/>
      <c r="AX11" s="381"/>
      <c r="AY11" s="381"/>
      <c r="AZ11" s="381"/>
      <c r="BB11" s="381"/>
      <c r="BC11" s="381"/>
      <c r="BD11" s="381"/>
      <c r="BE11" s="381"/>
      <c r="BF11" s="381"/>
      <c r="BG11" s="381"/>
      <c r="BK11" s="425">
        <f t="shared" si="22"/>
        <v>0</v>
      </c>
      <c r="BL11" s="425">
        <f t="shared" si="22"/>
        <v>0</v>
      </c>
      <c r="BM11" s="425">
        <f t="shared" si="22"/>
        <v>0</v>
      </c>
      <c r="BN11" s="425">
        <f t="shared" si="22"/>
        <v>0</v>
      </c>
      <c r="BO11" s="425">
        <f t="shared" si="22"/>
        <v>0</v>
      </c>
      <c r="BP11" s="425">
        <f t="shared" si="22"/>
        <v>0</v>
      </c>
      <c r="BQ11" s="436">
        <f t="shared" si="23"/>
        <v>0</v>
      </c>
      <c r="BX11" s="561"/>
      <c r="BY11" s="561"/>
      <c r="CA11" s="381">
        <f>IF(Z11=0,0,Z11-$O$11)</f>
        <v>1056.9000000000001</v>
      </c>
      <c r="CB11" s="381">
        <f t="shared" ref="CB11:CF11" si="25">IF(AA11=0,0,AA11-$O$11)</f>
        <v>0</v>
      </c>
      <c r="CC11" s="381">
        <f t="shared" si="25"/>
        <v>0</v>
      </c>
      <c r="CD11" s="381">
        <f t="shared" si="25"/>
        <v>0</v>
      </c>
      <c r="CE11" s="381">
        <f t="shared" si="25"/>
        <v>0</v>
      </c>
      <c r="CF11" s="381">
        <f t="shared" si="25"/>
        <v>0</v>
      </c>
      <c r="CJ11" s="425">
        <f>S11*CA11*$A$2/10^7</f>
        <v>32.2269948</v>
      </c>
      <c r="CK11" s="425">
        <f t="shared" ref="CK11:CO11" si="26">T11*CB11*$A$2/10^7</f>
        <v>0</v>
      </c>
      <c r="CL11" s="425">
        <f t="shared" si="26"/>
        <v>0</v>
      </c>
      <c r="CM11" s="425">
        <f t="shared" si="26"/>
        <v>0</v>
      </c>
      <c r="CN11" s="425">
        <f t="shared" si="26"/>
        <v>0</v>
      </c>
      <c r="CO11" s="425">
        <f t="shared" si="26"/>
        <v>0</v>
      </c>
      <c r="CP11" s="426">
        <f>SUM(CJ11:CO11)</f>
        <v>32.2269948</v>
      </c>
      <c r="CT11" s="447">
        <f t="shared" si="24"/>
        <v>32.2269948</v>
      </c>
      <c r="CU11" s="447">
        <f t="shared" si="24"/>
        <v>0</v>
      </c>
      <c r="CV11" s="447">
        <f t="shared" si="24"/>
        <v>0</v>
      </c>
      <c r="CW11" s="447">
        <f t="shared" si="24"/>
        <v>0</v>
      </c>
      <c r="CX11" s="447">
        <f t="shared" si="24"/>
        <v>0</v>
      </c>
      <c r="CY11" s="447">
        <f t="shared" si="24"/>
        <v>0</v>
      </c>
      <c r="CZ11" s="448">
        <f t="shared" si="24"/>
        <v>32.2269948</v>
      </c>
      <c r="DA11" s="413"/>
    </row>
    <row r="12" spans="1:105">
      <c r="B12" s="292" t="str">
        <f>'[50]Productwise sales'!A13</f>
        <v>V16:18 50:50</v>
      </c>
      <c r="C12" s="295">
        <f>'[50]Productwise sales'!I13</f>
        <v>2850</v>
      </c>
      <c r="D12" s="295">
        <f>'[50]Productwise sales'!J13</f>
        <v>1319.9999999999998</v>
      </c>
      <c r="E12" s="295"/>
      <c r="F12" s="302">
        <f>'[50]Revised GC'!Z14</f>
        <v>2850</v>
      </c>
      <c r="G12" s="290">
        <f>'[50]Revised GC'!AA14</f>
        <v>447</v>
      </c>
      <c r="H12" s="399"/>
      <c r="I12" s="384">
        <f>F12*G12/C12</f>
        <v>447</v>
      </c>
      <c r="J12" s="384">
        <f>D12-I12</f>
        <v>872.99999999999977</v>
      </c>
      <c r="K12" s="401"/>
      <c r="L12" s="291"/>
      <c r="M12" s="291"/>
      <c r="N12" s="291"/>
      <c r="O12" s="489"/>
      <c r="P12" s="401"/>
      <c r="Q12" s="401"/>
      <c r="R12" s="401"/>
      <c r="S12" s="295">
        <f>[50]Domestic!J13</f>
        <v>600</v>
      </c>
      <c r="T12" s="295">
        <f>[50]Europe!B13</f>
        <v>120</v>
      </c>
      <c r="U12" s="295">
        <f>'[50]Asia-Pacific'!B13</f>
        <v>0</v>
      </c>
      <c r="V12" s="295">
        <f>'[50]Rest of world'!B13</f>
        <v>1170</v>
      </c>
      <c r="W12" s="295">
        <f>'[50]North America'!B13</f>
        <v>840</v>
      </c>
      <c r="X12" s="295">
        <f>'[50]Latin America'!B13</f>
        <v>120</v>
      </c>
      <c r="Z12" s="295">
        <f>[50]Domestic!K13</f>
        <v>1344</v>
      </c>
      <c r="AA12" s="295">
        <f>[50]Europe!C13</f>
        <v>1200</v>
      </c>
      <c r="AB12" s="295">
        <f>'[50]Asia-Pacific'!C13</f>
        <v>0</v>
      </c>
      <c r="AC12" s="295">
        <f>'[50]Rest of world'!C13</f>
        <v>1320.0000000000002</v>
      </c>
      <c r="AD12" s="295">
        <f>'[50]North America'!C13</f>
        <v>1320</v>
      </c>
      <c r="AE12" s="295">
        <f>'[50]Latin America'!C13</f>
        <v>1319.9999999999998</v>
      </c>
      <c r="AG12" s="302">
        <f t="shared" si="12"/>
        <v>0.80640000000000001</v>
      </c>
      <c r="AH12" s="302">
        <f t="shared" si="6"/>
        <v>0.14399999999999999</v>
      </c>
      <c r="AI12" s="302">
        <f t="shared" si="6"/>
        <v>0</v>
      </c>
      <c r="AJ12" s="302">
        <f t="shared" si="6"/>
        <v>1.5444000000000002</v>
      </c>
      <c r="AK12" s="302">
        <f t="shared" si="6"/>
        <v>1.1088</v>
      </c>
      <c r="AL12" s="302">
        <f t="shared" si="6"/>
        <v>0.15839999999999996</v>
      </c>
      <c r="AN12" s="302">
        <f t="shared" si="7"/>
        <v>5.6448</v>
      </c>
      <c r="AO12" s="302">
        <f t="shared" si="2"/>
        <v>1.008</v>
      </c>
      <c r="AP12" s="302">
        <f t="shared" si="2"/>
        <v>0</v>
      </c>
      <c r="AQ12" s="302">
        <f t="shared" si="2"/>
        <v>10.810800000000002</v>
      </c>
      <c r="AR12" s="302">
        <f t="shared" si="2"/>
        <v>7.7615999999999996</v>
      </c>
      <c r="AS12" s="302">
        <f t="shared" si="2"/>
        <v>1.1087999999999998</v>
      </c>
      <c r="AT12" s="404"/>
      <c r="AU12" s="302">
        <f>J12</f>
        <v>872.99999999999977</v>
      </c>
      <c r="AV12" s="302">
        <f t="shared" ref="AV12:AZ13" si="27">AU12</f>
        <v>872.99999999999977</v>
      </c>
      <c r="AW12" s="302">
        <f t="shared" si="27"/>
        <v>872.99999999999977</v>
      </c>
      <c r="AX12" s="302">
        <f t="shared" si="27"/>
        <v>872.99999999999977</v>
      </c>
      <c r="AY12" s="302">
        <f t="shared" si="27"/>
        <v>872.99999999999977</v>
      </c>
      <c r="AZ12" s="302">
        <f t="shared" si="27"/>
        <v>872.99999999999977</v>
      </c>
      <c r="BB12" s="302">
        <f>IF(Z12=0,0,Z12-AU12)</f>
        <v>471.00000000000023</v>
      </c>
      <c r="BC12" s="302">
        <f t="shared" ref="BC12:BG13" si="28">IF(AA12=0,0,AA12-AV12)</f>
        <v>327.00000000000023</v>
      </c>
      <c r="BD12" s="302">
        <f t="shared" si="28"/>
        <v>0</v>
      </c>
      <c r="BE12" s="302">
        <f t="shared" si="28"/>
        <v>447.00000000000045</v>
      </c>
      <c r="BF12" s="302">
        <f t="shared" si="28"/>
        <v>447.00000000000023</v>
      </c>
      <c r="BG12" s="302">
        <f t="shared" si="28"/>
        <v>447</v>
      </c>
      <c r="BH12" s="408">
        <f>SUMPRODUCT(S12:X12,BB12:BG12)/C12</f>
        <v>447.00000000000034</v>
      </c>
      <c r="BI12" s="409">
        <f>BH12-I12</f>
        <v>0</v>
      </c>
      <c r="BK12" s="425">
        <f t="shared" si="22"/>
        <v>1.9782000000000008</v>
      </c>
      <c r="BL12" s="425">
        <f t="shared" si="22"/>
        <v>0.2746800000000002</v>
      </c>
      <c r="BM12" s="425">
        <f t="shared" si="22"/>
        <v>0</v>
      </c>
      <c r="BN12" s="425">
        <f t="shared" si="22"/>
        <v>3.6609300000000036</v>
      </c>
      <c r="BO12" s="425">
        <f t="shared" si="22"/>
        <v>2.6283600000000011</v>
      </c>
      <c r="BP12" s="425">
        <f t="shared" si="22"/>
        <v>0.37547999999999998</v>
      </c>
      <c r="BQ12" s="436">
        <f t="shared" si="23"/>
        <v>8.9176500000000054</v>
      </c>
      <c r="BX12" s="561"/>
      <c r="BY12" s="561"/>
      <c r="CA12" s="302"/>
      <c r="CB12" s="302"/>
      <c r="CC12" s="302"/>
      <c r="CD12" s="302"/>
      <c r="CE12" s="302"/>
      <c r="CF12" s="302"/>
      <c r="CG12" s="408"/>
      <c r="CH12" s="409"/>
      <c r="CJ12" s="425"/>
      <c r="CK12" s="425"/>
      <c r="CL12" s="425"/>
      <c r="CM12" s="425"/>
      <c r="CN12" s="425"/>
      <c r="CO12" s="425"/>
      <c r="CP12" s="426"/>
      <c r="CT12" s="447">
        <f t="shared" si="24"/>
        <v>1.9782000000000008</v>
      </c>
      <c r="CU12" s="447">
        <f t="shared" si="24"/>
        <v>0.2746800000000002</v>
      </c>
      <c r="CV12" s="447">
        <f t="shared" si="24"/>
        <v>0</v>
      </c>
      <c r="CW12" s="447">
        <f t="shared" si="24"/>
        <v>3.6609300000000036</v>
      </c>
      <c r="CX12" s="447">
        <f t="shared" si="24"/>
        <v>2.6283600000000011</v>
      </c>
      <c r="CY12" s="447">
        <f t="shared" si="24"/>
        <v>0.37547999999999998</v>
      </c>
      <c r="CZ12" s="448">
        <f t="shared" si="24"/>
        <v>8.9176500000000054</v>
      </c>
      <c r="DA12" s="413"/>
    </row>
    <row r="13" spans="1:105">
      <c r="B13" s="292" t="str">
        <f>'[50]Productwise sales'!A14</f>
        <v>V16:18 PS</v>
      </c>
      <c r="C13" s="295">
        <f>'[50]Productwise sales'!I14</f>
        <v>1200</v>
      </c>
      <c r="D13" s="295">
        <f>'[50]Productwise sales'!J14</f>
        <v>1550.0000000000002</v>
      </c>
      <c r="E13" s="295"/>
      <c r="F13" s="302">
        <f>'[50]Revised GC'!Z12</f>
        <v>1200</v>
      </c>
      <c r="G13" s="290">
        <f>'[50]Revised GC'!AA12</f>
        <v>448</v>
      </c>
      <c r="H13" s="399"/>
      <c r="I13" s="384">
        <f>F13*G13/C13</f>
        <v>448</v>
      </c>
      <c r="J13" s="384">
        <f>D13-I13</f>
        <v>1102.0000000000002</v>
      </c>
      <c r="K13" s="401"/>
      <c r="L13" s="291"/>
      <c r="M13" s="291"/>
      <c r="N13" s="291"/>
      <c r="O13" s="489"/>
      <c r="P13" s="401"/>
      <c r="Q13" s="401"/>
      <c r="R13" s="401"/>
      <c r="S13" s="295">
        <f>[50]Domestic!J14</f>
        <v>0</v>
      </c>
      <c r="T13" s="295">
        <f>[50]Europe!B14</f>
        <v>0</v>
      </c>
      <c r="U13" s="295">
        <f>'[50]Asia-Pacific'!B14</f>
        <v>1200</v>
      </c>
      <c r="V13" s="295">
        <f>'[50]Rest of world'!B14</f>
        <v>0</v>
      </c>
      <c r="W13" s="295">
        <f>'[50]North America'!B14</f>
        <v>0</v>
      </c>
      <c r="X13" s="295">
        <f>'[50]Latin America'!B14</f>
        <v>0</v>
      </c>
      <c r="Z13" s="295">
        <f>[50]Domestic!K14</f>
        <v>0</v>
      </c>
      <c r="AA13" s="295">
        <f>[50]Europe!C14</f>
        <v>0</v>
      </c>
      <c r="AB13" s="295">
        <f>'[50]Asia-Pacific'!C14</f>
        <v>1550.0000000000002</v>
      </c>
      <c r="AC13" s="295">
        <f>'[50]Rest of world'!C14</f>
        <v>0</v>
      </c>
      <c r="AD13" s="295">
        <f>'[50]North America'!C14</f>
        <v>0</v>
      </c>
      <c r="AE13" s="295">
        <f>'[50]Latin America'!C14</f>
        <v>0</v>
      </c>
      <c r="AG13" s="302">
        <f t="shared" si="12"/>
        <v>0</v>
      </c>
      <c r="AH13" s="302">
        <f t="shared" si="6"/>
        <v>0</v>
      </c>
      <c r="AI13" s="302">
        <f t="shared" si="6"/>
        <v>1.8600000000000003</v>
      </c>
      <c r="AJ13" s="302">
        <f t="shared" si="6"/>
        <v>0</v>
      </c>
      <c r="AK13" s="302">
        <f t="shared" si="6"/>
        <v>0</v>
      </c>
      <c r="AL13" s="302">
        <f t="shared" si="6"/>
        <v>0</v>
      </c>
      <c r="AN13" s="302">
        <f t="shared" si="7"/>
        <v>0</v>
      </c>
      <c r="AO13" s="302">
        <f t="shared" si="2"/>
        <v>0</v>
      </c>
      <c r="AP13" s="302">
        <f t="shared" si="2"/>
        <v>13.020000000000001</v>
      </c>
      <c r="AQ13" s="302">
        <f t="shared" si="2"/>
        <v>0</v>
      </c>
      <c r="AR13" s="302">
        <f t="shared" si="2"/>
        <v>0</v>
      </c>
      <c r="AS13" s="302">
        <f t="shared" si="2"/>
        <v>0</v>
      </c>
      <c r="AT13" s="404"/>
      <c r="AU13" s="302">
        <f>J13</f>
        <v>1102.0000000000002</v>
      </c>
      <c r="AV13" s="302">
        <f t="shared" si="27"/>
        <v>1102.0000000000002</v>
      </c>
      <c r="AW13" s="302">
        <f t="shared" si="27"/>
        <v>1102.0000000000002</v>
      </c>
      <c r="AX13" s="302">
        <f t="shared" si="27"/>
        <v>1102.0000000000002</v>
      </c>
      <c r="AY13" s="302">
        <f t="shared" si="27"/>
        <v>1102.0000000000002</v>
      </c>
      <c r="AZ13" s="302">
        <f t="shared" si="27"/>
        <v>1102.0000000000002</v>
      </c>
      <c r="BB13" s="302">
        <f>IF(Z13=0,0,Z13-AU13)</f>
        <v>0</v>
      </c>
      <c r="BC13" s="302">
        <f t="shared" si="28"/>
        <v>0</v>
      </c>
      <c r="BD13" s="302">
        <f t="shared" si="28"/>
        <v>448</v>
      </c>
      <c r="BE13" s="302">
        <f t="shared" si="28"/>
        <v>0</v>
      </c>
      <c r="BF13" s="302">
        <f t="shared" si="28"/>
        <v>0</v>
      </c>
      <c r="BG13" s="302">
        <f t="shared" si="28"/>
        <v>0</v>
      </c>
      <c r="BH13" s="408">
        <f>SUMPRODUCT(S13:X13,BB13:BG13)/C13</f>
        <v>448</v>
      </c>
      <c r="BI13" s="409">
        <f>BH13-I13</f>
        <v>0</v>
      </c>
      <c r="BK13" s="425">
        <f t="shared" si="22"/>
        <v>0</v>
      </c>
      <c r="BL13" s="425">
        <f t="shared" si="22"/>
        <v>0</v>
      </c>
      <c r="BM13" s="425">
        <f t="shared" si="22"/>
        <v>3.7631999999999999</v>
      </c>
      <c r="BN13" s="425">
        <f t="shared" si="22"/>
        <v>0</v>
      </c>
      <c r="BO13" s="425">
        <f t="shared" si="22"/>
        <v>0</v>
      </c>
      <c r="BP13" s="425">
        <f t="shared" si="22"/>
        <v>0</v>
      </c>
      <c r="BQ13" s="436">
        <f t="shared" si="23"/>
        <v>3.7631999999999999</v>
      </c>
      <c r="BX13" s="561"/>
      <c r="BY13" s="561"/>
      <c r="CA13" s="302"/>
      <c r="CB13" s="302"/>
      <c r="CC13" s="302"/>
      <c r="CD13" s="302"/>
      <c r="CE13" s="302"/>
      <c r="CF13" s="302"/>
      <c r="CG13" s="408"/>
      <c r="CH13" s="409"/>
      <c r="CJ13" s="425"/>
      <c r="CK13" s="425"/>
      <c r="CL13" s="425"/>
      <c r="CM13" s="425"/>
      <c r="CN13" s="425"/>
      <c r="CO13" s="425"/>
      <c r="CP13" s="426"/>
      <c r="CT13" s="447">
        <f t="shared" si="24"/>
        <v>0</v>
      </c>
      <c r="CU13" s="447">
        <f t="shared" si="24"/>
        <v>0</v>
      </c>
      <c r="CV13" s="447">
        <f t="shared" si="24"/>
        <v>3.7631999999999999</v>
      </c>
      <c r="CW13" s="447">
        <f t="shared" si="24"/>
        <v>0</v>
      </c>
      <c r="CX13" s="447">
        <f t="shared" si="24"/>
        <v>0</v>
      </c>
      <c r="CY13" s="447">
        <f t="shared" si="24"/>
        <v>0</v>
      </c>
      <c r="CZ13" s="448">
        <f t="shared" si="24"/>
        <v>3.7631999999999999</v>
      </c>
      <c r="DA13" s="413"/>
    </row>
    <row r="14" spans="1:105">
      <c r="A14" s="366"/>
      <c r="B14" s="365" t="str">
        <f>'[50]Productwise sales'!A15</f>
        <v>V16:98</v>
      </c>
      <c r="C14" s="395">
        <f>'[50]Productwise sales'!I15</f>
        <v>4373</v>
      </c>
      <c r="D14" s="395">
        <f>'[50]Productwise sales'!J15</f>
        <v>1391.2931625886119</v>
      </c>
      <c r="E14" s="395"/>
      <c r="F14" s="381"/>
      <c r="G14" s="366"/>
      <c r="H14" s="398"/>
      <c r="I14" s="396"/>
      <c r="J14" s="396"/>
      <c r="K14" s="401"/>
      <c r="L14" s="381">
        <f>1288+9152</f>
        <v>10440</v>
      </c>
      <c r="M14" s="380">
        <f>1</f>
        <v>1</v>
      </c>
      <c r="N14" s="381">
        <f>L14/M14</f>
        <v>10440</v>
      </c>
      <c r="O14" s="485">
        <f>N14/$A$2</f>
        <v>149.14285714285714</v>
      </c>
      <c r="P14" s="401"/>
      <c r="Q14" s="401"/>
      <c r="R14" s="401"/>
      <c r="S14" s="395">
        <f>[50]Domestic!J15</f>
        <v>288</v>
      </c>
      <c r="T14" s="395">
        <f>[50]Europe!B15</f>
        <v>300</v>
      </c>
      <c r="U14" s="395">
        <f>'[50]Asia-Pacific'!B15</f>
        <v>120</v>
      </c>
      <c r="V14" s="395">
        <f>'[50]Rest of world'!B15</f>
        <v>890</v>
      </c>
      <c r="W14" s="395">
        <f>'[50]North America'!B15</f>
        <v>2325</v>
      </c>
      <c r="X14" s="395">
        <f>'[50]Latin America'!B15</f>
        <v>450</v>
      </c>
      <c r="Z14" s="395">
        <f>[50]Domestic!K15</f>
        <v>1445</v>
      </c>
      <c r="AA14" s="395">
        <f>[50]Europe!C15</f>
        <v>1298.9999999999995</v>
      </c>
      <c r="AB14" s="395">
        <f>'[50]Asia-Pacific'!C15</f>
        <v>1322</v>
      </c>
      <c r="AC14" s="395">
        <f>'[50]Rest of world'!C15</f>
        <v>1359.9999999999998</v>
      </c>
      <c r="AD14" s="395">
        <f>'[50]North America'!C15</f>
        <v>1422.9999999999998</v>
      </c>
      <c r="AE14" s="395">
        <f>'[50]Latin America'!C15</f>
        <v>1335</v>
      </c>
      <c r="AF14" s="366"/>
      <c r="AG14" s="381">
        <f t="shared" si="12"/>
        <v>0.41615999999999997</v>
      </c>
      <c r="AH14" s="381">
        <f t="shared" si="6"/>
        <v>0.38969999999999988</v>
      </c>
      <c r="AI14" s="381">
        <f t="shared" si="6"/>
        <v>0.15864</v>
      </c>
      <c r="AJ14" s="381">
        <f t="shared" si="6"/>
        <v>1.2103999999999997</v>
      </c>
      <c r="AK14" s="381">
        <f t="shared" si="6"/>
        <v>3.3084749999999996</v>
      </c>
      <c r="AL14" s="381">
        <f t="shared" si="6"/>
        <v>0.60075000000000001</v>
      </c>
      <c r="AM14" s="366"/>
      <c r="AN14" s="381">
        <f t="shared" si="7"/>
        <v>2.9131200000000002</v>
      </c>
      <c r="AO14" s="381">
        <f t="shared" si="2"/>
        <v>2.7278999999999991</v>
      </c>
      <c r="AP14" s="381">
        <f t="shared" si="2"/>
        <v>1.1104800000000001</v>
      </c>
      <c r="AQ14" s="381">
        <f t="shared" si="2"/>
        <v>8.4727999999999977</v>
      </c>
      <c r="AR14" s="381">
        <f t="shared" si="2"/>
        <v>23.159324999999999</v>
      </c>
      <c r="AS14" s="381">
        <f t="shared" si="2"/>
        <v>4.2052500000000004</v>
      </c>
      <c r="AT14" s="404"/>
      <c r="AU14" s="381"/>
      <c r="AV14" s="381"/>
      <c r="AW14" s="381"/>
      <c r="AX14" s="381"/>
      <c r="AY14" s="381"/>
      <c r="AZ14" s="381"/>
      <c r="BB14" s="381"/>
      <c r="BC14" s="381"/>
      <c r="BD14" s="381"/>
      <c r="BE14" s="381"/>
      <c r="BF14" s="381"/>
      <c r="BG14" s="381"/>
      <c r="BK14" s="425">
        <f t="shared" si="22"/>
        <v>0</v>
      </c>
      <c r="BL14" s="425">
        <f t="shared" si="22"/>
        <v>0</v>
      </c>
      <c r="BM14" s="425">
        <f t="shared" si="22"/>
        <v>0</v>
      </c>
      <c r="BN14" s="425">
        <f t="shared" si="22"/>
        <v>0</v>
      </c>
      <c r="BO14" s="425">
        <f t="shared" si="22"/>
        <v>0</v>
      </c>
      <c r="BP14" s="425">
        <f t="shared" si="22"/>
        <v>0</v>
      </c>
      <c r="BQ14" s="436">
        <f t="shared" si="23"/>
        <v>0</v>
      </c>
      <c r="BX14" s="561"/>
      <c r="BY14" s="561"/>
      <c r="CA14" s="381">
        <f>IF(Z14=0,0,Z14-$O$14)</f>
        <v>1295.8571428571429</v>
      </c>
      <c r="CB14" s="381">
        <f t="shared" ref="CB14:CF14" si="29">IF(AA14=0,0,AA14-$O$14)</f>
        <v>1149.8571428571424</v>
      </c>
      <c r="CC14" s="381">
        <f t="shared" si="29"/>
        <v>1172.8571428571429</v>
      </c>
      <c r="CD14" s="381">
        <f t="shared" si="29"/>
        <v>1210.8571428571427</v>
      </c>
      <c r="CE14" s="381">
        <f t="shared" si="29"/>
        <v>1273.8571428571427</v>
      </c>
      <c r="CF14" s="381">
        <f t="shared" si="29"/>
        <v>1185.8571428571429</v>
      </c>
      <c r="CJ14" s="425">
        <f>S14*CA14*$A$2/10^7</f>
        <v>2.6124480000000001</v>
      </c>
      <c r="CK14" s="425">
        <f t="shared" ref="CK14:CO14" si="30">T14*CB14*$A$2/10^7</f>
        <v>2.4146999999999994</v>
      </c>
      <c r="CL14" s="425">
        <f t="shared" si="30"/>
        <v>0.98520000000000019</v>
      </c>
      <c r="CM14" s="425">
        <f t="shared" si="30"/>
        <v>7.5436399999999999</v>
      </c>
      <c r="CN14" s="425">
        <f t="shared" si="30"/>
        <v>20.732024999999997</v>
      </c>
      <c r="CO14" s="425">
        <f t="shared" si="30"/>
        <v>3.7354500000000002</v>
      </c>
      <c r="CP14" s="426">
        <f>SUM(CJ14:CO14)</f>
        <v>38.023462999999992</v>
      </c>
      <c r="CT14" s="447">
        <f t="shared" si="24"/>
        <v>2.6124480000000001</v>
      </c>
      <c r="CU14" s="447">
        <f t="shared" si="24"/>
        <v>2.4146999999999994</v>
      </c>
      <c r="CV14" s="447">
        <f t="shared" si="24"/>
        <v>0.98520000000000019</v>
      </c>
      <c r="CW14" s="447">
        <f t="shared" si="24"/>
        <v>7.5436399999999999</v>
      </c>
      <c r="CX14" s="447">
        <f t="shared" si="24"/>
        <v>20.732024999999997</v>
      </c>
      <c r="CY14" s="447">
        <f t="shared" si="24"/>
        <v>3.7354500000000002</v>
      </c>
      <c r="CZ14" s="448">
        <f t="shared" si="24"/>
        <v>38.023462999999992</v>
      </c>
      <c r="DA14" s="413"/>
    </row>
    <row r="15" spans="1:105">
      <c r="B15" s="369" t="str">
        <f>'[50]Productwise sales'!A16</f>
        <v>V18</v>
      </c>
      <c r="C15" s="370">
        <f>'[50]Productwise sales'!I16</f>
        <v>5607</v>
      </c>
      <c r="D15" s="370">
        <f>'[50]Productwise sales'!J16</f>
        <v>1329</v>
      </c>
      <c r="E15" s="370"/>
      <c r="F15" s="382">
        <f>'[50]Revised GC'!Z24</f>
        <v>5158</v>
      </c>
      <c r="G15" s="371">
        <f>'[50]Revised GC'!AA24</f>
        <v>169</v>
      </c>
      <c r="H15" s="399"/>
      <c r="I15" s="384">
        <f>F15*G15/C15</f>
        <v>155.46673800606385</v>
      </c>
      <c r="J15" s="384">
        <f>D15-I15</f>
        <v>1173.5332619939361</v>
      </c>
      <c r="K15" s="401"/>
      <c r="L15" s="291"/>
      <c r="M15" s="291"/>
      <c r="N15" s="291"/>
      <c r="O15" s="291"/>
      <c r="P15" s="401"/>
      <c r="Q15" s="401"/>
      <c r="R15" s="401"/>
      <c r="S15" s="295">
        <f>[50]Domestic!J16</f>
        <v>780</v>
      </c>
      <c r="T15" s="295">
        <f>[50]Europe!B16</f>
        <v>225</v>
      </c>
      <c r="U15" s="295">
        <f>'[50]Asia-Pacific'!B16</f>
        <v>120</v>
      </c>
      <c r="V15" s="295">
        <f>'[50]Rest of world'!B16</f>
        <v>180</v>
      </c>
      <c r="W15" s="295">
        <f>'[50]North America'!B16</f>
        <v>4202</v>
      </c>
      <c r="X15" s="295">
        <f>'[50]Latin America'!B16</f>
        <v>100</v>
      </c>
      <c r="Z15" s="295">
        <f>[50]Domestic!K16</f>
        <v>1328.9999999999995</v>
      </c>
      <c r="AA15" s="295">
        <f>[50]Europe!C16</f>
        <v>1329</v>
      </c>
      <c r="AB15" s="295">
        <f>'[50]Asia-Pacific'!C16</f>
        <v>1329</v>
      </c>
      <c r="AC15" s="295">
        <f>'[50]Rest of world'!C16</f>
        <v>1329</v>
      </c>
      <c r="AD15" s="295">
        <f>'[50]North America'!C16</f>
        <v>1329</v>
      </c>
      <c r="AE15" s="295">
        <f>'[50]Latin America'!C16</f>
        <v>1329</v>
      </c>
      <c r="AG15" s="302">
        <f t="shared" si="12"/>
        <v>1.0366199999999997</v>
      </c>
      <c r="AH15" s="302">
        <f t="shared" si="6"/>
        <v>0.29902499999999999</v>
      </c>
      <c r="AI15" s="302">
        <f t="shared" si="6"/>
        <v>0.15948000000000001</v>
      </c>
      <c r="AJ15" s="302">
        <f t="shared" si="6"/>
        <v>0.23921999999999999</v>
      </c>
      <c r="AK15" s="302">
        <f t="shared" si="6"/>
        <v>5.5844579999999997</v>
      </c>
      <c r="AL15" s="302">
        <f t="shared" si="6"/>
        <v>0.13289999999999999</v>
      </c>
      <c r="AN15" s="302">
        <f t="shared" si="7"/>
        <v>7.2563399999999971</v>
      </c>
      <c r="AO15" s="302">
        <f t="shared" si="2"/>
        <v>2.0931749999999996</v>
      </c>
      <c r="AP15" s="302">
        <f t="shared" si="2"/>
        <v>1.11636</v>
      </c>
      <c r="AQ15" s="302">
        <f t="shared" si="2"/>
        <v>1.6745399999999999</v>
      </c>
      <c r="AR15" s="302">
        <f t="shared" si="2"/>
        <v>39.091206</v>
      </c>
      <c r="AS15" s="302">
        <f t="shared" si="2"/>
        <v>0.9302999999999999</v>
      </c>
      <c r="AT15" s="404"/>
      <c r="AU15" s="302">
        <f>J15</f>
        <v>1173.5332619939361</v>
      </c>
      <c r="AV15" s="302">
        <f>AU15</f>
        <v>1173.5332619939361</v>
      </c>
      <c r="AW15" s="302">
        <f>AV15</f>
        <v>1173.5332619939361</v>
      </c>
      <c r="AX15" s="302">
        <f>AW15</f>
        <v>1173.5332619939361</v>
      </c>
      <c r="AY15" s="302">
        <f>AX15</f>
        <v>1173.5332619939361</v>
      </c>
      <c r="AZ15" s="302">
        <f>AY15</f>
        <v>1173.5332619939361</v>
      </c>
      <c r="BB15" s="302">
        <f>IF(Z15=0,0,Z15-AU15)</f>
        <v>155.46673800606345</v>
      </c>
      <c r="BC15" s="302">
        <f t="shared" ref="BC15:BG15" si="31">IF(AA15=0,0,AA15-AV15)</f>
        <v>155.46673800606391</v>
      </c>
      <c r="BD15" s="302">
        <f t="shared" si="31"/>
        <v>155.46673800606391</v>
      </c>
      <c r="BE15" s="302">
        <f t="shared" si="31"/>
        <v>155.46673800606391</v>
      </c>
      <c r="BF15" s="302">
        <f t="shared" si="31"/>
        <v>155.46673800606391</v>
      </c>
      <c r="BG15" s="302">
        <f t="shared" si="31"/>
        <v>155.46673800606391</v>
      </c>
      <c r="BH15" s="408">
        <f>SUMPRODUCT(S15:X15,BB15:BG15)/C15</f>
        <v>155.46673800606385</v>
      </c>
      <c r="BI15" s="409">
        <f>BH15-I15</f>
        <v>0</v>
      </c>
      <c r="BK15" s="425">
        <f t="shared" si="22"/>
        <v>0.84884838951310648</v>
      </c>
      <c r="BL15" s="425">
        <f t="shared" si="22"/>
        <v>0.24486011235955063</v>
      </c>
      <c r="BM15" s="425">
        <f t="shared" si="22"/>
        <v>0.13059205992509368</v>
      </c>
      <c r="BN15" s="425">
        <f t="shared" si="22"/>
        <v>0.1958880898876405</v>
      </c>
      <c r="BO15" s="425">
        <f t="shared" si="22"/>
        <v>4.5728986317103635</v>
      </c>
      <c r="BP15" s="425">
        <f t="shared" si="22"/>
        <v>0.10882671660424473</v>
      </c>
      <c r="BQ15" s="436">
        <f t="shared" si="23"/>
        <v>6.1019139999999998</v>
      </c>
      <c r="BX15" s="561"/>
      <c r="BY15" s="561"/>
      <c r="CA15" s="302"/>
      <c r="CB15" s="302"/>
      <c r="CC15" s="302"/>
      <c r="CD15" s="302"/>
      <c r="CE15" s="302"/>
      <c r="CF15" s="302"/>
      <c r="CG15" s="408"/>
      <c r="CH15" s="409"/>
      <c r="CJ15" s="425"/>
      <c r="CK15" s="425"/>
      <c r="CL15" s="425"/>
      <c r="CM15" s="425"/>
      <c r="CN15" s="425"/>
      <c r="CO15" s="425"/>
      <c r="CP15" s="426"/>
      <c r="CT15" s="447">
        <f t="shared" si="24"/>
        <v>0.84884838951310648</v>
      </c>
      <c r="CU15" s="447">
        <f t="shared" si="24"/>
        <v>0.24486011235955063</v>
      </c>
      <c r="CV15" s="447">
        <f t="shared" si="24"/>
        <v>0.13059205992509368</v>
      </c>
      <c r="CW15" s="447">
        <f t="shared" si="24"/>
        <v>0.1958880898876405</v>
      </c>
      <c r="CX15" s="447">
        <f t="shared" si="24"/>
        <v>4.5728986317103635</v>
      </c>
      <c r="CY15" s="447">
        <f t="shared" si="24"/>
        <v>0.10882671660424473</v>
      </c>
      <c r="CZ15" s="448">
        <f t="shared" si="24"/>
        <v>6.1019139999999998</v>
      </c>
      <c r="DA15" s="413"/>
    </row>
    <row r="16" spans="1:105">
      <c r="B16" s="293" t="s">
        <v>142</v>
      </c>
      <c r="C16" s="301">
        <f>SUM(C17:C21)</f>
        <v>4110</v>
      </c>
      <c r="D16" s="301"/>
      <c r="E16" s="383"/>
      <c r="F16" s="301">
        <f>SUM(F17:F21)</f>
        <v>4110</v>
      </c>
      <c r="H16" s="398"/>
      <c r="I16" s="384"/>
      <c r="J16" s="384"/>
      <c r="K16" s="401"/>
      <c r="L16" s="291"/>
      <c r="M16" s="291"/>
      <c r="N16" s="291"/>
      <c r="O16" s="291"/>
      <c r="P16" s="401"/>
      <c r="Q16" s="401"/>
      <c r="R16" s="401"/>
      <c r="S16" s="301">
        <f t="shared" ref="S16:X16" si="32">SUM(S17:S21)</f>
        <v>1014</v>
      </c>
      <c r="T16" s="301">
        <f t="shared" si="32"/>
        <v>156</v>
      </c>
      <c r="U16" s="301">
        <f t="shared" si="32"/>
        <v>1950</v>
      </c>
      <c r="V16" s="301">
        <f t="shared" si="32"/>
        <v>60</v>
      </c>
      <c r="W16" s="301">
        <f t="shared" si="32"/>
        <v>830</v>
      </c>
      <c r="X16" s="301">
        <f t="shared" si="32"/>
        <v>100</v>
      </c>
      <c r="AG16" s="301">
        <f t="shared" ref="AG16:AL16" si="33">SUM(AG17:AG21)</f>
        <v>3.0049499999999996</v>
      </c>
      <c r="AH16" s="301">
        <f t="shared" si="33"/>
        <v>0.51135000000000019</v>
      </c>
      <c r="AI16" s="301">
        <f t="shared" si="33"/>
        <v>6.300600000000002</v>
      </c>
      <c r="AJ16" s="301">
        <f t="shared" si="33"/>
        <v>0.1875</v>
      </c>
      <c r="AK16" s="301">
        <f t="shared" si="33"/>
        <v>1.9606005660377359</v>
      </c>
      <c r="AL16" s="301">
        <f t="shared" si="33"/>
        <v>0.3125</v>
      </c>
      <c r="AN16" s="301">
        <f t="shared" si="7"/>
        <v>21.034649999999996</v>
      </c>
      <c r="AO16" s="301">
        <f t="shared" si="2"/>
        <v>3.5794500000000014</v>
      </c>
      <c r="AP16" s="301">
        <f t="shared" si="2"/>
        <v>44.104200000000013</v>
      </c>
      <c r="AQ16" s="301">
        <f t="shared" si="2"/>
        <v>1.3125</v>
      </c>
      <c r="AR16" s="301">
        <f t="shared" si="2"/>
        <v>13.724203962264152</v>
      </c>
      <c r="AS16" s="301">
        <f t="shared" si="2"/>
        <v>2.1875</v>
      </c>
      <c r="AT16" s="404"/>
      <c r="AU16" s="301"/>
      <c r="AV16" s="301"/>
      <c r="AW16" s="301"/>
      <c r="AX16" s="301"/>
      <c r="AY16" s="301"/>
      <c r="AZ16" s="301"/>
      <c r="BB16" s="301"/>
      <c r="BC16" s="301"/>
      <c r="BD16" s="301"/>
      <c r="BE16" s="301"/>
      <c r="BF16" s="301"/>
      <c r="BG16" s="301"/>
      <c r="BK16" s="441">
        <f t="shared" ref="BK16:BQ16" si="34">SUM(BK17:BK21)</f>
        <v>6.8453787169811289</v>
      </c>
      <c r="BL16" s="423">
        <f t="shared" si="34"/>
        <v>1.0657359999999998</v>
      </c>
      <c r="BM16" s="423">
        <f t="shared" si="34"/>
        <v>14.032695283018869</v>
      </c>
      <c r="BN16" s="423">
        <f t="shared" si="34"/>
        <v>0.38135999999999998</v>
      </c>
      <c r="BO16" s="423">
        <f t="shared" si="34"/>
        <v>3.6265599999999987</v>
      </c>
      <c r="BP16" s="423">
        <f t="shared" si="34"/>
        <v>0.63560000000000005</v>
      </c>
      <c r="BQ16" s="423">
        <f t="shared" si="34"/>
        <v>26.587329999999994</v>
      </c>
      <c r="BX16" s="561"/>
      <c r="BY16" s="561"/>
      <c r="CA16" s="301"/>
      <c r="CB16" s="301"/>
      <c r="CC16" s="301"/>
      <c r="CD16" s="301"/>
      <c r="CE16" s="301"/>
      <c r="CF16" s="301"/>
      <c r="CJ16" s="423">
        <f t="shared" ref="CJ16:CP16" si="35">SUM(CJ17:CJ21)</f>
        <v>0</v>
      </c>
      <c r="CK16" s="423">
        <f t="shared" si="35"/>
        <v>0</v>
      </c>
      <c r="CL16" s="423">
        <f t="shared" si="35"/>
        <v>0</v>
      </c>
      <c r="CM16" s="423">
        <f t="shared" si="35"/>
        <v>0</v>
      </c>
      <c r="CN16" s="423">
        <f t="shared" si="35"/>
        <v>0</v>
      </c>
      <c r="CO16" s="423">
        <f t="shared" si="35"/>
        <v>0</v>
      </c>
      <c r="CP16" s="423">
        <f t="shared" si="35"/>
        <v>0</v>
      </c>
      <c r="CT16" s="445">
        <f t="shared" ref="CT16:CZ16" si="36">SUM(CT17:CT21)</f>
        <v>6.8453787169811289</v>
      </c>
      <c r="CU16" s="445">
        <f t="shared" si="36"/>
        <v>1.0657359999999998</v>
      </c>
      <c r="CV16" s="445">
        <f t="shared" si="36"/>
        <v>14.032695283018869</v>
      </c>
      <c r="CW16" s="445">
        <f t="shared" si="36"/>
        <v>0.38135999999999998</v>
      </c>
      <c r="CX16" s="445">
        <f t="shared" si="36"/>
        <v>3.6265599999999987</v>
      </c>
      <c r="CY16" s="445">
        <f t="shared" si="36"/>
        <v>0.63560000000000005</v>
      </c>
      <c r="CZ16" s="446">
        <f t="shared" si="36"/>
        <v>26.587329999999994</v>
      </c>
      <c r="DA16" s="413"/>
    </row>
    <row r="17" spans="1:105">
      <c r="B17" s="292" t="str">
        <f>'[50]Productwise sales'!A17</f>
        <v>V2270</v>
      </c>
      <c r="C17" s="295">
        <f>'[50]Productwise sales'!I17</f>
        <v>1310</v>
      </c>
      <c r="D17" s="295">
        <f>'[50]Productwise sales'!J17</f>
        <v>3125</v>
      </c>
      <c r="E17" s="295"/>
      <c r="F17" s="302">
        <f>'[50]Revised GC'!Z16</f>
        <v>1310</v>
      </c>
      <c r="G17" s="290">
        <f>'[50]Revised GC'!AA16</f>
        <v>908</v>
      </c>
      <c r="H17" s="399"/>
      <c r="I17" s="384">
        <f t="shared" ref="I17:I21" si="37">F17*G17/C17</f>
        <v>908</v>
      </c>
      <c r="J17" s="384">
        <f>D17-I17</f>
        <v>2217</v>
      </c>
      <c r="K17" s="401"/>
      <c r="L17" s="291"/>
      <c r="M17" s="291"/>
      <c r="N17" s="291"/>
      <c r="O17" s="291"/>
      <c r="P17" s="401"/>
      <c r="Q17" s="401"/>
      <c r="R17" s="401"/>
      <c r="S17" s="295">
        <f>[50]Domestic!J17</f>
        <v>510</v>
      </c>
      <c r="T17" s="295">
        <f>[50]Europe!B17</f>
        <v>50</v>
      </c>
      <c r="U17" s="295">
        <f>'[50]Asia-Pacific'!B17</f>
        <v>240</v>
      </c>
      <c r="V17" s="295">
        <f>'[50]Rest of world'!B17</f>
        <v>60</v>
      </c>
      <c r="W17" s="295">
        <f>'[50]North America'!B17</f>
        <v>350</v>
      </c>
      <c r="X17" s="295">
        <f>'[50]Latin America'!B17</f>
        <v>100</v>
      </c>
      <c r="Z17" s="295">
        <f>[50]Domestic!K17</f>
        <v>3125</v>
      </c>
      <c r="AA17" s="295">
        <f>[50]Europe!C17</f>
        <v>3125</v>
      </c>
      <c r="AB17" s="295">
        <f>'[50]Asia-Pacific'!C17</f>
        <v>3125</v>
      </c>
      <c r="AC17" s="295">
        <f>'[50]Rest of world'!C17</f>
        <v>3125</v>
      </c>
      <c r="AD17" s="295">
        <f>'[50]North America'!C17</f>
        <v>3125</v>
      </c>
      <c r="AE17" s="295">
        <f>'[50]Latin America'!C17</f>
        <v>3125</v>
      </c>
      <c r="AG17" s="302">
        <f t="shared" si="12"/>
        <v>1.59375</v>
      </c>
      <c r="AH17" s="302">
        <f t="shared" si="6"/>
        <v>0.15625</v>
      </c>
      <c r="AI17" s="302">
        <f t="shared" si="6"/>
        <v>0.75</v>
      </c>
      <c r="AJ17" s="302">
        <f t="shared" si="6"/>
        <v>0.1875</v>
      </c>
      <c r="AK17" s="302">
        <f t="shared" si="6"/>
        <v>1.09375</v>
      </c>
      <c r="AL17" s="302">
        <f t="shared" si="6"/>
        <v>0.3125</v>
      </c>
      <c r="AN17" s="302">
        <f t="shared" si="7"/>
        <v>11.15625</v>
      </c>
      <c r="AO17" s="302">
        <f t="shared" si="2"/>
        <v>1.09375</v>
      </c>
      <c r="AP17" s="302">
        <f t="shared" si="2"/>
        <v>5.25</v>
      </c>
      <c r="AQ17" s="302">
        <f t="shared" si="2"/>
        <v>1.3125</v>
      </c>
      <c r="AR17" s="302">
        <f t="shared" si="2"/>
        <v>7.65625</v>
      </c>
      <c r="AS17" s="302">
        <f t="shared" si="2"/>
        <v>2.1875</v>
      </c>
      <c r="AT17" s="404"/>
      <c r="AU17" s="302">
        <f>J17</f>
        <v>2217</v>
      </c>
      <c r="AV17" s="302">
        <f t="shared" ref="AV17:AZ21" si="38">AU17</f>
        <v>2217</v>
      </c>
      <c r="AW17" s="302">
        <f t="shared" si="38"/>
        <v>2217</v>
      </c>
      <c r="AX17" s="302">
        <f t="shared" si="38"/>
        <v>2217</v>
      </c>
      <c r="AY17" s="302">
        <f t="shared" si="38"/>
        <v>2217</v>
      </c>
      <c r="AZ17" s="302">
        <f t="shared" si="38"/>
        <v>2217</v>
      </c>
      <c r="BB17" s="302">
        <f t="shared" ref="BB17:BG21" si="39">IF(Z17=0,0,Z17-AU17)</f>
        <v>908</v>
      </c>
      <c r="BC17" s="302">
        <f t="shared" si="39"/>
        <v>908</v>
      </c>
      <c r="BD17" s="302">
        <f t="shared" si="39"/>
        <v>908</v>
      </c>
      <c r="BE17" s="302">
        <f t="shared" si="39"/>
        <v>908</v>
      </c>
      <c r="BF17" s="302">
        <f t="shared" si="39"/>
        <v>908</v>
      </c>
      <c r="BG17" s="302">
        <f t="shared" si="39"/>
        <v>908</v>
      </c>
      <c r="BH17" s="408">
        <f>SUMPRODUCT(S17:X17,BB17:BG17)/C17</f>
        <v>908</v>
      </c>
      <c r="BI17" s="409">
        <f>BH17-I17</f>
        <v>0</v>
      </c>
      <c r="BK17" s="425">
        <f t="shared" ref="BK17:BP21" si="40">S17*BB17*$A$2/10^7</f>
        <v>3.2415600000000002</v>
      </c>
      <c r="BL17" s="425">
        <f t="shared" si="40"/>
        <v>0.31780000000000003</v>
      </c>
      <c r="BM17" s="425">
        <f t="shared" si="40"/>
        <v>1.5254399999999999</v>
      </c>
      <c r="BN17" s="425">
        <f t="shared" si="40"/>
        <v>0.38135999999999998</v>
      </c>
      <c r="BO17" s="425">
        <f t="shared" si="40"/>
        <v>2.2246000000000001</v>
      </c>
      <c r="BP17" s="425">
        <f t="shared" si="40"/>
        <v>0.63560000000000005</v>
      </c>
      <c r="BQ17" s="436">
        <f t="shared" ref="BQ17:BQ21" si="41">SUM(BK17:BP17)</f>
        <v>8.3263600000000011</v>
      </c>
      <c r="BX17" s="561"/>
      <c r="BY17" s="561"/>
      <c r="CA17" s="302"/>
      <c r="CB17" s="302"/>
      <c r="CC17" s="302"/>
      <c r="CD17" s="302"/>
      <c r="CE17" s="302"/>
      <c r="CF17" s="302"/>
      <c r="CG17" s="408"/>
      <c r="CH17" s="409"/>
      <c r="CJ17" s="425"/>
      <c r="CK17" s="425"/>
      <c r="CL17" s="425"/>
      <c r="CM17" s="425"/>
      <c r="CN17" s="425"/>
      <c r="CO17" s="425"/>
      <c r="CP17" s="426"/>
      <c r="CT17" s="447">
        <f t="shared" ref="CT17:CZ21" si="42">BK17+CJ17</f>
        <v>3.2415600000000002</v>
      </c>
      <c r="CU17" s="447">
        <f t="shared" si="42"/>
        <v>0.31780000000000003</v>
      </c>
      <c r="CV17" s="447">
        <f t="shared" si="42"/>
        <v>1.5254399999999999</v>
      </c>
      <c r="CW17" s="447">
        <f t="shared" si="42"/>
        <v>0.38135999999999998</v>
      </c>
      <c r="CX17" s="447">
        <f t="shared" si="42"/>
        <v>2.2246000000000001</v>
      </c>
      <c r="CY17" s="447">
        <f t="shared" si="42"/>
        <v>0.63560000000000005</v>
      </c>
      <c r="CZ17" s="448">
        <f t="shared" si="42"/>
        <v>8.3263600000000011</v>
      </c>
      <c r="DA17" s="413"/>
    </row>
    <row r="18" spans="1:105">
      <c r="B18" s="292" t="str">
        <f>'[50]Productwise sales'!A18</f>
        <v>V2280</v>
      </c>
      <c r="C18" s="295">
        <f>'[50]Productwise sales'!I18</f>
        <v>1066</v>
      </c>
      <c r="D18" s="295">
        <f>'[50]Productwise sales'!J18</f>
        <v>3350.0000000000014</v>
      </c>
      <c r="E18" s="295"/>
      <c r="F18" s="302">
        <f>'[50]Revised GC'!Z17</f>
        <v>1066</v>
      </c>
      <c r="G18" s="290">
        <f>'[50]Revised GC'!AA17</f>
        <v>1008</v>
      </c>
      <c r="H18" s="399"/>
      <c r="I18" s="384">
        <f t="shared" si="37"/>
        <v>1008</v>
      </c>
      <c r="J18" s="384">
        <f>D18-I18</f>
        <v>2342.0000000000014</v>
      </c>
      <c r="K18" s="401"/>
      <c r="L18" s="291"/>
      <c r="M18" s="291"/>
      <c r="N18" s="291"/>
      <c r="O18" s="291"/>
      <c r="P18" s="401"/>
      <c r="Q18" s="401"/>
      <c r="R18" s="401"/>
      <c r="S18" s="295">
        <f>[50]Domestic!J18</f>
        <v>0</v>
      </c>
      <c r="T18" s="295">
        <f>[50]Europe!B18</f>
        <v>106</v>
      </c>
      <c r="U18" s="295">
        <f>'[50]Asia-Pacific'!B18</f>
        <v>960</v>
      </c>
      <c r="V18" s="295">
        <f>'[50]Rest of world'!B18</f>
        <v>0</v>
      </c>
      <c r="W18" s="295">
        <f>'[50]North America'!B18</f>
        <v>0</v>
      </c>
      <c r="X18" s="295">
        <f>'[50]Latin America'!B18</f>
        <v>0</v>
      </c>
      <c r="Z18" s="295">
        <f>[50]Domestic!K18</f>
        <v>0</v>
      </c>
      <c r="AA18" s="295">
        <f>[50]Europe!C18</f>
        <v>3350.0000000000009</v>
      </c>
      <c r="AB18" s="295">
        <f>'[50]Asia-Pacific'!C18</f>
        <v>3350.0000000000014</v>
      </c>
      <c r="AC18" s="295">
        <f>'[50]Rest of world'!C18</f>
        <v>0</v>
      </c>
      <c r="AD18" s="295">
        <f>'[50]North America'!C18</f>
        <v>0</v>
      </c>
      <c r="AE18" s="295">
        <f>'[50]Latin America'!C18</f>
        <v>0</v>
      </c>
      <c r="AG18" s="302">
        <f t="shared" si="12"/>
        <v>0</v>
      </c>
      <c r="AH18" s="302">
        <f t="shared" si="6"/>
        <v>0.35510000000000014</v>
      </c>
      <c r="AI18" s="302">
        <f t="shared" si="6"/>
        <v>3.2160000000000015</v>
      </c>
      <c r="AJ18" s="302">
        <f t="shared" si="6"/>
        <v>0</v>
      </c>
      <c r="AK18" s="302">
        <f t="shared" si="6"/>
        <v>0</v>
      </c>
      <c r="AL18" s="302">
        <f t="shared" si="6"/>
        <v>0</v>
      </c>
      <c r="AN18" s="302">
        <f t="shared" si="7"/>
        <v>0</v>
      </c>
      <c r="AO18" s="302">
        <f t="shared" si="2"/>
        <v>2.4857000000000009</v>
      </c>
      <c r="AP18" s="302">
        <f t="shared" si="2"/>
        <v>22.512000000000011</v>
      </c>
      <c r="AQ18" s="302">
        <f t="shared" si="2"/>
        <v>0</v>
      </c>
      <c r="AR18" s="302">
        <f t="shared" si="2"/>
        <v>0</v>
      </c>
      <c r="AS18" s="302">
        <f t="shared" si="2"/>
        <v>0</v>
      </c>
      <c r="AT18" s="404"/>
      <c r="AU18" s="302">
        <f>J18</f>
        <v>2342.0000000000014</v>
      </c>
      <c r="AV18" s="302">
        <f t="shared" si="38"/>
        <v>2342.0000000000014</v>
      </c>
      <c r="AW18" s="302">
        <f t="shared" si="38"/>
        <v>2342.0000000000014</v>
      </c>
      <c r="AX18" s="302">
        <f t="shared" si="38"/>
        <v>2342.0000000000014</v>
      </c>
      <c r="AY18" s="302">
        <f t="shared" si="38"/>
        <v>2342.0000000000014</v>
      </c>
      <c r="AZ18" s="302">
        <f t="shared" si="38"/>
        <v>2342.0000000000014</v>
      </c>
      <c r="BB18" s="302">
        <f t="shared" si="39"/>
        <v>0</v>
      </c>
      <c r="BC18" s="302">
        <f t="shared" si="39"/>
        <v>1007.9999999999995</v>
      </c>
      <c r="BD18" s="302">
        <f t="shared" si="39"/>
        <v>1008</v>
      </c>
      <c r="BE18" s="302">
        <f t="shared" si="39"/>
        <v>0</v>
      </c>
      <c r="BF18" s="302">
        <f t="shared" si="39"/>
        <v>0</v>
      </c>
      <c r="BG18" s="302">
        <f t="shared" si="39"/>
        <v>0</v>
      </c>
      <c r="BH18" s="408">
        <f>SUMPRODUCT(S18:X18,BB18:BG18)/C18</f>
        <v>1008</v>
      </c>
      <c r="BI18" s="409">
        <f>BH18-I18</f>
        <v>0</v>
      </c>
      <c r="BK18" s="425">
        <f t="shared" si="40"/>
        <v>0</v>
      </c>
      <c r="BL18" s="425">
        <f t="shared" si="40"/>
        <v>0.74793599999999971</v>
      </c>
      <c r="BM18" s="425">
        <f t="shared" si="40"/>
        <v>6.7737600000000002</v>
      </c>
      <c r="BN18" s="425">
        <f t="shared" si="40"/>
        <v>0</v>
      </c>
      <c r="BO18" s="425">
        <f t="shared" si="40"/>
        <v>0</v>
      </c>
      <c r="BP18" s="425">
        <f t="shared" si="40"/>
        <v>0</v>
      </c>
      <c r="BQ18" s="436">
        <f t="shared" si="41"/>
        <v>7.5216960000000004</v>
      </c>
      <c r="BX18" s="561"/>
      <c r="BY18" s="561"/>
      <c r="CA18" s="302"/>
      <c r="CB18" s="302"/>
      <c r="CC18" s="302"/>
      <c r="CD18" s="302"/>
      <c r="CE18" s="302"/>
      <c r="CF18" s="302"/>
      <c r="CG18" s="408"/>
      <c r="CH18" s="409"/>
      <c r="CJ18" s="425"/>
      <c r="CK18" s="425"/>
      <c r="CL18" s="425"/>
      <c r="CM18" s="425"/>
      <c r="CN18" s="425"/>
      <c r="CO18" s="425"/>
      <c r="CP18" s="426"/>
      <c r="CT18" s="447">
        <f t="shared" si="42"/>
        <v>0</v>
      </c>
      <c r="CU18" s="447">
        <f t="shared" si="42"/>
        <v>0.74793599999999971</v>
      </c>
      <c r="CV18" s="447">
        <f t="shared" si="42"/>
        <v>6.7737600000000002</v>
      </c>
      <c r="CW18" s="447">
        <f t="shared" si="42"/>
        <v>0</v>
      </c>
      <c r="CX18" s="447">
        <f t="shared" si="42"/>
        <v>0</v>
      </c>
      <c r="CY18" s="447">
        <f t="shared" si="42"/>
        <v>0</v>
      </c>
      <c r="CZ18" s="448">
        <f t="shared" si="42"/>
        <v>7.5216960000000004</v>
      </c>
      <c r="DA18" s="413"/>
    </row>
    <row r="19" spans="1:105">
      <c r="B19" s="292" t="str">
        <f>'[50]Productwise sales'!A19</f>
        <v>V1822</v>
      </c>
      <c r="C19" s="295">
        <f>'[50]Productwise sales'!I19</f>
        <v>1014</v>
      </c>
      <c r="D19" s="295">
        <f>'[50]Productwise sales'!J19</f>
        <v>2841.5094339622642</v>
      </c>
      <c r="E19" s="295"/>
      <c r="F19" s="302">
        <f>'[50]Revised GC'!Z19</f>
        <v>1014</v>
      </c>
      <c r="G19" s="290">
        <f>'[50]Revised GC'!AA19</f>
        <v>1063</v>
      </c>
      <c r="H19" s="399"/>
      <c r="I19" s="384">
        <f t="shared" si="37"/>
        <v>1063</v>
      </c>
      <c r="J19" s="384">
        <f>D19-I19</f>
        <v>1778.5094339622642</v>
      </c>
      <c r="K19" s="401"/>
      <c r="L19" s="291"/>
      <c r="M19" s="291"/>
      <c r="N19" s="291"/>
      <c r="O19" s="291"/>
      <c r="P19" s="401"/>
      <c r="Q19" s="401"/>
      <c r="R19" s="401"/>
      <c r="S19" s="295">
        <f>[50]Domestic!J19</f>
        <v>504</v>
      </c>
      <c r="T19" s="295">
        <f>[50]Europe!B19</f>
        <v>0</v>
      </c>
      <c r="U19" s="295">
        <f>'[50]Asia-Pacific'!B19</f>
        <v>450</v>
      </c>
      <c r="V19" s="295">
        <f>'[50]Rest of world'!B19</f>
        <v>0</v>
      </c>
      <c r="W19" s="295">
        <f>'[50]North America'!B19</f>
        <v>60</v>
      </c>
      <c r="X19" s="295">
        <f>'[50]Latin America'!B19</f>
        <v>0</v>
      </c>
      <c r="Z19" s="295">
        <f>[50]Domestic!K19</f>
        <v>2799.9999999999991</v>
      </c>
      <c r="AA19" s="295">
        <f>[50]Europe!C19</f>
        <v>0</v>
      </c>
      <c r="AB19" s="295">
        <f>'[50]Asia-Pacific'!C19</f>
        <v>2888.0000000000005</v>
      </c>
      <c r="AC19" s="295">
        <f>'[50]Rest of world'!C19</f>
        <v>0</v>
      </c>
      <c r="AD19" s="295">
        <f>'[50]North America'!C19</f>
        <v>2841.5094339622606</v>
      </c>
      <c r="AE19" s="295">
        <f>'[50]Latin America'!C19</f>
        <v>0</v>
      </c>
      <c r="AG19" s="302">
        <f t="shared" si="12"/>
        <v>1.4111999999999996</v>
      </c>
      <c r="AH19" s="302">
        <f t="shared" si="6"/>
        <v>0</v>
      </c>
      <c r="AI19" s="302">
        <f t="shared" si="6"/>
        <v>1.2996000000000003</v>
      </c>
      <c r="AJ19" s="302">
        <f t="shared" si="6"/>
        <v>0</v>
      </c>
      <c r="AK19" s="302">
        <f t="shared" si="6"/>
        <v>0.17049056603773563</v>
      </c>
      <c r="AL19" s="302">
        <f t="shared" si="6"/>
        <v>0</v>
      </c>
      <c r="AN19" s="302">
        <f t="shared" si="7"/>
        <v>9.8783999999999956</v>
      </c>
      <c r="AO19" s="302">
        <f t="shared" si="2"/>
        <v>0</v>
      </c>
      <c r="AP19" s="302">
        <f t="shared" si="2"/>
        <v>9.0972000000000026</v>
      </c>
      <c r="AQ19" s="302">
        <f t="shared" si="2"/>
        <v>0</v>
      </c>
      <c r="AR19" s="302">
        <f t="shared" si="2"/>
        <v>1.1934339622641494</v>
      </c>
      <c r="AS19" s="302">
        <f t="shared" si="2"/>
        <v>0</v>
      </c>
      <c r="AT19" s="404"/>
      <c r="AU19" s="302">
        <f>J19</f>
        <v>1778.5094339622642</v>
      </c>
      <c r="AV19" s="302">
        <f t="shared" si="38"/>
        <v>1778.5094339622642</v>
      </c>
      <c r="AW19" s="302">
        <f t="shared" si="38"/>
        <v>1778.5094339622642</v>
      </c>
      <c r="AX19" s="302">
        <f t="shared" si="38"/>
        <v>1778.5094339622642</v>
      </c>
      <c r="AY19" s="302">
        <f t="shared" si="38"/>
        <v>1778.5094339622642</v>
      </c>
      <c r="AZ19" s="302">
        <f t="shared" si="38"/>
        <v>1778.5094339622642</v>
      </c>
      <c r="BB19" s="302">
        <f t="shared" si="39"/>
        <v>1021.4905660377349</v>
      </c>
      <c r="BC19" s="302">
        <f t="shared" si="39"/>
        <v>0</v>
      </c>
      <c r="BD19" s="302">
        <f t="shared" si="39"/>
        <v>1109.4905660377362</v>
      </c>
      <c r="BE19" s="302">
        <f t="shared" si="39"/>
        <v>0</v>
      </c>
      <c r="BF19" s="302">
        <f t="shared" si="39"/>
        <v>1062.9999999999964</v>
      </c>
      <c r="BG19" s="302">
        <f t="shared" si="39"/>
        <v>0</v>
      </c>
      <c r="BH19" s="408">
        <f>SUMPRODUCT(S19:X19,BB19:BG19)/C19</f>
        <v>1062.9999999999995</v>
      </c>
      <c r="BI19" s="409">
        <f>BH19-I19</f>
        <v>0</v>
      </c>
      <c r="BK19" s="425">
        <f t="shared" si="40"/>
        <v>3.6038187169811287</v>
      </c>
      <c r="BL19" s="425">
        <f t="shared" si="40"/>
        <v>0</v>
      </c>
      <c r="BM19" s="425">
        <f t="shared" si="40"/>
        <v>3.4948952830188693</v>
      </c>
      <c r="BN19" s="425">
        <f t="shared" si="40"/>
        <v>0</v>
      </c>
      <c r="BO19" s="425">
        <f t="shared" si="40"/>
        <v>0.44645999999999852</v>
      </c>
      <c r="BP19" s="425">
        <f t="shared" si="40"/>
        <v>0</v>
      </c>
      <c r="BQ19" s="436">
        <f t="shared" si="41"/>
        <v>7.5451739999999958</v>
      </c>
      <c r="BX19" s="561"/>
      <c r="BY19" s="561"/>
      <c r="CA19" s="302"/>
      <c r="CB19" s="302"/>
      <c r="CC19" s="302"/>
      <c r="CD19" s="302"/>
      <c r="CE19" s="302"/>
      <c r="CF19" s="302"/>
      <c r="CG19" s="408"/>
      <c r="CH19" s="409"/>
      <c r="CJ19" s="425"/>
      <c r="CK19" s="425"/>
      <c r="CL19" s="425"/>
      <c r="CM19" s="425"/>
      <c r="CN19" s="425"/>
      <c r="CO19" s="425"/>
      <c r="CP19" s="426"/>
      <c r="CT19" s="447">
        <f t="shared" si="42"/>
        <v>3.6038187169811287</v>
      </c>
      <c r="CU19" s="447">
        <f t="shared" si="42"/>
        <v>0</v>
      </c>
      <c r="CV19" s="447">
        <f t="shared" si="42"/>
        <v>3.4948952830188693</v>
      </c>
      <c r="CW19" s="447">
        <f t="shared" si="42"/>
        <v>0</v>
      </c>
      <c r="CX19" s="447">
        <f t="shared" si="42"/>
        <v>0.44645999999999852</v>
      </c>
      <c r="CY19" s="447">
        <f t="shared" si="42"/>
        <v>0</v>
      </c>
      <c r="CZ19" s="448">
        <f t="shared" si="42"/>
        <v>7.5451739999999958</v>
      </c>
      <c r="DA19" s="413"/>
    </row>
    <row r="20" spans="1:105">
      <c r="B20" s="292" t="str">
        <f>'[50]Productwise sales'!A20</f>
        <v>V2290</v>
      </c>
      <c r="C20" s="295">
        <f>'[50]Productwise sales'!I20</f>
        <v>300</v>
      </c>
      <c r="D20" s="295">
        <f>'[50]Productwise sales'!J20</f>
        <v>3450</v>
      </c>
      <c r="E20" s="295"/>
      <c r="F20" s="302">
        <f>'[50]Revised GC'!Z18</f>
        <v>300</v>
      </c>
      <c r="G20" s="290">
        <f>'[50]Revised GC'!AA18</f>
        <v>1066</v>
      </c>
      <c r="H20" s="399"/>
      <c r="I20" s="384">
        <f t="shared" si="37"/>
        <v>1066</v>
      </c>
      <c r="J20" s="384">
        <f>D20-I20</f>
        <v>2384</v>
      </c>
      <c r="K20" s="401"/>
      <c r="L20" s="291"/>
      <c r="M20" s="291"/>
      <c r="N20" s="291"/>
      <c r="O20" s="291"/>
      <c r="P20" s="401"/>
      <c r="Q20" s="401"/>
      <c r="R20" s="401"/>
      <c r="S20" s="295">
        <f>[50]Domestic!J20</f>
        <v>0</v>
      </c>
      <c r="T20" s="295">
        <f>[50]Europe!B20</f>
        <v>0</v>
      </c>
      <c r="U20" s="295">
        <f>'[50]Asia-Pacific'!B20</f>
        <v>300</v>
      </c>
      <c r="V20" s="295">
        <f>'[50]Rest of world'!B20</f>
        <v>0</v>
      </c>
      <c r="W20" s="295">
        <f>'[50]North America'!B20</f>
        <v>0</v>
      </c>
      <c r="X20" s="295">
        <f>'[50]Latin America'!B20</f>
        <v>0</v>
      </c>
      <c r="Z20" s="295">
        <f>[50]Domestic!K20</f>
        <v>0</v>
      </c>
      <c r="AA20" s="295">
        <f>[50]Europe!C20</f>
        <v>0</v>
      </c>
      <c r="AB20" s="295">
        <f>'[50]Asia-Pacific'!C20</f>
        <v>3450</v>
      </c>
      <c r="AC20" s="295">
        <f>'[50]Rest of world'!C20</f>
        <v>0</v>
      </c>
      <c r="AD20" s="295">
        <f>'[50]North America'!C20</f>
        <v>0</v>
      </c>
      <c r="AE20" s="295">
        <f>'[50]Latin America'!C20</f>
        <v>0</v>
      </c>
      <c r="AG20" s="302">
        <f t="shared" si="12"/>
        <v>0</v>
      </c>
      <c r="AH20" s="302">
        <f t="shared" si="12"/>
        <v>0</v>
      </c>
      <c r="AI20" s="302">
        <f t="shared" si="12"/>
        <v>1.0349999999999999</v>
      </c>
      <c r="AJ20" s="302">
        <f t="shared" si="12"/>
        <v>0</v>
      </c>
      <c r="AK20" s="302">
        <f t="shared" si="12"/>
        <v>0</v>
      </c>
      <c r="AL20" s="302">
        <f t="shared" si="12"/>
        <v>0</v>
      </c>
      <c r="AN20" s="302">
        <f t="shared" si="7"/>
        <v>0</v>
      </c>
      <c r="AO20" s="302">
        <f t="shared" si="2"/>
        <v>0</v>
      </c>
      <c r="AP20" s="302">
        <f t="shared" si="2"/>
        <v>7.2449999999999992</v>
      </c>
      <c r="AQ20" s="302">
        <f t="shared" si="2"/>
        <v>0</v>
      </c>
      <c r="AR20" s="302">
        <f t="shared" si="2"/>
        <v>0</v>
      </c>
      <c r="AS20" s="302">
        <f t="shared" si="2"/>
        <v>0</v>
      </c>
      <c r="AT20" s="404"/>
      <c r="AU20" s="302">
        <f>J20</f>
        <v>2384</v>
      </c>
      <c r="AV20" s="302">
        <f t="shared" si="38"/>
        <v>2384</v>
      </c>
      <c r="AW20" s="302">
        <f t="shared" si="38"/>
        <v>2384</v>
      </c>
      <c r="AX20" s="302">
        <f t="shared" si="38"/>
        <v>2384</v>
      </c>
      <c r="AY20" s="302">
        <f t="shared" si="38"/>
        <v>2384</v>
      </c>
      <c r="AZ20" s="302">
        <f t="shared" si="38"/>
        <v>2384</v>
      </c>
      <c r="BB20" s="302">
        <f t="shared" si="39"/>
        <v>0</v>
      </c>
      <c r="BC20" s="302">
        <f t="shared" si="39"/>
        <v>0</v>
      </c>
      <c r="BD20" s="302">
        <f t="shared" si="39"/>
        <v>1066</v>
      </c>
      <c r="BE20" s="302">
        <f t="shared" si="39"/>
        <v>0</v>
      </c>
      <c r="BF20" s="302">
        <f t="shared" si="39"/>
        <v>0</v>
      </c>
      <c r="BG20" s="302">
        <f t="shared" si="39"/>
        <v>0</v>
      </c>
      <c r="BH20" s="408">
        <f>SUMPRODUCT(S20:X20,BB20:BG20)/C20</f>
        <v>1066</v>
      </c>
      <c r="BI20" s="409">
        <f>BH20-I20</f>
        <v>0</v>
      </c>
      <c r="BK20" s="425">
        <f t="shared" si="40"/>
        <v>0</v>
      </c>
      <c r="BL20" s="425">
        <f t="shared" si="40"/>
        <v>0</v>
      </c>
      <c r="BM20" s="425">
        <f t="shared" si="40"/>
        <v>2.2385999999999999</v>
      </c>
      <c r="BN20" s="425">
        <f t="shared" si="40"/>
        <v>0</v>
      </c>
      <c r="BO20" s="425">
        <f t="shared" si="40"/>
        <v>0</v>
      </c>
      <c r="BP20" s="425">
        <f t="shared" si="40"/>
        <v>0</v>
      </c>
      <c r="BQ20" s="436">
        <f t="shared" si="41"/>
        <v>2.2385999999999999</v>
      </c>
      <c r="BX20" s="561"/>
      <c r="BY20" s="561"/>
      <c r="CA20" s="302"/>
      <c r="CB20" s="302"/>
      <c r="CC20" s="302"/>
      <c r="CD20" s="302"/>
      <c r="CE20" s="302"/>
      <c r="CF20" s="302"/>
      <c r="CG20" s="408"/>
      <c r="CH20" s="409"/>
      <c r="CJ20" s="425"/>
      <c r="CK20" s="425"/>
      <c r="CL20" s="425"/>
      <c r="CM20" s="425"/>
      <c r="CN20" s="425"/>
      <c r="CO20" s="425"/>
      <c r="CP20" s="426"/>
      <c r="CT20" s="447">
        <f t="shared" si="42"/>
        <v>0</v>
      </c>
      <c r="CU20" s="447">
        <f t="shared" si="42"/>
        <v>0</v>
      </c>
      <c r="CV20" s="447">
        <f t="shared" si="42"/>
        <v>2.2385999999999999</v>
      </c>
      <c r="CW20" s="447">
        <f t="shared" si="42"/>
        <v>0</v>
      </c>
      <c r="CX20" s="447">
        <f t="shared" si="42"/>
        <v>0</v>
      </c>
      <c r="CY20" s="447">
        <f t="shared" si="42"/>
        <v>0</v>
      </c>
      <c r="CZ20" s="448">
        <f t="shared" si="42"/>
        <v>2.2385999999999999</v>
      </c>
      <c r="DA20" s="413"/>
    </row>
    <row r="21" spans="1:105">
      <c r="B21" s="369" t="str">
        <f>'[50]Productwise sales'!A21</f>
        <v>Vegarol 1895 DO</v>
      </c>
      <c r="C21" s="370">
        <f>'[50]Productwise sales'!I21</f>
        <v>420</v>
      </c>
      <c r="D21" s="370">
        <f>'[50]Productwise sales'!J21</f>
        <v>1658.0000000000009</v>
      </c>
      <c r="E21" s="370"/>
      <c r="F21" s="382">
        <f>'[50]Revised GC'!Z28</f>
        <v>420</v>
      </c>
      <c r="G21" s="371">
        <f>'[50]Revised GC'!AA28</f>
        <v>325</v>
      </c>
      <c r="H21" s="399"/>
      <c r="I21" s="384">
        <f t="shared" si="37"/>
        <v>325</v>
      </c>
      <c r="J21" s="384">
        <f>D21-I21</f>
        <v>1333.0000000000009</v>
      </c>
      <c r="K21" s="401"/>
      <c r="L21" s="291"/>
      <c r="M21" s="291"/>
      <c r="N21" s="291"/>
      <c r="O21" s="291"/>
      <c r="P21" s="401"/>
      <c r="Q21" s="401"/>
      <c r="R21" s="401"/>
      <c r="S21" s="295">
        <f>[50]Domestic!J21</f>
        <v>0</v>
      </c>
      <c r="T21" s="295">
        <f>[50]Europe!B21</f>
        <v>0</v>
      </c>
      <c r="U21" s="295">
        <f>'[50]Asia-Pacific'!B21</f>
        <v>0</v>
      </c>
      <c r="V21" s="295">
        <f>'[50]Rest of world'!B21</f>
        <v>0</v>
      </c>
      <c r="W21" s="295">
        <f>'[50]North America'!B21</f>
        <v>420</v>
      </c>
      <c r="X21" s="295">
        <f>'[50]Latin America'!B21</f>
        <v>0</v>
      </c>
      <c r="Z21" s="295">
        <f>[50]Domestic!K21</f>
        <v>0</v>
      </c>
      <c r="AA21" s="295">
        <f>[50]Europe!C21</f>
        <v>0</v>
      </c>
      <c r="AB21" s="295">
        <f>'[50]Asia-Pacific'!C21</f>
        <v>0</v>
      </c>
      <c r="AC21" s="295">
        <f>'[50]Rest of world'!C21</f>
        <v>0</v>
      </c>
      <c r="AD21" s="295">
        <f>'[50]North America'!C21</f>
        <v>1658.0000000000009</v>
      </c>
      <c r="AE21" s="295">
        <f>'[50]Latin America'!C21</f>
        <v>0</v>
      </c>
      <c r="AG21" s="302">
        <f t="shared" si="12"/>
        <v>0</v>
      </c>
      <c r="AH21" s="302">
        <f t="shared" si="12"/>
        <v>0</v>
      </c>
      <c r="AI21" s="302">
        <f t="shared" si="12"/>
        <v>0</v>
      </c>
      <c r="AJ21" s="302">
        <f t="shared" si="12"/>
        <v>0</v>
      </c>
      <c r="AK21" s="302">
        <f t="shared" si="12"/>
        <v>0.69636000000000031</v>
      </c>
      <c r="AL21" s="302">
        <f t="shared" si="12"/>
        <v>0</v>
      </c>
      <c r="AN21" s="302">
        <f t="shared" si="7"/>
        <v>0</v>
      </c>
      <c r="AO21" s="302">
        <f t="shared" si="2"/>
        <v>0</v>
      </c>
      <c r="AP21" s="302">
        <f t="shared" si="2"/>
        <v>0</v>
      </c>
      <c r="AQ21" s="302">
        <f t="shared" si="2"/>
        <v>0</v>
      </c>
      <c r="AR21" s="302">
        <f t="shared" si="2"/>
        <v>4.8745200000000022</v>
      </c>
      <c r="AS21" s="302">
        <f t="shared" si="2"/>
        <v>0</v>
      </c>
      <c r="AT21" s="404"/>
      <c r="AU21" s="302">
        <f>J21</f>
        <v>1333.0000000000009</v>
      </c>
      <c r="AV21" s="302">
        <f t="shared" si="38"/>
        <v>1333.0000000000009</v>
      </c>
      <c r="AW21" s="302">
        <f t="shared" si="38"/>
        <v>1333.0000000000009</v>
      </c>
      <c r="AX21" s="302">
        <f t="shared" si="38"/>
        <v>1333.0000000000009</v>
      </c>
      <c r="AY21" s="302">
        <f t="shared" si="38"/>
        <v>1333.0000000000009</v>
      </c>
      <c r="AZ21" s="302">
        <f t="shared" si="38"/>
        <v>1333.0000000000009</v>
      </c>
      <c r="BB21" s="302">
        <f t="shared" si="39"/>
        <v>0</v>
      </c>
      <c r="BC21" s="302">
        <f t="shared" si="39"/>
        <v>0</v>
      </c>
      <c r="BD21" s="302">
        <f t="shared" si="39"/>
        <v>0</v>
      </c>
      <c r="BE21" s="302">
        <f t="shared" si="39"/>
        <v>0</v>
      </c>
      <c r="BF21" s="302">
        <f t="shared" si="39"/>
        <v>325</v>
      </c>
      <c r="BG21" s="302">
        <f t="shared" si="39"/>
        <v>0</v>
      </c>
      <c r="BH21" s="408">
        <f>SUMPRODUCT(S21:X21,BB21:BG21)/C21</f>
        <v>325</v>
      </c>
      <c r="BI21" s="409">
        <f>BH21-I21</f>
        <v>0</v>
      </c>
      <c r="BK21" s="425">
        <f t="shared" si="40"/>
        <v>0</v>
      </c>
      <c r="BL21" s="425">
        <f t="shared" si="40"/>
        <v>0</v>
      </c>
      <c r="BM21" s="425">
        <f t="shared" si="40"/>
        <v>0</v>
      </c>
      <c r="BN21" s="425">
        <f t="shared" si="40"/>
        <v>0</v>
      </c>
      <c r="BO21" s="425">
        <f t="shared" si="40"/>
        <v>0.95550000000000002</v>
      </c>
      <c r="BP21" s="425">
        <f t="shared" si="40"/>
        <v>0</v>
      </c>
      <c r="BQ21" s="436">
        <f t="shared" si="41"/>
        <v>0.95550000000000002</v>
      </c>
      <c r="BX21" s="561"/>
      <c r="BY21" s="561"/>
      <c r="CA21" s="302"/>
      <c r="CB21" s="302"/>
      <c r="CC21" s="302"/>
      <c r="CD21" s="302"/>
      <c r="CE21" s="302"/>
      <c r="CF21" s="302"/>
      <c r="CG21" s="408"/>
      <c r="CH21" s="409"/>
      <c r="CJ21" s="425"/>
      <c r="CK21" s="425"/>
      <c r="CL21" s="425"/>
      <c r="CM21" s="425"/>
      <c r="CN21" s="425"/>
      <c r="CO21" s="425"/>
      <c r="CP21" s="426"/>
      <c r="CT21" s="447">
        <f t="shared" si="42"/>
        <v>0</v>
      </c>
      <c r="CU21" s="447">
        <f t="shared" si="42"/>
        <v>0</v>
      </c>
      <c r="CV21" s="447">
        <f t="shared" si="42"/>
        <v>0</v>
      </c>
      <c r="CW21" s="447">
        <f t="shared" si="42"/>
        <v>0</v>
      </c>
      <c r="CX21" s="447">
        <f t="shared" si="42"/>
        <v>0.95550000000000002</v>
      </c>
      <c r="CY21" s="447">
        <f t="shared" si="42"/>
        <v>0</v>
      </c>
      <c r="CZ21" s="448">
        <f t="shared" si="42"/>
        <v>0.95550000000000002</v>
      </c>
      <c r="DA21" s="413"/>
    </row>
    <row r="22" spans="1:105">
      <c r="B22" s="291"/>
      <c r="C22" s="266"/>
      <c r="D22" s="266"/>
      <c r="E22" s="266"/>
      <c r="F22" s="302"/>
      <c r="H22" s="398"/>
      <c r="I22" s="384"/>
      <c r="J22" s="384"/>
      <c r="S22" s="302"/>
      <c r="T22" s="302"/>
      <c r="U22" s="302"/>
      <c r="V22" s="302"/>
      <c r="W22" s="302"/>
      <c r="X22" s="302"/>
      <c r="Z22" s="302"/>
      <c r="AA22" s="302"/>
      <c r="AB22" s="302"/>
      <c r="AC22" s="302"/>
      <c r="AD22" s="302"/>
      <c r="AE22" s="302"/>
      <c r="AG22" s="302"/>
      <c r="AH22" s="302"/>
      <c r="AI22" s="302"/>
      <c r="AJ22" s="302"/>
      <c r="AK22" s="302"/>
      <c r="AL22" s="302"/>
      <c r="AN22" s="302"/>
      <c r="AO22" s="302"/>
      <c r="AP22" s="302"/>
      <c r="AQ22" s="302"/>
      <c r="AR22" s="302"/>
      <c r="AS22" s="302"/>
      <c r="AT22" s="404"/>
      <c r="AU22" s="302"/>
      <c r="AV22" s="302"/>
      <c r="AW22" s="302"/>
      <c r="AX22" s="302"/>
      <c r="AY22" s="302"/>
      <c r="AZ22" s="302"/>
      <c r="BB22" s="302"/>
      <c r="BC22" s="302"/>
      <c r="BD22" s="302"/>
      <c r="BE22" s="302"/>
      <c r="BF22" s="302"/>
      <c r="BG22" s="302"/>
      <c r="BK22" s="428"/>
      <c r="BL22" s="428"/>
      <c r="BM22" s="428"/>
      <c r="BN22" s="428"/>
      <c r="BO22" s="428"/>
      <c r="BP22" s="428"/>
      <c r="BX22" s="561"/>
      <c r="BY22" s="561"/>
      <c r="CA22" s="302"/>
      <c r="CB22" s="302"/>
      <c r="CC22" s="302"/>
      <c r="CD22" s="302"/>
      <c r="CE22" s="302"/>
      <c r="CF22" s="302"/>
      <c r="CJ22" s="428"/>
      <c r="CK22" s="428"/>
      <c r="CL22" s="428"/>
      <c r="CM22" s="428"/>
      <c r="CN22" s="428"/>
      <c r="CO22" s="428"/>
      <c r="CT22" s="450"/>
      <c r="CU22" s="450"/>
      <c r="CV22" s="450"/>
      <c r="CW22" s="450"/>
      <c r="CX22" s="450"/>
      <c r="CY22" s="450"/>
      <c r="CZ22" s="448"/>
    </row>
    <row r="23" spans="1:105">
      <c r="B23" s="291"/>
      <c r="C23" s="266"/>
      <c r="D23" s="266"/>
      <c r="E23" s="266"/>
      <c r="F23" s="302"/>
      <c r="H23" s="398"/>
      <c r="I23" s="384"/>
      <c r="J23" s="384"/>
      <c r="L23" s="302"/>
      <c r="S23" s="302"/>
      <c r="T23" s="302"/>
      <c r="U23" s="302"/>
      <c r="V23" s="302"/>
      <c r="W23" s="302"/>
      <c r="X23" s="302"/>
      <c r="Z23" s="302"/>
      <c r="AA23" s="302"/>
      <c r="AB23" s="302"/>
      <c r="AC23" s="302"/>
      <c r="AD23" s="302"/>
      <c r="AE23" s="302"/>
      <c r="AG23" s="302"/>
      <c r="AH23" s="302"/>
      <c r="AI23" s="302"/>
      <c r="AJ23" s="302"/>
      <c r="AK23" s="302"/>
      <c r="AL23" s="302"/>
      <c r="AN23" s="302"/>
      <c r="AO23" s="302"/>
      <c r="AP23" s="302"/>
      <c r="AQ23" s="302"/>
      <c r="AR23" s="302"/>
      <c r="AS23" s="302"/>
      <c r="AT23" s="404"/>
      <c r="AU23" s="302"/>
      <c r="AV23" s="302"/>
      <c r="AW23" s="302"/>
      <c r="AX23" s="302"/>
      <c r="AY23" s="302"/>
      <c r="AZ23" s="302"/>
      <c r="BB23" s="302"/>
      <c r="BC23" s="302"/>
      <c r="BD23" s="302"/>
      <c r="BE23" s="302"/>
      <c r="BF23" s="302"/>
      <c r="BG23" s="302"/>
      <c r="BK23" s="428"/>
      <c r="BL23" s="428"/>
      <c r="BM23" s="428"/>
      <c r="BN23" s="428"/>
      <c r="BO23" s="428"/>
      <c r="BP23" s="428"/>
      <c r="BX23" s="561"/>
      <c r="BY23" s="561"/>
      <c r="CA23" s="302"/>
      <c r="CB23" s="302"/>
      <c r="CC23" s="302"/>
      <c r="CD23" s="302"/>
      <c r="CE23" s="302"/>
      <c r="CF23" s="302"/>
      <c r="CJ23" s="428"/>
      <c r="CK23" s="428"/>
      <c r="CL23" s="428"/>
      <c r="CM23" s="428"/>
      <c r="CN23" s="428"/>
      <c r="CO23" s="428"/>
      <c r="CT23" s="450"/>
      <c r="CU23" s="450"/>
      <c r="CV23" s="450"/>
      <c r="CW23" s="450"/>
      <c r="CX23" s="450"/>
      <c r="CY23" s="450"/>
      <c r="CZ23" s="448"/>
    </row>
    <row r="24" spans="1:105">
      <c r="B24" s="291"/>
      <c r="C24" s="266"/>
      <c r="D24" s="266"/>
      <c r="E24" s="266"/>
      <c r="F24" s="302"/>
      <c r="H24" s="398"/>
      <c r="I24" s="384"/>
      <c r="J24" s="384"/>
      <c r="L24" s="302"/>
      <c r="S24" s="302"/>
      <c r="T24" s="302"/>
      <c r="U24" s="302"/>
      <c r="V24" s="302"/>
      <c r="W24" s="302"/>
      <c r="X24" s="302"/>
      <c r="Z24" s="302"/>
      <c r="AA24" s="302"/>
      <c r="AB24" s="302"/>
      <c r="AC24" s="302"/>
      <c r="AD24" s="302"/>
      <c r="AE24" s="302"/>
      <c r="AG24" s="302"/>
      <c r="AH24" s="302"/>
      <c r="AI24" s="302"/>
      <c r="AJ24" s="302"/>
      <c r="AK24" s="302"/>
      <c r="AL24" s="302"/>
      <c r="AN24" s="302"/>
      <c r="AO24" s="302"/>
      <c r="AP24" s="302"/>
      <c r="AQ24" s="302"/>
      <c r="AR24" s="302"/>
      <c r="AS24" s="302"/>
      <c r="AT24" s="404"/>
      <c r="AU24" s="302"/>
      <c r="AV24" s="302"/>
      <c r="AW24" s="302"/>
      <c r="AX24" s="302"/>
      <c r="AY24" s="302"/>
      <c r="AZ24" s="302"/>
      <c r="BB24" s="302"/>
      <c r="BC24" s="302"/>
      <c r="BD24" s="302"/>
      <c r="BE24" s="302"/>
      <c r="BF24" s="302"/>
      <c r="BG24" s="302"/>
      <c r="BK24" s="428"/>
      <c r="BL24" s="428"/>
      <c r="BM24" s="428"/>
      <c r="BN24" s="428"/>
      <c r="BO24" s="428"/>
      <c r="BP24" s="428"/>
      <c r="BX24" s="561"/>
      <c r="BY24" s="561"/>
      <c r="CA24" s="302"/>
      <c r="CB24" s="302"/>
      <c r="CC24" s="302"/>
      <c r="CD24" s="302"/>
      <c r="CE24" s="302"/>
      <c r="CF24" s="302"/>
      <c r="CJ24" s="428"/>
      <c r="CK24" s="428"/>
      <c r="CL24" s="428"/>
      <c r="CM24" s="428"/>
      <c r="CN24" s="428"/>
      <c r="CO24" s="428"/>
      <c r="CT24" s="450"/>
      <c r="CU24" s="450"/>
      <c r="CV24" s="450"/>
      <c r="CW24" s="450"/>
      <c r="CX24" s="450"/>
      <c r="CY24" s="450"/>
      <c r="CZ24" s="448"/>
    </row>
    <row r="25" spans="1:105">
      <c r="B25" s="291"/>
      <c r="C25" s="266"/>
      <c r="D25" s="266"/>
      <c r="E25" s="266"/>
      <c r="F25" s="302"/>
      <c r="H25" s="398"/>
      <c r="I25" s="384"/>
      <c r="J25" s="384"/>
      <c r="L25" s="302"/>
      <c r="S25" s="265"/>
      <c r="T25" s="302"/>
      <c r="U25" s="302"/>
      <c r="V25" s="302"/>
      <c r="W25" s="302"/>
      <c r="X25" s="302"/>
      <c r="Z25" s="265"/>
      <c r="AA25" s="302"/>
      <c r="AB25" s="302"/>
      <c r="AC25" s="302"/>
      <c r="AD25" s="302"/>
      <c r="AE25" s="302"/>
      <c r="AG25" s="302"/>
      <c r="AH25" s="302"/>
      <c r="AI25" s="302"/>
      <c r="AJ25" s="302"/>
      <c r="AK25" s="302"/>
      <c r="AL25" s="302"/>
      <c r="AN25" s="302"/>
      <c r="AO25" s="302"/>
      <c r="AP25" s="302"/>
      <c r="AQ25" s="302"/>
      <c r="AR25" s="302"/>
      <c r="AS25" s="302"/>
      <c r="AT25" s="404"/>
      <c r="AU25" s="302"/>
      <c r="AV25" s="302"/>
      <c r="AW25" s="302"/>
      <c r="AX25" s="302"/>
      <c r="AY25" s="302"/>
      <c r="AZ25" s="302"/>
      <c r="BB25" s="302"/>
      <c r="BC25" s="302"/>
      <c r="BD25" s="302"/>
      <c r="BE25" s="302"/>
      <c r="BF25" s="302"/>
      <c r="BG25" s="302"/>
      <c r="BK25" s="429"/>
      <c r="BL25" s="428"/>
      <c r="BM25" s="428"/>
      <c r="BN25" s="428"/>
      <c r="BO25" s="428"/>
      <c r="BP25" s="428"/>
      <c r="BX25" s="561"/>
      <c r="BY25" s="561"/>
      <c r="CA25" s="302"/>
      <c r="CB25" s="302"/>
      <c r="CC25" s="302"/>
      <c r="CD25" s="302"/>
      <c r="CE25" s="302"/>
      <c r="CF25" s="302"/>
      <c r="CJ25" s="429"/>
      <c r="CK25" s="428"/>
      <c r="CL25" s="428"/>
      <c r="CM25" s="428"/>
      <c r="CN25" s="428"/>
      <c r="CO25" s="428"/>
      <c r="CT25" s="451"/>
      <c r="CU25" s="450"/>
      <c r="CV25" s="450"/>
      <c r="CW25" s="450"/>
      <c r="CX25" s="450"/>
      <c r="CY25" s="450"/>
      <c r="CZ25" s="448"/>
    </row>
    <row r="26" spans="1:105">
      <c r="B26" s="294" t="s">
        <v>143</v>
      </c>
      <c r="C26" s="266"/>
      <c r="D26" s="266"/>
      <c r="E26" s="266"/>
      <c r="F26" s="302"/>
      <c r="H26" s="398"/>
      <c r="I26" s="384"/>
      <c r="J26" s="384"/>
      <c r="L26" s="302"/>
      <c r="S26" s="265"/>
      <c r="T26" s="304"/>
      <c r="U26" s="304"/>
      <c r="V26" s="304"/>
      <c r="W26" s="304"/>
      <c r="X26" s="304"/>
      <c r="Z26" s="265"/>
      <c r="AA26" s="304"/>
      <c r="AB26" s="304"/>
      <c r="AC26" s="304"/>
      <c r="AD26" s="304"/>
      <c r="AE26" s="304"/>
      <c r="AG26" s="302">
        <f t="shared" si="12"/>
        <v>0</v>
      </c>
      <c r="AH26" s="302">
        <f t="shared" si="12"/>
        <v>0</v>
      </c>
      <c r="AI26" s="302">
        <f t="shared" si="12"/>
        <v>0</v>
      </c>
      <c r="AJ26" s="302">
        <f t="shared" si="12"/>
        <v>0</v>
      </c>
      <c r="AK26" s="302">
        <f t="shared" si="12"/>
        <v>0</v>
      </c>
      <c r="AL26" s="302">
        <f t="shared" si="12"/>
        <v>0</v>
      </c>
      <c r="AN26" s="302">
        <f t="shared" si="7"/>
        <v>0</v>
      </c>
      <c r="AO26" s="302">
        <f t="shared" si="2"/>
        <v>0</v>
      </c>
      <c r="AP26" s="302">
        <f t="shared" si="2"/>
        <v>0</v>
      </c>
      <c r="AQ26" s="302">
        <f t="shared" si="2"/>
        <v>0</v>
      </c>
      <c r="AR26" s="302">
        <f t="shared" si="2"/>
        <v>0</v>
      </c>
      <c r="AS26" s="302">
        <f t="shared" si="2"/>
        <v>0</v>
      </c>
      <c r="AT26" s="404"/>
      <c r="AU26" s="302"/>
      <c r="AV26" s="302"/>
      <c r="AW26" s="302"/>
      <c r="AX26" s="302"/>
      <c r="AY26" s="302"/>
      <c r="AZ26" s="302"/>
      <c r="BB26" s="302"/>
      <c r="BC26" s="302"/>
      <c r="BD26" s="302"/>
      <c r="BE26" s="302"/>
      <c r="BF26" s="302"/>
      <c r="BG26" s="302"/>
      <c r="BK26" s="429"/>
      <c r="BL26" s="430"/>
      <c r="BM26" s="430"/>
      <c r="BN26" s="430"/>
      <c r="BO26" s="430"/>
      <c r="BP26" s="430"/>
      <c r="BX26" s="561"/>
      <c r="BY26" s="561"/>
      <c r="CA26" s="302"/>
      <c r="CB26" s="302"/>
      <c r="CC26" s="302"/>
      <c r="CD26" s="302"/>
      <c r="CE26" s="302"/>
      <c r="CF26" s="302"/>
      <c r="CJ26" s="429"/>
      <c r="CK26" s="430"/>
      <c r="CL26" s="430"/>
      <c r="CM26" s="430"/>
      <c r="CN26" s="430"/>
      <c r="CO26" s="430"/>
      <c r="CT26" s="451"/>
      <c r="CU26" s="452"/>
      <c r="CV26" s="452"/>
      <c r="CW26" s="452"/>
      <c r="CX26" s="452"/>
      <c r="CY26" s="452"/>
      <c r="CZ26" s="448"/>
    </row>
    <row r="27" spans="1:105">
      <c r="B27" s="292" t="str">
        <f>'[50]Productwise sales'!A40</f>
        <v>Erucic 90%</v>
      </c>
      <c r="C27" s="295">
        <f>'[50]Productwise sales'!I40</f>
        <v>6000</v>
      </c>
      <c r="D27" s="295">
        <f>'[50]Productwise sales'!J40</f>
        <v>2570.0900000000006</v>
      </c>
      <c r="E27" s="295"/>
      <c r="F27" s="302">
        <f>'[50]Revised GC'!Z20</f>
        <v>6000</v>
      </c>
      <c r="G27" s="290">
        <f>'[50]Revised GC'!AA20</f>
        <v>736</v>
      </c>
      <c r="H27" s="398"/>
      <c r="I27" s="384">
        <f t="shared" ref="I27:I29" si="43">F27*G27/C27</f>
        <v>736</v>
      </c>
      <c r="J27" s="384">
        <f>D27-I27</f>
        <v>1834.0900000000006</v>
      </c>
      <c r="L27" s="302"/>
      <c r="S27" s="295">
        <f>[50]Domestic!J40</f>
        <v>2700</v>
      </c>
      <c r="T27" s="295">
        <f>[50]Europe!B40</f>
        <v>0</v>
      </c>
      <c r="U27" s="295">
        <f>'[50]Asia-Pacific'!B40</f>
        <v>3240</v>
      </c>
      <c r="V27" s="295">
        <f>'[50]Rest of world'!B40</f>
        <v>0</v>
      </c>
      <c r="W27" s="295">
        <f>'[50]North America'!B40</f>
        <v>60</v>
      </c>
      <c r="X27" s="295">
        <f>'[50]Latin America'!B40</f>
        <v>0</v>
      </c>
      <c r="Z27" s="295">
        <f>[50]Domestic!K40</f>
        <v>2401</v>
      </c>
      <c r="AA27" s="295">
        <f>[50]Europe!C40</f>
        <v>0</v>
      </c>
      <c r="AB27" s="295">
        <f>'[50]Asia-Pacific'!C40</f>
        <v>2711</v>
      </c>
      <c r="AC27" s="295">
        <f>'[50]Rest of world'!C40</f>
        <v>0</v>
      </c>
      <c r="AD27" s="295">
        <f>'[50]North America'!C40</f>
        <v>2570.0000000000005</v>
      </c>
      <c r="AE27" s="295">
        <f>'[50]Latin America'!C40</f>
        <v>0</v>
      </c>
      <c r="AG27" s="302">
        <f t="shared" si="12"/>
        <v>6.4827000000000004</v>
      </c>
      <c r="AH27" s="302">
        <f t="shared" si="12"/>
        <v>0</v>
      </c>
      <c r="AI27" s="302">
        <f t="shared" si="12"/>
        <v>8.7836400000000001</v>
      </c>
      <c r="AJ27" s="302">
        <f t="shared" si="12"/>
        <v>0</v>
      </c>
      <c r="AK27" s="302">
        <f t="shared" si="12"/>
        <v>0.15420000000000003</v>
      </c>
      <c r="AL27" s="302">
        <f t="shared" si="12"/>
        <v>0</v>
      </c>
      <c r="AN27" s="302">
        <f t="shared" si="7"/>
        <v>45.378900000000002</v>
      </c>
      <c r="AO27" s="302">
        <f t="shared" si="2"/>
        <v>0</v>
      </c>
      <c r="AP27" s="302">
        <f t="shared" si="2"/>
        <v>61.485479999999995</v>
      </c>
      <c r="AQ27" s="302">
        <f t="shared" si="2"/>
        <v>0</v>
      </c>
      <c r="AR27" s="302">
        <f t="shared" si="2"/>
        <v>1.0794000000000001</v>
      </c>
      <c r="AS27" s="302">
        <f t="shared" si="2"/>
        <v>0</v>
      </c>
      <c r="AT27" s="404"/>
      <c r="AU27" s="302">
        <f>J27</f>
        <v>1834.0900000000006</v>
      </c>
      <c r="AV27" s="302">
        <f t="shared" ref="AV27:AZ29" si="44">AU27</f>
        <v>1834.0900000000006</v>
      </c>
      <c r="AW27" s="302">
        <f t="shared" si="44"/>
        <v>1834.0900000000006</v>
      </c>
      <c r="AX27" s="302">
        <f t="shared" si="44"/>
        <v>1834.0900000000006</v>
      </c>
      <c r="AY27" s="302">
        <f t="shared" si="44"/>
        <v>1834.0900000000006</v>
      </c>
      <c r="AZ27" s="302">
        <f t="shared" si="44"/>
        <v>1834.0900000000006</v>
      </c>
      <c r="BB27" s="302">
        <f t="shared" ref="BB27:BG29" si="45">IF(Z27=0,0,Z27-AU27)</f>
        <v>566.9099999999994</v>
      </c>
      <c r="BC27" s="302">
        <f t="shared" si="45"/>
        <v>0</v>
      </c>
      <c r="BD27" s="302">
        <f t="shared" si="45"/>
        <v>876.9099999999994</v>
      </c>
      <c r="BE27" s="302">
        <f t="shared" si="45"/>
        <v>0</v>
      </c>
      <c r="BF27" s="302">
        <f t="shared" si="45"/>
        <v>735.90999999999985</v>
      </c>
      <c r="BG27" s="302">
        <f t="shared" si="45"/>
        <v>0</v>
      </c>
      <c r="BH27" s="408">
        <f>SUMPRODUCT(S27:X27,BB27:BG27)/C27</f>
        <v>735.99999999999943</v>
      </c>
      <c r="BI27" s="409">
        <f t="shared" ref="BI27:BI29" si="46">BH27-I27</f>
        <v>0</v>
      </c>
      <c r="BK27" s="440">
        <f t="shared" ref="BK27:BP58" si="47">S27*BB27*$A$2/10^7</f>
        <v>10.714598999999987</v>
      </c>
      <c r="BL27" s="425">
        <f t="shared" si="47"/>
        <v>0</v>
      </c>
      <c r="BM27" s="425">
        <f t="shared" si="47"/>
        <v>19.888318799999986</v>
      </c>
      <c r="BN27" s="425">
        <f t="shared" si="47"/>
        <v>0</v>
      </c>
      <c r="BO27" s="425">
        <f t="shared" si="47"/>
        <v>0.30908219999999997</v>
      </c>
      <c r="BP27" s="425">
        <f t="shared" si="47"/>
        <v>0</v>
      </c>
      <c r="BQ27" s="436">
        <f t="shared" ref="BQ27:BQ81" si="48">SUM(BK27:BP27)</f>
        <v>30.911999999999971</v>
      </c>
      <c r="BX27" s="561"/>
      <c r="BY27" s="561"/>
      <c r="CA27" s="302"/>
      <c r="CB27" s="302"/>
      <c r="CC27" s="302"/>
      <c r="CD27" s="302"/>
      <c r="CE27" s="302"/>
      <c r="CF27" s="302"/>
      <c r="CG27" s="408"/>
      <c r="CH27" s="409"/>
      <c r="CJ27" s="425"/>
      <c r="CK27" s="425"/>
      <c r="CL27" s="425"/>
      <c r="CM27" s="425"/>
      <c r="CN27" s="425"/>
      <c r="CO27" s="425"/>
      <c r="CP27" s="426"/>
      <c r="CT27" s="447">
        <f t="shared" ref="CT27:CZ29" si="49">BK27+CJ27</f>
        <v>10.714598999999987</v>
      </c>
      <c r="CU27" s="447">
        <f t="shared" si="49"/>
        <v>0</v>
      </c>
      <c r="CV27" s="447">
        <f t="shared" si="49"/>
        <v>19.888318799999986</v>
      </c>
      <c r="CW27" s="447">
        <f t="shared" si="49"/>
        <v>0</v>
      </c>
      <c r="CX27" s="447">
        <f t="shared" si="49"/>
        <v>0.30908219999999997</v>
      </c>
      <c r="CY27" s="447">
        <f t="shared" si="49"/>
        <v>0</v>
      </c>
      <c r="CZ27" s="448">
        <f t="shared" si="49"/>
        <v>30.911999999999971</v>
      </c>
      <c r="DA27" s="413"/>
    </row>
    <row r="28" spans="1:105">
      <c r="B28" s="292" t="str">
        <f>'[50]Productwise sales'!A41</f>
        <v>Behenic acid</v>
      </c>
      <c r="C28" s="295">
        <f>'[50]Productwise sales'!I41</f>
        <v>504</v>
      </c>
      <c r="D28" s="295">
        <f>'[50]Productwise sales'!J41</f>
        <v>3145</v>
      </c>
      <c r="E28" s="295"/>
      <c r="F28" s="302">
        <f>'[50]Revised GC'!Z21</f>
        <v>504</v>
      </c>
      <c r="G28" s="290">
        <f>'[50]Revised GC'!AA21</f>
        <v>1062</v>
      </c>
      <c r="I28" s="384">
        <f t="shared" si="43"/>
        <v>1062</v>
      </c>
      <c r="J28" s="384">
        <f>D28-I28</f>
        <v>2083</v>
      </c>
      <c r="L28" s="302"/>
      <c r="S28" s="295">
        <f>[50]Domestic!J41</f>
        <v>0</v>
      </c>
      <c r="T28" s="295">
        <f>[50]Europe!B41</f>
        <v>0</v>
      </c>
      <c r="U28" s="295">
        <f>'[50]Asia-Pacific'!B41</f>
        <v>240</v>
      </c>
      <c r="V28" s="295">
        <f>'[50]Rest of world'!B41</f>
        <v>0</v>
      </c>
      <c r="W28" s="295">
        <f>'[50]North America'!B41</f>
        <v>120</v>
      </c>
      <c r="X28" s="295">
        <f>'[50]Latin America'!B41</f>
        <v>144</v>
      </c>
      <c r="Z28" s="295">
        <f>[50]Domestic!K41</f>
        <v>0</v>
      </c>
      <c r="AA28" s="295">
        <f>[50]Europe!C41</f>
        <v>0</v>
      </c>
      <c r="AB28" s="295">
        <f>'[50]Asia-Pacific'!C41</f>
        <v>3144.9999999999995</v>
      </c>
      <c r="AC28" s="295">
        <f>'[50]Rest of world'!C41</f>
        <v>0</v>
      </c>
      <c r="AD28" s="295">
        <f>'[50]North America'!C41</f>
        <v>3145</v>
      </c>
      <c r="AE28" s="295">
        <f>'[50]Latin America'!C41</f>
        <v>3145</v>
      </c>
      <c r="AG28" s="302">
        <f t="shared" si="12"/>
        <v>0</v>
      </c>
      <c r="AH28" s="302">
        <f t="shared" si="12"/>
        <v>0</v>
      </c>
      <c r="AI28" s="302">
        <f t="shared" si="12"/>
        <v>0.75479999999999992</v>
      </c>
      <c r="AJ28" s="302">
        <f t="shared" si="12"/>
        <v>0</v>
      </c>
      <c r="AK28" s="302">
        <f t="shared" si="12"/>
        <v>0.37740000000000001</v>
      </c>
      <c r="AL28" s="302">
        <f t="shared" si="12"/>
        <v>0.45288</v>
      </c>
      <c r="AN28" s="302">
        <f t="shared" si="7"/>
        <v>0</v>
      </c>
      <c r="AO28" s="302">
        <f t="shared" si="2"/>
        <v>0</v>
      </c>
      <c r="AP28" s="302">
        <f t="shared" si="2"/>
        <v>5.283599999999999</v>
      </c>
      <c r="AQ28" s="302">
        <f t="shared" si="2"/>
        <v>0</v>
      </c>
      <c r="AR28" s="302">
        <f t="shared" si="2"/>
        <v>2.6417999999999999</v>
      </c>
      <c r="AS28" s="302">
        <f t="shared" si="2"/>
        <v>3.1701600000000001</v>
      </c>
      <c r="AT28" s="404"/>
      <c r="AU28" s="302">
        <f>J28</f>
        <v>2083</v>
      </c>
      <c r="AV28" s="302">
        <f t="shared" si="44"/>
        <v>2083</v>
      </c>
      <c r="AW28" s="302">
        <f t="shared" si="44"/>
        <v>2083</v>
      </c>
      <c r="AX28" s="302">
        <f t="shared" si="44"/>
        <v>2083</v>
      </c>
      <c r="AY28" s="302">
        <f t="shared" si="44"/>
        <v>2083</v>
      </c>
      <c r="AZ28" s="302">
        <f t="shared" si="44"/>
        <v>2083</v>
      </c>
      <c r="BB28" s="302">
        <f t="shared" si="45"/>
        <v>0</v>
      </c>
      <c r="BC28" s="302">
        <f t="shared" si="45"/>
        <v>0</v>
      </c>
      <c r="BD28" s="302">
        <f t="shared" si="45"/>
        <v>1061.9999999999995</v>
      </c>
      <c r="BE28" s="302">
        <f t="shared" si="45"/>
        <v>0</v>
      </c>
      <c r="BF28" s="302">
        <f t="shared" si="45"/>
        <v>1062</v>
      </c>
      <c r="BG28" s="302">
        <f t="shared" si="45"/>
        <v>1062</v>
      </c>
      <c r="BH28" s="408">
        <f>SUMPRODUCT(S28:X28,BB28:BG28)/C28</f>
        <v>1061.9999999999998</v>
      </c>
      <c r="BI28" s="409">
        <f t="shared" si="46"/>
        <v>0</v>
      </c>
      <c r="BK28" s="440">
        <f t="shared" si="47"/>
        <v>0</v>
      </c>
      <c r="BL28" s="425">
        <f t="shared" si="47"/>
        <v>0</v>
      </c>
      <c r="BM28" s="425">
        <f t="shared" si="47"/>
        <v>1.7841599999999993</v>
      </c>
      <c r="BN28" s="425">
        <f t="shared" si="47"/>
        <v>0</v>
      </c>
      <c r="BO28" s="425">
        <f t="shared" si="47"/>
        <v>0.89207999999999998</v>
      </c>
      <c r="BP28" s="425">
        <f t="shared" si="47"/>
        <v>1.0704959999999999</v>
      </c>
      <c r="BQ28" s="436">
        <f t="shared" si="48"/>
        <v>3.746735999999999</v>
      </c>
      <c r="BX28" s="561"/>
      <c r="BY28" s="561"/>
      <c r="CA28" s="302"/>
      <c r="CB28" s="302"/>
      <c r="CC28" s="302"/>
      <c r="CD28" s="302"/>
      <c r="CE28" s="302"/>
      <c r="CF28" s="302"/>
      <c r="CG28" s="408"/>
      <c r="CH28" s="409"/>
      <c r="CJ28" s="425"/>
      <c r="CK28" s="425"/>
      <c r="CL28" s="425"/>
      <c r="CM28" s="425"/>
      <c r="CN28" s="425"/>
      <c r="CO28" s="425"/>
      <c r="CP28" s="426"/>
      <c r="CT28" s="447">
        <f t="shared" si="49"/>
        <v>0</v>
      </c>
      <c r="CU28" s="447">
        <f t="shared" si="49"/>
        <v>0</v>
      </c>
      <c r="CV28" s="447">
        <f t="shared" si="49"/>
        <v>1.7841599999999993</v>
      </c>
      <c r="CW28" s="447">
        <f t="shared" si="49"/>
        <v>0</v>
      </c>
      <c r="CX28" s="447">
        <f t="shared" si="49"/>
        <v>0.89207999999999998</v>
      </c>
      <c r="CY28" s="447">
        <f t="shared" si="49"/>
        <v>1.0704959999999999</v>
      </c>
      <c r="CZ28" s="448">
        <f t="shared" si="49"/>
        <v>3.746735999999999</v>
      </c>
      <c r="DA28" s="413"/>
    </row>
    <row r="29" spans="1:105">
      <c r="B29" s="292" t="str">
        <f>'[50]Productwise sales'!A39</f>
        <v>Vegacid Superflex</v>
      </c>
      <c r="C29" s="295">
        <f>'[50]Productwise sales'!I39</f>
        <v>4800</v>
      </c>
      <c r="D29" s="295">
        <f>'[50]Productwise sales'!J39</f>
        <v>1465</v>
      </c>
      <c r="E29" s="295"/>
      <c r="F29" s="302">
        <f>'[50]Revised GC'!Z15</f>
        <v>4800</v>
      </c>
      <c r="G29" s="290">
        <f>'[50]Revised GC'!AA15</f>
        <v>679</v>
      </c>
      <c r="I29" s="384">
        <f t="shared" si="43"/>
        <v>679</v>
      </c>
      <c r="J29" s="384">
        <f>D29-I29</f>
        <v>786</v>
      </c>
      <c r="L29" s="302"/>
      <c r="S29" s="295">
        <f>[50]Domestic!J39</f>
        <v>4800</v>
      </c>
      <c r="T29" s="295">
        <f>[50]Europe!B39</f>
        <v>0</v>
      </c>
      <c r="U29" s="295">
        <f>'[50]Asia-Pacific'!B39</f>
        <v>0</v>
      </c>
      <c r="V29" s="295">
        <f>'[50]Rest of world'!B39</f>
        <v>0</v>
      </c>
      <c r="W29" s="295">
        <f>'[50]North America'!B39</f>
        <v>0</v>
      </c>
      <c r="X29" s="295">
        <f>'[50]Latin America'!B39</f>
        <v>0</v>
      </c>
      <c r="Z29" s="295">
        <f>[50]Domestic!K39</f>
        <v>1465</v>
      </c>
      <c r="AA29" s="295">
        <f>[50]Europe!C39</f>
        <v>0</v>
      </c>
      <c r="AB29" s="295">
        <f>'[50]Asia-Pacific'!C39</f>
        <v>0</v>
      </c>
      <c r="AC29" s="295">
        <f>'[50]Rest of world'!C39</f>
        <v>0</v>
      </c>
      <c r="AD29" s="295">
        <f>'[50]North America'!C39</f>
        <v>0</v>
      </c>
      <c r="AE29" s="295">
        <f>'[50]Latin America'!C39</f>
        <v>0</v>
      </c>
      <c r="AG29" s="302">
        <f t="shared" si="12"/>
        <v>7.032</v>
      </c>
      <c r="AH29" s="302">
        <f t="shared" si="12"/>
        <v>0</v>
      </c>
      <c r="AI29" s="302">
        <f t="shared" si="12"/>
        <v>0</v>
      </c>
      <c r="AJ29" s="302">
        <f t="shared" si="12"/>
        <v>0</v>
      </c>
      <c r="AK29" s="302">
        <f t="shared" si="12"/>
        <v>0</v>
      </c>
      <c r="AL29" s="302">
        <f t="shared" si="12"/>
        <v>0</v>
      </c>
      <c r="AN29" s="302">
        <f t="shared" si="7"/>
        <v>49.224000000000004</v>
      </c>
      <c r="AO29" s="302">
        <f t="shared" si="2"/>
        <v>0</v>
      </c>
      <c r="AP29" s="302">
        <f t="shared" si="2"/>
        <v>0</v>
      </c>
      <c r="AQ29" s="302">
        <f t="shared" si="2"/>
        <v>0</v>
      </c>
      <c r="AR29" s="302">
        <f t="shared" si="2"/>
        <v>0</v>
      </c>
      <c r="AS29" s="302">
        <f t="shared" si="2"/>
        <v>0</v>
      </c>
      <c r="AT29" s="404"/>
      <c r="AU29" s="302">
        <f>J29</f>
        <v>786</v>
      </c>
      <c r="AV29" s="302">
        <f t="shared" si="44"/>
        <v>786</v>
      </c>
      <c r="AW29" s="302">
        <f t="shared" si="44"/>
        <v>786</v>
      </c>
      <c r="AX29" s="302">
        <f t="shared" si="44"/>
        <v>786</v>
      </c>
      <c r="AY29" s="302">
        <f t="shared" si="44"/>
        <v>786</v>
      </c>
      <c r="AZ29" s="302">
        <f t="shared" si="44"/>
        <v>786</v>
      </c>
      <c r="BB29" s="302">
        <f t="shared" si="45"/>
        <v>679</v>
      </c>
      <c r="BC29" s="302">
        <f t="shared" si="45"/>
        <v>0</v>
      </c>
      <c r="BD29" s="302">
        <f t="shared" si="45"/>
        <v>0</v>
      </c>
      <c r="BE29" s="302">
        <f t="shared" si="45"/>
        <v>0</v>
      </c>
      <c r="BF29" s="302">
        <f t="shared" si="45"/>
        <v>0</v>
      </c>
      <c r="BG29" s="302">
        <f t="shared" si="45"/>
        <v>0</v>
      </c>
      <c r="BH29" s="408">
        <f>SUMPRODUCT(S29:X29,BB29:BG29)/C29</f>
        <v>679</v>
      </c>
      <c r="BI29" s="409">
        <f t="shared" si="46"/>
        <v>0</v>
      </c>
      <c r="BK29" s="440">
        <f t="shared" si="47"/>
        <v>22.814399999999999</v>
      </c>
      <c r="BL29" s="425">
        <f t="shared" si="47"/>
        <v>0</v>
      </c>
      <c r="BM29" s="425">
        <f t="shared" si="47"/>
        <v>0</v>
      </c>
      <c r="BN29" s="425">
        <f t="shared" si="47"/>
        <v>0</v>
      </c>
      <c r="BO29" s="425">
        <f t="shared" si="47"/>
        <v>0</v>
      </c>
      <c r="BP29" s="425">
        <f t="shared" si="47"/>
        <v>0</v>
      </c>
      <c r="BQ29" s="436">
        <f t="shared" si="48"/>
        <v>22.814399999999999</v>
      </c>
      <c r="BX29" s="561"/>
      <c r="BY29" s="561"/>
      <c r="CA29" s="302"/>
      <c r="CB29" s="302"/>
      <c r="CC29" s="302"/>
      <c r="CD29" s="302"/>
      <c r="CE29" s="302"/>
      <c r="CF29" s="302"/>
      <c r="CG29" s="408"/>
      <c r="CH29" s="409"/>
      <c r="CJ29" s="425"/>
      <c r="CK29" s="425"/>
      <c r="CL29" s="425"/>
      <c r="CM29" s="425"/>
      <c r="CN29" s="425"/>
      <c r="CO29" s="425"/>
      <c r="CP29" s="426"/>
      <c r="CT29" s="447">
        <f t="shared" si="49"/>
        <v>22.814399999999999</v>
      </c>
      <c r="CU29" s="447">
        <f t="shared" si="49"/>
        <v>0</v>
      </c>
      <c r="CV29" s="447">
        <f t="shared" si="49"/>
        <v>0</v>
      </c>
      <c r="CW29" s="447">
        <f t="shared" si="49"/>
        <v>0</v>
      </c>
      <c r="CX29" s="447">
        <f t="shared" si="49"/>
        <v>0</v>
      </c>
      <c r="CY29" s="447">
        <f t="shared" si="49"/>
        <v>0</v>
      </c>
      <c r="CZ29" s="448">
        <f t="shared" si="49"/>
        <v>22.814399999999999</v>
      </c>
      <c r="DA29" s="413"/>
    </row>
    <row r="30" spans="1:105">
      <c r="B30" s="291"/>
      <c r="C30" s="266"/>
      <c r="D30" s="266"/>
      <c r="E30" s="266"/>
      <c r="F30" s="302"/>
      <c r="I30" s="302"/>
      <c r="J30" s="302"/>
      <c r="L30" s="302"/>
      <c r="S30" s="265"/>
      <c r="T30" s="302"/>
      <c r="U30" s="302"/>
      <c r="V30" s="302"/>
      <c r="W30" s="302"/>
      <c r="X30" s="302"/>
      <c r="Z30" s="265"/>
      <c r="AA30" s="302"/>
      <c r="AB30" s="302"/>
      <c r="AC30" s="302"/>
      <c r="AD30" s="302"/>
      <c r="AE30" s="302"/>
      <c r="AG30" s="302">
        <f t="shared" si="12"/>
        <v>0</v>
      </c>
      <c r="AH30" s="302">
        <f t="shared" si="12"/>
        <v>0</v>
      </c>
      <c r="AI30" s="302">
        <f t="shared" si="12"/>
        <v>0</v>
      </c>
      <c r="AJ30" s="302">
        <f t="shared" si="12"/>
        <v>0</v>
      </c>
      <c r="AK30" s="302">
        <f t="shared" si="12"/>
        <v>0</v>
      </c>
      <c r="AL30" s="302">
        <f t="shared" si="12"/>
        <v>0</v>
      </c>
      <c r="AN30" s="302">
        <f t="shared" si="7"/>
        <v>0</v>
      </c>
      <c r="AO30" s="302">
        <f t="shared" si="2"/>
        <v>0</v>
      </c>
      <c r="AP30" s="302">
        <f t="shared" si="2"/>
        <v>0</v>
      </c>
      <c r="AQ30" s="302">
        <f t="shared" si="2"/>
        <v>0</v>
      </c>
      <c r="AR30" s="302">
        <f t="shared" si="2"/>
        <v>0</v>
      </c>
      <c r="AS30" s="302">
        <f t="shared" si="2"/>
        <v>0</v>
      </c>
      <c r="AT30" s="404"/>
      <c r="AU30" s="302"/>
      <c r="AV30" s="302"/>
      <c r="AW30" s="302"/>
      <c r="AX30" s="302"/>
      <c r="AY30" s="302"/>
      <c r="AZ30" s="302"/>
      <c r="BB30" s="302"/>
      <c r="BC30" s="302"/>
      <c r="BD30" s="302"/>
      <c r="BE30" s="302"/>
      <c r="BF30" s="302"/>
      <c r="BG30" s="302"/>
      <c r="BK30" s="429">
        <f t="shared" si="47"/>
        <v>0</v>
      </c>
      <c r="BL30" s="428">
        <f t="shared" si="47"/>
        <v>0</v>
      </c>
      <c r="BM30" s="428">
        <f t="shared" si="47"/>
        <v>0</v>
      </c>
      <c r="BN30" s="428">
        <f t="shared" si="47"/>
        <v>0</v>
      </c>
      <c r="BO30" s="428">
        <f t="shared" si="47"/>
        <v>0</v>
      </c>
      <c r="BP30" s="428">
        <f t="shared" si="47"/>
        <v>0</v>
      </c>
      <c r="BQ30" s="436">
        <f t="shared" si="48"/>
        <v>0</v>
      </c>
      <c r="BX30" s="561"/>
      <c r="BY30" s="561"/>
      <c r="CA30" s="302"/>
      <c r="CB30" s="302"/>
      <c r="CC30" s="302"/>
      <c r="CD30" s="302"/>
      <c r="CE30" s="302"/>
      <c r="CF30" s="302"/>
      <c r="CJ30" s="429"/>
      <c r="CK30" s="428"/>
      <c r="CL30" s="428"/>
      <c r="CM30" s="428"/>
      <c r="CN30" s="428"/>
      <c r="CO30" s="428"/>
      <c r="CP30" s="426"/>
      <c r="CT30" s="451"/>
      <c r="CU30" s="450"/>
      <c r="CV30" s="450"/>
      <c r="CW30" s="450"/>
      <c r="CX30" s="450"/>
      <c r="CY30" s="450"/>
      <c r="CZ30" s="448"/>
    </row>
    <row r="31" spans="1:105">
      <c r="B31" s="294" t="s">
        <v>144</v>
      </c>
      <c r="C31" s="266"/>
      <c r="D31" s="266"/>
      <c r="E31" s="266"/>
      <c r="F31" s="302"/>
      <c r="I31" s="302"/>
      <c r="J31" s="302"/>
      <c r="L31" s="302"/>
      <c r="S31" s="265"/>
      <c r="T31" s="304"/>
      <c r="U31" s="304"/>
      <c r="V31" s="304"/>
      <c r="W31" s="304"/>
      <c r="X31" s="304"/>
      <c r="Z31" s="265"/>
      <c r="AA31" s="304"/>
      <c r="AB31" s="304"/>
      <c r="AC31" s="304"/>
      <c r="AD31" s="304"/>
      <c r="AE31" s="304"/>
      <c r="AG31" s="302">
        <f t="shared" si="12"/>
        <v>0</v>
      </c>
      <c r="AH31" s="302">
        <f t="shared" si="12"/>
        <v>0</v>
      </c>
      <c r="AI31" s="302">
        <f t="shared" si="12"/>
        <v>0</v>
      </c>
      <c r="AJ31" s="302">
        <f t="shared" si="12"/>
        <v>0</v>
      </c>
      <c r="AK31" s="302">
        <f t="shared" si="12"/>
        <v>0</v>
      </c>
      <c r="AL31" s="302">
        <f t="shared" si="12"/>
        <v>0</v>
      </c>
      <c r="AN31" s="302">
        <f t="shared" si="7"/>
        <v>0</v>
      </c>
      <c r="AO31" s="302">
        <f t="shared" si="2"/>
        <v>0</v>
      </c>
      <c r="AP31" s="302">
        <f t="shared" si="2"/>
        <v>0</v>
      </c>
      <c r="AQ31" s="302">
        <f t="shared" si="2"/>
        <v>0</v>
      </c>
      <c r="AR31" s="302">
        <f t="shared" si="2"/>
        <v>0</v>
      </c>
      <c r="AS31" s="302">
        <f t="shared" si="2"/>
        <v>0</v>
      </c>
      <c r="AT31" s="404"/>
      <c r="AU31" s="302"/>
      <c r="AV31" s="302"/>
      <c r="AW31" s="302"/>
      <c r="AX31" s="302"/>
      <c r="AY31" s="302"/>
      <c r="AZ31" s="302"/>
      <c r="BB31" s="302"/>
      <c r="BC31" s="302"/>
      <c r="BD31" s="302"/>
      <c r="BE31" s="302"/>
      <c r="BF31" s="302"/>
      <c r="BG31" s="302"/>
      <c r="BK31" s="429">
        <f t="shared" si="47"/>
        <v>0</v>
      </c>
      <c r="BL31" s="430">
        <f t="shared" si="47"/>
        <v>0</v>
      </c>
      <c r="BM31" s="430">
        <f t="shared" si="47"/>
        <v>0</v>
      </c>
      <c r="BN31" s="430">
        <f t="shared" si="47"/>
        <v>0</v>
      </c>
      <c r="BO31" s="430">
        <f t="shared" si="47"/>
        <v>0</v>
      </c>
      <c r="BP31" s="430">
        <f t="shared" si="47"/>
        <v>0</v>
      </c>
      <c r="BQ31" s="436">
        <f t="shared" si="48"/>
        <v>0</v>
      </c>
      <c r="BX31" s="561"/>
      <c r="BY31" s="561"/>
      <c r="CA31" s="302"/>
      <c r="CB31" s="302"/>
      <c r="CC31" s="302"/>
      <c r="CD31" s="302"/>
      <c r="CE31" s="302"/>
      <c r="CF31" s="302"/>
      <c r="CJ31" s="429"/>
      <c r="CK31" s="430"/>
      <c r="CL31" s="430"/>
      <c r="CM31" s="430"/>
      <c r="CN31" s="430"/>
      <c r="CO31" s="430"/>
      <c r="CP31" s="426"/>
      <c r="CT31" s="451"/>
      <c r="CU31" s="452"/>
      <c r="CV31" s="452"/>
      <c r="CW31" s="452"/>
      <c r="CX31" s="452"/>
      <c r="CY31" s="452"/>
      <c r="CZ31" s="448"/>
    </row>
    <row r="32" spans="1:105">
      <c r="A32" s="366"/>
      <c r="B32" s="365" t="str">
        <f>'[50]Productwise sales'!A26</f>
        <v>Caprylic acid</v>
      </c>
      <c r="C32" s="395">
        <f>'[50]Productwise sales'!I26</f>
        <v>692</v>
      </c>
      <c r="D32" s="395">
        <f>'[50]Productwise sales'!J26</f>
        <v>4726.0115606936415</v>
      </c>
      <c r="E32" s="395"/>
      <c r="F32" s="381"/>
      <c r="G32" s="366"/>
      <c r="I32" s="381"/>
      <c r="J32" s="381"/>
      <c r="L32" s="381">
        <f>2102+1288</f>
        <v>3390</v>
      </c>
      <c r="M32" s="380">
        <f>1</f>
        <v>1</v>
      </c>
      <c r="N32" s="381">
        <f t="shared" ref="N32:N36" si="50">L32/M32</f>
        <v>3390</v>
      </c>
      <c r="O32" s="485">
        <f t="shared" ref="O32:O36" si="51">N32/$A$2</f>
        <v>48.428571428571431</v>
      </c>
      <c r="S32" s="395">
        <f>[50]Domestic!J26</f>
        <v>120</v>
      </c>
      <c r="T32" s="395">
        <f>[50]Europe!B26</f>
        <v>572</v>
      </c>
      <c r="U32" s="395">
        <f>'[50]Asia-Pacific'!B26</f>
        <v>0</v>
      </c>
      <c r="V32" s="395">
        <f>'[50]Rest of world'!B26</f>
        <v>0</v>
      </c>
      <c r="W32" s="395">
        <f>'[50]North America'!B26</f>
        <v>0</v>
      </c>
      <c r="X32" s="395">
        <f>'[50]Latin America'!B26</f>
        <v>0</v>
      </c>
      <c r="Z32" s="395">
        <f>[50]Domestic!K26</f>
        <v>4726.0115606936424</v>
      </c>
      <c r="AA32" s="395">
        <f>[50]Europe!C26</f>
        <v>4726.0115606936415</v>
      </c>
      <c r="AB32" s="395">
        <f>'[50]Asia-Pacific'!C26</f>
        <v>0</v>
      </c>
      <c r="AC32" s="395">
        <f>'[50]Rest of world'!C26</f>
        <v>0</v>
      </c>
      <c r="AD32" s="395">
        <f>'[50]North America'!C26</f>
        <v>0</v>
      </c>
      <c r="AE32" s="395">
        <f>'[50]Latin America'!C26</f>
        <v>0</v>
      </c>
      <c r="AF32" s="366"/>
      <c r="AG32" s="381">
        <f t="shared" si="12"/>
        <v>0.56712138728323702</v>
      </c>
      <c r="AH32" s="381">
        <f t="shared" si="12"/>
        <v>2.7032786127167627</v>
      </c>
      <c r="AI32" s="381">
        <f t="shared" si="12"/>
        <v>0</v>
      </c>
      <c r="AJ32" s="381">
        <f t="shared" si="12"/>
        <v>0</v>
      </c>
      <c r="AK32" s="381">
        <f t="shared" si="12"/>
        <v>0</v>
      </c>
      <c r="AL32" s="381">
        <f t="shared" si="12"/>
        <v>0</v>
      </c>
      <c r="AM32" s="366"/>
      <c r="AN32" s="381">
        <f t="shared" si="7"/>
        <v>3.9698497109826589</v>
      </c>
      <c r="AO32" s="381">
        <f t="shared" si="2"/>
        <v>18.92295028901734</v>
      </c>
      <c r="AP32" s="381">
        <f t="shared" si="2"/>
        <v>0</v>
      </c>
      <c r="AQ32" s="381">
        <f t="shared" si="2"/>
        <v>0</v>
      </c>
      <c r="AR32" s="381">
        <f t="shared" si="2"/>
        <v>0</v>
      </c>
      <c r="AS32" s="381">
        <f t="shared" si="2"/>
        <v>0</v>
      </c>
      <c r="AT32" s="404"/>
      <c r="AU32" s="381"/>
      <c r="AV32" s="381"/>
      <c r="AW32" s="381"/>
      <c r="AX32" s="381"/>
      <c r="AY32" s="381"/>
      <c r="AZ32" s="381"/>
      <c r="BB32" s="381"/>
      <c r="BC32" s="381"/>
      <c r="BD32" s="381"/>
      <c r="BE32" s="381"/>
      <c r="BF32" s="381"/>
      <c r="BG32" s="381"/>
      <c r="BK32" s="425">
        <f t="shared" si="47"/>
        <v>0</v>
      </c>
      <c r="BL32" s="425">
        <f t="shared" si="47"/>
        <v>0</v>
      </c>
      <c r="BM32" s="425">
        <f t="shared" si="47"/>
        <v>0</v>
      </c>
      <c r="BN32" s="425">
        <f t="shared" si="47"/>
        <v>0</v>
      </c>
      <c r="BO32" s="425">
        <f t="shared" si="47"/>
        <v>0</v>
      </c>
      <c r="BP32" s="425">
        <f t="shared" si="47"/>
        <v>0</v>
      </c>
      <c r="BQ32" s="436">
        <f t="shared" si="48"/>
        <v>0</v>
      </c>
      <c r="BX32" s="561"/>
      <c r="BY32" s="561"/>
      <c r="CA32" s="381">
        <f>IF(Z32=0,0,Z32-$O$32)</f>
        <v>4677.5829892650709</v>
      </c>
      <c r="CB32" s="381">
        <f t="shared" ref="CB32:CF32" si="52">IF(AA32=0,0,AA32-$O$32)</f>
        <v>4677.58298926507</v>
      </c>
      <c r="CC32" s="381">
        <f t="shared" si="52"/>
        <v>0</v>
      </c>
      <c r="CD32" s="381">
        <f t="shared" si="52"/>
        <v>0</v>
      </c>
      <c r="CE32" s="381">
        <f t="shared" si="52"/>
        <v>0</v>
      </c>
      <c r="CF32" s="381">
        <f t="shared" si="52"/>
        <v>0</v>
      </c>
      <c r="CJ32" s="440">
        <f t="shared" ref="CJ32:CO36" si="53">S32*CA32*$A$2/10^7</f>
        <v>3.9291697109826593</v>
      </c>
      <c r="CK32" s="425">
        <f t="shared" si="53"/>
        <v>18.72904228901734</v>
      </c>
      <c r="CL32" s="425">
        <f t="shared" si="53"/>
        <v>0</v>
      </c>
      <c r="CM32" s="425">
        <f t="shared" si="53"/>
        <v>0</v>
      </c>
      <c r="CN32" s="425">
        <f t="shared" si="53"/>
        <v>0</v>
      </c>
      <c r="CO32" s="425">
        <f t="shared" si="53"/>
        <v>0</v>
      </c>
      <c r="CP32" s="426">
        <f t="shared" ref="CP32:CP36" si="54">SUM(CJ32:CO32)</f>
        <v>22.658211999999999</v>
      </c>
      <c r="CT32" s="447">
        <f t="shared" ref="CT32:CY74" si="55">BK32+CJ32</f>
        <v>3.9291697109826593</v>
      </c>
      <c r="CU32" s="447">
        <f t="shared" si="55"/>
        <v>18.72904228901734</v>
      </c>
      <c r="CV32" s="447">
        <f t="shared" si="55"/>
        <v>0</v>
      </c>
      <c r="CW32" s="447">
        <f t="shared" si="55"/>
        <v>0</v>
      </c>
      <c r="CX32" s="447">
        <f t="shared" si="55"/>
        <v>0</v>
      </c>
      <c r="CY32" s="447">
        <f t="shared" si="55"/>
        <v>0</v>
      </c>
      <c r="CZ32" s="448">
        <f t="shared" ref="CZ32:CZ81" si="56">SUM(CT32:CY32)</f>
        <v>22.658211999999999</v>
      </c>
      <c r="DA32" s="413"/>
    </row>
    <row r="33" spans="1:105">
      <c r="A33" s="366"/>
      <c r="B33" s="365" t="str">
        <f>'[50]Productwise sales'!A27</f>
        <v>Caprylic-Capric acid</v>
      </c>
      <c r="C33" s="395">
        <f>'[50]Productwise sales'!I27</f>
        <v>1900</v>
      </c>
      <c r="D33" s="395">
        <f>'[50]Productwise sales'!J27</f>
        <v>3825</v>
      </c>
      <c r="E33" s="395"/>
      <c r="F33" s="381"/>
      <c r="G33" s="366"/>
      <c r="I33" s="381"/>
      <c r="J33" s="381"/>
      <c r="L33" s="381">
        <f>2102+1288+1288</f>
        <v>4678</v>
      </c>
      <c r="M33" s="380">
        <f>1</f>
        <v>1</v>
      </c>
      <c r="N33" s="381">
        <f t="shared" si="50"/>
        <v>4678</v>
      </c>
      <c r="O33" s="485">
        <f t="shared" si="51"/>
        <v>66.828571428571422</v>
      </c>
      <c r="S33" s="395">
        <f>[50]Domestic!J27</f>
        <v>0</v>
      </c>
      <c r="T33" s="395">
        <f>[50]Europe!B27</f>
        <v>1900</v>
      </c>
      <c r="U33" s="395">
        <f>'[50]Asia-Pacific'!B27</f>
        <v>0</v>
      </c>
      <c r="V33" s="395">
        <f>'[50]Rest of world'!B27</f>
        <v>0</v>
      </c>
      <c r="W33" s="395">
        <f>'[50]North America'!B27</f>
        <v>0</v>
      </c>
      <c r="X33" s="395">
        <f>'[50]Latin America'!B27</f>
        <v>0</v>
      </c>
      <c r="Z33" s="395">
        <f>[50]Domestic!K27</f>
        <v>0</v>
      </c>
      <c r="AA33" s="395">
        <f>[50]Europe!C27</f>
        <v>3825</v>
      </c>
      <c r="AB33" s="395">
        <f>'[50]Asia-Pacific'!C27</f>
        <v>0</v>
      </c>
      <c r="AC33" s="395">
        <f>'[50]Rest of world'!C27</f>
        <v>0</v>
      </c>
      <c r="AD33" s="395">
        <f>'[50]North America'!C27</f>
        <v>0</v>
      </c>
      <c r="AE33" s="395">
        <f>'[50]Latin America'!C27</f>
        <v>0</v>
      </c>
      <c r="AF33" s="366"/>
      <c r="AG33" s="381">
        <f t="shared" si="12"/>
        <v>0</v>
      </c>
      <c r="AH33" s="381">
        <f t="shared" si="12"/>
        <v>7.2675000000000001</v>
      </c>
      <c r="AI33" s="381">
        <f t="shared" si="12"/>
        <v>0</v>
      </c>
      <c r="AJ33" s="381">
        <f t="shared" si="12"/>
        <v>0</v>
      </c>
      <c r="AK33" s="381">
        <f t="shared" si="12"/>
        <v>0</v>
      </c>
      <c r="AL33" s="381">
        <f t="shared" si="12"/>
        <v>0</v>
      </c>
      <c r="AM33" s="366"/>
      <c r="AN33" s="381">
        <f t="shared" si="7"/>
        <v>0</v>
      </c>
      <c r="AO33" s="381">
        <f t="shared" si="2"/>
        <v>50.872500000000002</v>
      </c>
      <c r="AP33" s="381">
        <f t="shared" si="2"/>
        <v>0</v>
      </c>
      <c r="AQ33" s="381">
        <f t="shared" si="2"/>
        <v>0</v>
      </c>
      <c r="AR33" s="381">
        <f t="shared" si="2"/>
        <v>0</v>
      </c>
      <c r="AS33" s="381">
        <f t="shared" si="2"/>
        <v>0</v>
      </c>
      <c r="AT33" s="404"/>
      <c r="AU33" s="381"/>
      <c r="AV33" s="381"/>
      <c r="AW33" s="381"/>
      <c r="AX33" s="381"/>
      <c r="AY33" s="381"/>
      <c r="AZ33" s="381"/>
      <c r="BB33" s="381"/>
      <c r="BC33" s="381"/>
      <c r="BD33" s="381"/>
      <c r="BE33" s="381"/>
      <c r="BF33" s="381"/>
      <c r="BG33" s="381"/>
      <c r="BK33" s="425">
        <f t="shared" si="47"/>
        <v>0</v>
      </c>
      <c r="BL33" s="425">
        <f t="shared" si="47"/>
        <v>0</v>
      </c>
      <c r="BM33" s="425">
        <f t="shared" si="47"/>
        <v>0</v>
      </c>
      <c r="BN33" s="425">
        <f t="shared" si="47"/>
        <v>0</v>
      </c>
      <c r="BO33" s="425">
        <f t="shared" si="47"/>
        <v>0</v>
      </c>
      <c r="BP33" s="425">
        <f t="shared" si="47"/>
        <v>0</v>
      </c>
      <c r="BQ33" s="436">
        <f t="shared" si="48"/>
        <v>0</v>
      </c>
      <c r="BX33" s="561"/>
      <c r="BY33" s="561"/>
      <c r="CA33" s="381">
        <f>IF(Z33=0,0,Z33-$O$33)</f>
        <v>0</v>
      </c>
      <c r="CB33" s="381">
        <f t="shared" ref="CB33:CF33" si="57">IF(AA33=0,0,AA33-$O$33)</f>
        <v>3758.1714285714288</v>
      </c>
      <c r="CC33" s="381">
        <f t="shared" si="57"/>
        <v>0</v>
      </c>
      <c r="CD33" s="381">
        <f t="shared" si="57"/>
        <v>0</v>
      </c>
      <c r="CE33" s="381">
        <f t="shared" si="57"/>
        <v>0</v>
      </c>
      <c r="CF33" s="381">
        <f t="shared" si="57"/>
        <v>0</v>
      </c>
      <c r="CJ33" s="440">
        <f t="shared" si="53"/>
        <v>0</v>
      </c>
      <c r="CK33" s="425">
        <f t="shared" si="53"/>
        <v>49.98368</v>
      </c>
      <c r="CL33" s="425">
        <f t="shared" si="53"/>
        <v>0</v>
      </c>
      <c r="CM33" s="425">
        <f t="shared" si="53"/>
        <v>0</v>
      </c>
      <c r="CN33" s="425">
        <f t="shared" si="53"/>
        <v>0</v>
      </c>
      <c r="CO33" s="425">
        <f t="shared" si="53"/>
        <v>0</v>
      </c>
      <c r="CP33" s="426">
        <f t="shared" si="54"/>
        <v>49.98368</v>
      </c>
      <c r="CT33" s="447">
        <f t="shared" si="55"/>
        <v>0</v>
      </c>
      <c r="CU33" s="447">
        <f t="shared" si="55"/>
        <v>49.98368</v>
      </c>
      <c r="CV33" s="447">
        <f t="shared" si="55"/>
        <v>0</v>
      </c>
      <c r="CW33" s="447">
        <f t="shared" si="55"/>
        <v>0</v>
      </c>
      <c r="CX33" s="447">
        <f t="shared" si="55"/>
        <v>0</v>
      </c>
      <c r="CY33" s="447">
        <f t="shared" si="55"/>
        <v>0</v>
      </c>
      <c r="CZ33" s="448">
        <f t="shared" si="56"/>
        <v>49.98368</v>
      </c>
      <c r="DA33" s="413"/>
    </row>
    <row r="34" spans="1:105">
      <c r="A34" s="366"/>
      <c r="B34" s="365" t="str">
        <f>'[50]Productwise sales'!A28</f>
        <v>Crude C8-C10</v>
      </c>
      <c r="C34" s="395">
        <f>'[50]Productwise sales'!I28</f>
        <v>0</v>
      </c>
      <c r="D34" s="395">
        <f>'[50]Productwise sales'!J28</f>
        <v>0</v>
      </c>
      <c r="E34" s="395"/>
      <c r="F34" s="381"/>
      <c r="G34" s="366"/>
      <c r="I34" s="381"/>
      <c r="J34" s="381"/>
      <c r="L34" s="381"/>
      <c r="M34" s="380">
        <f>1</f>
        <v>1</v>
      </c>
      <c r="N34" s="381">
        <f t="shared" si="50"/>
        <v>0</v>
      </c>
      <c r="O34" s="485">
        <f t="shared" si="51"/>
        <v>0</v>
      </c>
      <c r="S34" s="395">
        <f>[50]Domestic!J28</f>
        <v>0</v>
      </c>
      <c r="T34" s="395">
        <f>[50]Europe!B28</f>
        <v>0</v>
      </c>
      <c r="U34" s="395">
        <f>'[50]Asia-Pacific'!B28</f>
        <v>0</v>
      </c>
      <c r="V34" s="395">
        <f>'[50]Rest of world'!B28</f>
        <v>0</v>
      </c>
      <c r="W34" s="395">
        <f>'[50]North America'!B28</f>
        <v>0</v>
      </c>
      <c r="X34" s="395">
        <f>'[50]Latin America'!B28</f>
        <v>0</v>
      </c>
      <c r="Z34" s="395">
        <f>[50]Domestic!K28</f>
        <v>0</v>
      </c>
      <c r="AA34" s="395">
        <f>[50]Europe!C28</f>
        <v>0</v>
      </c>
      <c r="AB34" s="395">
        <f>'[50]Asia-Pacific'!C28</f>
        <v>0</v>
      </c>
      <c r="AC34" s="395">
        <f>'[50]Rest of world'!C28</f>
        <v>0</v>
      </c>
      <c r="AD34" s="395">
        <f>'[50]North America'!C28</f>
        <v>0</v>
      </c>
      <c r="AE34" s="395">
        <f>'[50]Latin America'!C28</f>
        <v>0</v>
      </c>
      <c r="AF34" s="366"/>
      <c r="AG34" s="381">
        <f t="shared" si="12"/>
        <v>0</v>
      </c>
      <c r="AH34" s="381">
        <f t="shared" si="12"/>
        <v>0</v>
      </c>
      <c r="AI34" s="381">
        <f t="shared" si="12"/>
        <v>0</v>
      </c>
      <c r="AJ34" s="381">
        <f t="shared" si="12"/>
        <v>0</v>
      </c>
      <c r="AK34" s="381">
        <f t="shared" si="12"/>
        <v>0</v>
      </c>
      <c r="AL34" s="381">
        <f t="shared" si="12"/>
        <v>0</v>
      </c>
      <c r="AM34" s="366"/>
      <c r="AN34" s="381">
        <f t="shared" si="7"/>
        <v>0</v>
      </c>
      <c r="AO34" s="381">
        <f t="shared" si="2"/>
        <v>0</v>
      </c>
      <c r="AP34" s="381">
        <f t="shared" si="2"/>
        <v>0</v>
      </c>
      <c r="AQ34" s="381">
        <f t="shared" si="2"/>
        <v>0</v>
      </c>
      <c r="AR34" s="381">
        <f t="shared" si="2"/>
        <v>0</v>
      </c>
      <c r="AS34" s="381">
        <f t="shared" si="2"/>
        <v>0</v>
      </c>
      <c r="AT34" s="404"/>
      <c r="AU34" s="381"/>
      <c r="AV34" s="381"/>
      <c r="AW34" s="381"/>
      <c r="AX34" s="381"/>
      <c r="AY34" s="381"/>
      <c r="AZ34" s="381"/>
      <c r="BB34" s="381"/>
      <c r="BC34" s="381"/>
      <c r="BD34" s="381"/>
      <c r="BE34" s="381"/>
      <c r="BF34" s="381"/>
      <c r="BG34" s="381"/>
      <c r="BK34" s="425">
        <f t="shared" si="47"/>
        <v>0</v>
      </c>
      <c r="BL34" s="425">
        <f t="shared" si="47"/>
        <v>0</v>
      </c>
      <c r="BM34" s="425">
        <f t="shared" si="47"/>
        <v>0</v>
      </c>
      <c r="BN34" s="425">
        <f t="shared" si="47"/>
        <v>0</v>
      </c>
      <c r="BO34" s="425">
        <f t="shared" si="47"/>
        <v>0</v>
      </c>
      <c r="BP34" s="425">
        <f t="shared" si="47"/>
        <v>0</v>
      </c>
      <c r="BQ34" s="436">
        <f t="shared" si="48"/>
        <v>0</v>
      </c>
      <c r="BX34" s="561"/>
      <c r="BY34" s="561"/>
      <c r="CA34" s="381">
        <f>IF(Z34=0,0,Z34-$O$34)</f>
        <v>0</v>
      </c>
      <c r="CB34" s="381">
        <f t="shared" ref="CB34:CF34" si="58">IF(AA34=0,0,AA34-$O$34)</f>
        <v>0</v>
      </c>
      <c r="CC34" s="381">
        <f t="shared" si="58"/>
        <v>0</v>
      </c>
      <c r="CD34" s="381">
        <f t="shared" si="58"/>
        <v>0</v>
      </c>
      <c r="CE34" s="381">
        <f t="shared" si="58"/>
        <v>0</v>
      </c>
      <c r="CF34" s="381">
        <f t="shared" si="58"/>
        <v>0</v>
      </c>
      <c r="CJ34" s="440">
        <f t="shared" si="53"/>
        <v>0</v>
      </c>
      <c r="CK34" s="425">
        <f t="shared" si="53"/>
        <v>0</v>
      </c>
      <c r="CL34" s="425">
        <f t="shared" si="53"/>
        <v>0</v>
      </c>
      <c r="CM34" s="425">
        <f t="shared" si="53"/>
        <v>0</v>
      </c>
      <c r="CN34" s="425">
        <f t="shared" si="53"/>
        <v>0</v>
      </c>
      <c r="CO34" s="425">
        <f t="shared" si="53"/>
        <v>0</v>
      </c>
      <c r="CP34" s="426">
        <f t="shared" si="54"/>
        <v>0</v>
      </c>
      <c r="CT34" s="447">
        <f t="shared" si="55"/>
        <v>0</v>
      </c>
      <c r="CU34" s="447">
        <f t="shared" si="55"/>
        <v>0</v>
      </c>
      <c r="CV34" s="447">
        <f t="shared" si="55"/>
        <v>0</v>
      </c>
      <c r="CW34" s="447">
        <f t="shared" si="55"/>
        <v>0</v>
      </c>
      <c r="CX34" s="447">
        <f t="shared" si="55"/>
        <v>0</v>
      </c>
      <c r="CY34" s="447">
        <f t="shared" si="55"/>
        <v>0</v>
      </c>
      <c r="CZ34" s="448">
        <f t="shared" si="56"/>
        <v>0</v>
      </c>
      <c r="DA34" s="413"/>
    </row>
    <row r="35" spans="1:105">
      <c r="A35" s="366"/>
      <c r="B35" s="365" t="str">
        <f>'[50]Productwise sales'!A29</f>
        <v>Caproic acid</v>
      </c>
      <c r="C35" s="395">
        <f>'[50]Productwise sales'!I29</f>
        <v>221</v>
      </c>
      <c r="D35" s="395">
        <f>'[50]Productwise sales'!J29</f>
        <v>700</v>
      </c>
      <c r="E35" s="395"/>
      <c r="F35" s="381"/>
      <c r="G35" s="366"/>
      <c r="I35" s="381"/>
      <c r="J35" s="381"/>
      <c r="L35" s="381">
        <f>2102+1288</f>
        <v>3390</v>
      </c>
      <c r="M35" s="380">
        <f>1</f>
        <v>1</v>
      </c>
      <c r="N35" s="381">
        <f t="shared" si="50"/>
        <v>3390</v>
      </c>
      <c r="O35" s="485">
        <f t="shared" si="51"/>
        <v>48.428571428571431</v>
      </c>
      <c r="S35" s="395">
        <f>[50]Domestic!J29</f>
        <v>0</v>
      </c>
      <c r="T35" s="395">
        <f>[50]Europe!B29</f>
        <v>0</v>
      </c>
      <c r="U35" s="395">
        <f>'[50]Asia-Pacific'!B29</f>
        <v>221</v>
      </c>
      <c r="V35" s="395">
        <f>'[50]Rest of world'!B29</f>
        <v>0</v>
      </c>
      <c r="W35" s="395">
        <f>'[50]North America'!B29</f>
        <v>0</v>
      </c>
      <c r="X35" s="395">
        <f>'[50]Latin America'!B29</f>
        <v>0</v>
      </c>
      <c r="Z35" s="395">
        <f>[50]Domestic!K29</f>
        <v>0</v>
      </c>
      <c r="AA35" s="395">
        <f>[50]Europe!C29</f>
        <v>0</v>
      </c>
      <c r="AB35" s="395">
        <f>'[50]Asia-Pacific'!C29</f>
        <v>700</v>
      </c>
      <c r="AC35" s="395">
        <f>'[50]Rest of world'!C29</f>
        <v>0</v>
      </c>
      <c r="AD35" s="395">
        <f>'[50]North America'!C29</f>
        <v>0</v>
      </c>
      <c r="AE35" s="395">
        <f>'[50]Latin America'!C29</f>
        <v>0</v>
      </c>
      <c r="AF35" s="366"/>
      <c r="AG35" s="381">
        <f t="shared" si="12"/>
        <v>0</v>
      </c>
      <c r="AH35" s="381">
        <f t="shared" si="12"/>
        <v>0</v>
      </c>
      <c r="AI35" s="381">
        <f t="shared" si="12"/>
        <v>0.1547</v>
      </c>
      <c r="AJ35" s="381">
        <f t="shared" si="12"/>
        <v>0</v>
      </c>
      <c r="AK35" s="381">
        <f t="shared" si="12"/>
        <v>0</v>
      </c>
      <c r="AL35" s="381">
        <f t="shared" si="12"/>
        <v>0</v>
      </c>
      <c r="AM35" s="366"/>
      <c r="AN35" s="381">
        <f t="shared" si="7"/>
        <v>0</v>
      </c>
      <c r="AO35" s="381">
        <f t="shared" si="2"/>
        <v>0</v>
      </c>
      <c r="AP35" s="381">
        <f t="shared" si="2"/>
        <v>1.0829</v>
      </c>
      <c r="AQ35" s="381">
        <f t="shared" si="2"/>
        <v>0</v>
      </c>
      <c r="AR35" s="381">
        <f t="shared" si="2"/>
        <v>0</v>
      </c>
      <c r="AS35" s="381">
        <f t="shared" si="2"/>
        <v>0</v>
      </c>
      <c r="AT35" s="404"/>
      <c r="AU35" s="381"/>
      <c r="AV35" s="381"/>
      <c r="AW35" s="381"/>
      <c r="AX35" s="381"/>
      <c r="AY35" s="381"/>
      <c r="AZ35" s="381"/>
      <c r="BB35" s="381"/>
      <c r="BC35" s="381"/>
      <c r="BD35" s="381"/>
      <c r="BE35" s="381"/>
      <c r="BF35" s="381"/>
      <c r="BG35" s="381"/>
      <c r="BK35" s="425">
        <f t="shared" si="47"/>
        <v>0</v>
      </c>
      <c r="BL35" s="425">
        <f t="shared" si="47"/>
        <v>0</v>
      </c>
      <c r="BM35" s="425">
        <f t="shared" si="47"/>
        <v>0</v>
      </c>
      <c r="BN35" s="425">
        <f t="shared" si="47"/>
        <v>0</v>
      </c>
      <c r="BO35" s="425">
        <f t="shared" si="47"/>
        <v>0</v>
      </c>
      <c r="BP35" s="425">
        <f t="shared" si="47"/>
        <v>0</v>
      </c>
      <c r="BQ35" s="436">
        <f t="shared" si="48"/>
        <v>0</v>
      </c>
      <c r="BX35" s="561"/>
      <c r="BY35" s="561"/>
      <c r="CA35" s="381">
        <f>IF(Z35=0,0,Z35-$O$35)</f>
        <v>0</v>
      </c>
      <c r="CB35" s="381">
        <f t="shared" ref="CB35:CF35" si="59">IF(AA35=0,0,AA35-$O$35)</f>
        <v>0</v>
      </c>
      <c r="CC35" s="381">
        <f t="shared" si="59"/>
        <v>651.57142857142856</v>
      </c>
      <c r="CD35" s="381">
        <f t="shared" si="59"/>
        <v>0</v>
      </c>
      <c r="CE35" s="381">
        <f t="shared" si="59"/>
        <v>0</v>
      </c>
      <c r="CF35" s="381">
        <f t="shared" si="59"/>
        <v>0</v>
      </c>
      <c r="CJ35" s="440">
        <f t="shared" si="53"/>
        <v>0</v>
      </c>
      <c r="CK35" s="425">
        <f t="shared" si="53"/>
        <v>0</v>
      </c>
      <c r="CL35" s="425">
        <f t="shared" si="53"/>
        <v>1.007981</v>
      </c>
      <c r="CM35" s="425">
        <f t="shared" si="53"/>
        <v>0</v>
      </c>
      <c r="CN35" s="425">
        <f t="shared" si="53"/>
        <v>0</v>
      </c>
      <c r="CO35" s="425">
        <f t="shared" si="53"/>
        <v>0</v>
      </c>
      <c r="CP35" s="426">
        <f t="shared" si="54"/>
        <v>1.007981</v>
      </c>
      <c r="CT35" s="447">
        <f t="shared" si="55"/>
        <v>0</v>
      </c>
      <c r="CU35" s="447">
        <f t="shared" si="55"/>
        <v>0</v>
      </c>
      <c r="CV35" s="447">
        <f t="shared" si="55"/>
        <v>1.007981</v>
      </c>
      <c r="CW35" s="447">
        <f t="shared" si="55"/>
        <v>0</v>
      </c>
      <c r="CX35" s="447">
        <f t="shared" si="55"/>
        <v>0</v>
      </c>
      <c r="CY35" s="447">
        <f t="shared" si="55"/>
        <v>0</v>
      </c>
      <c r="CZ35" s="448">
        <f t="shared" si="56"/>
        <v>1.007981</v>
      </c>
      <c r="DA35" s="413"/>
    </row>
    <row r="36" spans="1:105">
      <c r="A36" s="366"/>
      <c r="B36" s="365" t="str">
        <f>'[50]Productwise sales'!A30</f>
        <v>Capric acid</v>
      </c>
      <c r="C36" s="395">
        <f>'[50]Productwise sales'!I30</f>
        <v>613</v>
      </c>
      <c r="D36" s="395">
        <f>'[50]Productwise sales'!J30</f>
        <v>2900.0000000000005</v>
      </c>
      <c r="E36" s="395"/>
      <c r="F36" s="381"/>
      <c r="G36" s="366"/>
      <c r="I36" s="381"/>
      <c r="J36" s="381"/>
      <c r="L36" s="381">
        <f>2102+1288+1288</f>
        <v>4678</v>
      </c>
      <c r="M36" s="380">
        <f>1</f>
        <v>1</v>
      </c>
      <c r="N36" s="381">
        <f t="shared" si="50"/>
        <v>4678</v>
      </c>
      <c r="O36" s="485">
        <f t="shared" si="51"/>
        <v>66.828571428571422</v>
      </c>
      <c r="S36" s="395">
        <f>[50]Domestic!J30</f>
        <v>0</v>
      </c>
      <c r="T36" s="395">
        <f>[50]Europe!B30</f>
        <v>613</v>
      </c>
      <c r="U36" s="395">
        <f>'[50]Asia-Pacific'!B30</f>
        <v>0</v>
      </c>
      <c r="V36" s="395">
        <f>'[50]Rest of world'!B30</f>
        <v>0</v>
      </c>
      <c r="W36" s="395">
        <f>'[50]North America'!B30</f>
        <v>0</v>
      </c>
      <c r="X36" s="395">
        <f>'[50]Latin America'!B30</f>
        <v>0</v>
      </c>
      <c r="Z36" s="395">
        <f>[50]Domestic!K30</f>
        <v>0</v>
      </c>
      <c r="AA36" s="395">
        <f>[50]Europe!C30</f>
        <v>2900.0000000000005</v>
      </c>
      <c r="AB36" s="395">
        <f>'[50]Asia-Pacific'!C30</f>
        <v>0</v>
      </c>
      <c r="AC36" s="395">
        <f>'[50]Rest of world'!C30</f>
        <v>0</v>
      </c>
      <c r="AD36" s="395">
        <f>'[50]North America'!C30</f>
        <v>0</v>
      </c>
      <c r="AE36" s="395">
        <f>'[50]Latin America'!C30</f>
        <v>0</v>
      </c>
      <c r="AF36" s="366"/>
      <c r="AG36" s="381">
        <f t="shared" si="12"/>
        <v>0</v>
      </c>
      <c r="AH36" s="381">
        <f t="shared" si="12"/>
        <v>1.7777000000000003</v>
      </c>
      <c r="AI36" s="381">
        <f t="shared" si="12"/>
        <v>0</v>
      </c>
      <c r="AJ36" s="381">
        <f t="shared" si="12"/>
        <v>0</v>
      </c>
      <c r="AK36" s="381">
        <f t="shared" si="12"/>
        <v>0</v>
      </c>
      <c r="AL36" s="381">
        <f t="shared" si="12"/>
        <v>0</v>
      </c>
      <c r="AM36" s="366"/>
      <c r="AN36" s="381">
        <f t="shared" si="7"/>
        <v>0</v>
      </c>
      <c r="AO36" s="381">
        <f t="shared" si="2"/>
        <v>12.443900000000003</v>
      </c>
      <c r="AP36" s="381">
        <f t="shared" si="2"/>
        <v>0</v>
      </c>
      <c r="AQ36" s="381">
        <f t="shared" si="2"/>
        <v>0</v>
      </c>
      <c r="AR36" s="381">
        <f t="shared" si="2"/>
        <v>0</v>
      </c>
      <c r="AS36" s="381">
        <f t="shared" si="2"/>
        <v>0</v>
      </c>
      <c r="AT36" s="404"/>
      <c r="AU36" s="381"/>
      <c r="AV36" s="381"/>
      <c r="AW36" s="381"/>
      <c r="AX36" s="381"/>
      <c r="AY36" s="381"/>
      <c r="AZ36" s="381"/>
      <c r="BB36" s="381"/>
      <c r="BC36" s="381"/>
      <c r="BD36" s="381"/>
      <c r="BE36" s="381"/>
      <c r="BF36" s="381"/>
      <c r="BG36" s="381"/>
      <c r="BK36" s="425">
        <f t="shared" si="47"/>
        <v>0</v>
      </c>
      <c r="BL36" s="425">
        <f t="shared" si="47"/>
        <v>0</v>
      </c>
      <c r="BM36" s="425">
        <f t="shared" si="47"/>
        <v>0</v>
      </c>
      <c r="BN36" s="425">
        <f t="shared" si="47"/>
        <v>0</v>
      </c>
      <c r="BO36" s="425">
        <f t="shared" si="47"/>
        <v>0</v>
      </c>
      <c r="BP36" s="425">
        <f t="shared" si="47"/>
        <v>0</v>
      </c>
      <c r="BQ36" s="436">
        <f t="shared" si="48"/>
        <v>0</v>
      </c>
      <c r="BX36" s="561"/>
      <c r="BY36" s="561"/>
      <c r="CA36" s="381">
        <f>IF(Z36=0,0,Z36-$O$36)</f>
        <v>0</v>
      </c>
      <c r="CB36" s="381">
        <f t="shared" ref="CB36:CF36" si="60">IF(AA36=0,0,AA36-$O$36)</f>
        <v>2833.1714285714288</v>
      </c>
      <c r="CC36" s="381">
        <f t="shared" si="60"/>
        <v>0</v>
      </c>
      <c r="CD36" s="381">
        <f t="shared" si="60"/>
        <v>0</v>
      </c>
      <c r="CE36" s="381">
        <f t="shared" si="60"/>
        <v>0</v>
      </c>
      <c r="CF36" s="381">
        <f t="shared" si="60"/>
        <v>0</v>
      </c>
      <c r="CJ36" s="440">
        <f t="shared" si="53"/>
        <v>0</v>
      </c>
      <c r="CK36" s="425">
        <f t="shared" si="53"/>
        <v>12.157138600000001</v>
      </c>
      <c r="CL36" s="425">
        <f t="shared" si="53"/>
        <v>0</v>
      </c>
      <c r="CM36" s="425">
        <f t="shared" si="53"/>
        <v>0</v>
      </c>
      <c r="CN36" s="425">
        <f t="shared" si="53"/>
        <v>0</v>
      </c>
      <c r="CO36" s="425">
        <f t="shared" si="53"/>
        <v>0</v>
      </c>
      <c r="CP36" s="426">
        <f t="shared" si="54"/>
        <v>12.157138600000001</v>
      </c>
      <c r="CT36" s="447">
        <f t="shared" si="55"/>
        <v>0</v>
      </c>
      <c r="CU36" s="447">
        <f t="shared" si="55"/>
        <v>12.157138600000001</v>
      </c>
      <c r="CV36" s="447">
        <f t="shared" si="55"/>
        <v>0</v>
      </c>
      <c r="CW36" s="447">
        <f t="shared" si="55"/>
        <v>0</v>
      </c>
      <c r="CX36" s="447">
        <f t="shared" si="55"/>
        <v>0</v>
      </c>
      <c r="CY36" s="447">
        <f t="shared" si="55"/>
        <v>0</v>
      </c>
      <c r="CZ36" s="448">
        <f t="shared" si="56"/>
        <v>12.157138600000001</v>
      </c>
      <c r="DA36" s="413"/>
    </row>
    <row r="37" spans="1:105" s="400" customFormat="1">
      <c r="A37" s="368"/>
      <c r="B37" s="297" t="str">
        <f>'[50]Productwise sales'!A31</f>
        <v>DFA</v>
      </c>
      <c r="C37" s="303">
        <f>'[50]Productwise sales'!I31</f>
        <v>2000</v>
      </c>
      <c r="D37" s="303">
        <f>'[50]Productwise sales'!J31</f>
        <v>1245</v>
      </c>
      <c r="E37" s="303"/>
      <c r="F37" s="361">
        <f>'[50]Revised GC'!Z31</f>
        <v>2000</v>
      </c>
      <c r="G37" s="368">
        <f>'[50]Revised GC'!AA31</f>
        <v>78</v>
      </c>
      <c r="I37" s="384">
        <f>F37*G37/C37</f>
        <v>78</v>
      </c>
      <c r="J37" s="384">
        <f>D37-I37</f>
        <v>1167</v>
      </c>
      <c r="L37" s="361"/>
      <c r="M37" s="368"/>
      <c r="N37" s="368"/>
      <c r="O37" s="486"/>
      <c r="S37" s="303">
        <f>[50]Domestic!J31</f>
        <v>2000</v>
      </c>
      <c r="T37" s="303">
        <f>[50]Europe!B31</f>
        <v>0</v>
      </c>
      <c r="U37" s="303">
        <f>'[50]Asia-Pacific'!B31</f>
        <v>0</v>
      </c>
      <c r="V37" s="303">
        <f>'[50]Rest of world'!B31</f>
        <v>0</v>
      </c>
      <c r="W37" s="303">
        <f>'[50]North America'!B31</f>
        <v>0</v>
      </c>
      <c r="X37" s="303">
        <f>'[50]Latin America'!B31</f>
        <v>0</v>
      </c>
      <c r="Z37" s="303">
        <f>[50]Domestic!K31</f>
        <v>1245</v>
      </c>
      <c r="AA37" s="303">
        <f>[50]Europe!C31</f>
        <v>0</v>
      </c>
      <c r="AB37" s="303">
        <f>'[50]Asia-Pacific'!C31</f>
        <v>0</v>
      </c>
      <c r="AC37" s="303">
        <f>'[50]Rest of world'!C31</f>
        <v>0</v>
      </c>
      <c r="AD37" s="303">
        <f>'[50]North America'!C31</f>
        <v>0</v>
      </c>
      <c r="AE37" s="303">
        <f>'[50]Latin America'!C31</f>
        <v>0</v>
      </c>
      <c r="AF37" s="368"/>
      <c r="AG37" s="361">
        <f t="shared" si="12"/>
        <v>2.4900000000000002</v>
      </c>
      <c r="AH37" s="361">
        <f t="shared" si="12"/>
        <v>0</v>
      </c>
      <c r="AI37" s="361">
        <f t="shared" si="12"/>
        <v>0</v>
      </c>
      <c r="AJ37" s="361">
        <f t="shared" si="12"/>
        <v>0</v>
      </c>
      <c r="AK37" s="361">
        <f t="shared" si="12"/>
        <v>0</v>
      </c>
      <c r="AL37" s="361">
        <f t="shared" si="12"/>
        <v>0</v>
      </c>
      <c r="AM37" s="368"/>
      <c r="AN37" s="361">
        <f t="shared" si="7"/>
        <v>17.43</v>
      </c>
      <c r="AO37" s="361">
        <f t="shared" si="2"/>
        <v>0</v>
      </c>
      <c r="AP37" s="361">
        <f t="shared" si="2"/>
        <v>0</v>
      </c>
      <c r="AQ37" s="361">
        <f t="shared" si="2"/>
        <v>0</v>
      </c>
      <c r="AR37" s="361">
        <f t="shared" si="2"/>
        <v>0</v>
      </c>
      <c r="AS37" s="361">
        <f t="shared" si="2"/>
        <v>0</v>
      </c>
      <c r="AT37" s="405"/>
      <c r="AU37" s="302">
        <f>J37</f>
        <v>1167</v>
      </c>
      <c r="AV37" s="302">
        <f>AU37</f>
        <v>1167</v>
      </c>
      <c r="AW37" s="302">
        <f>AV37</f>
        <v>1167</v>
      </c>
      <c r="AX37" s="302">
        <f>AW37</f>
        <v>1167</v>
      </c>
      <c r="AY37" s="302">
        <f>AX37</f>
        <v>1167</v>
      </c>
      <c r="AZ37" s="302">
        <f>AY37</f>
        <v>1167</v>
      </c>
      <c r="BB37" s="302">
        <f>IF(Z37=0,0,Z37-AU37)</f>
        <v>78</v>
      </c>
      <c r="BC37" s="302">
        <f t="shared" ref="BC37:BG37" si="61">IF(AA37=0,0,AA37-AV37)</f>
        <v>0</v>
      </c>
      <c r="BD37" s="302">
        <f t="shared" si="61"/>
        <v>0</v>
      </c>
      <c r="BE37" s="302">
        <f t="shared" si="61"/>
        <v>0</v>
      </c>
      <c r="BF37" s="302">
        <f t="shared" si="61"/>
        <v>0</v>
      </c>
      <c r="BG37" s="302">
        <f t="shared" si="61"/>
        <v>0</v>
      </c>
      <c r="BH37" s="408">
        <f>SUMPRODUCT(S37:X37,BB37:BG37)/C37</f>
        <v>78</v>
      </c>
      <c r="BI37" s="409">
        <f>BH37-I37</f>
        <v>0</v>
      </c>
      <c r="BK37" s="442">
        <f t="shared" si="47"/>
        <v>1.0920000000000001</v>
      </c>
      <c r="BL37" s="431">
        <f t="shared" si="47"/>
        <v>0</v>
      </c>
      <c r="BM37" s="431">
        <f t="shared" si="47"/>
        <v>0</v>
      </c>
      <c r="BN37" s="431">
        <f t="shared" si="47"/>
        <v>0</v>
      </c>
      <c r="BO37" s="431">
        <f t="shared" si="47"/>
        <v>0</v>
      </c>
      <c r="BP37" s="431">
        <f t="shared" si="47"/>
        <v>0</v>
      </c>
      <c r="BQ37" s="436">
        <f t="shared" si="48"/>
        <v>1.0920000000000001</v>
      </c>
      <c r="BR37" s="392"/>
      <c r="BS37" s="382"/>
      <c r="BX37" s="561"/>
      <c r="BY37" s="561"/>
      <c r="CA37" s="302"/>
      <c r="CB37" s="302"/>
      <c r="CC37" s="302"/>
      <c r="CD37" s="302"/>
      <c r="CE37" s="302"/>
      <c r="CF37" s="302"/>
      <c r="CG37" s="408"/>
      <c r="CH37" s="409"/>
      <c r="CJ37" s="442"/>
      <c r="CK37" s="431"/>
      <c r="CL37" s="431"/>
      <c r="CM37" s="431"/>
      <c r="CN37" s="431"/>
      <c r="CO37" s="431"/>
      <c r="CP37" s="426"/>
      <c r="CR37" s="412"/>
      <c r="CT37" s="453">
        <f t="shared" si="55"/>
        <v>1.0920000000000001</v>
      </c>
      <c r="CU37" s="453">
        <f t="shared" si="55"/>
        <v>0</v>
      </c>
      <c r="CV37" s="453">
        <f t="shared" si="55"/>
        <v>0</v>
      </c>
      <c r="CW37" s="453">
        <f t="shared" si="55"/>
        <v>0</v>
      </c>
      <c r="CX37" s="453">
        <f t="shared" si="55"/>
        <v>0</v>
      </c>
      <c r="CY37" s="453">
        <f t="shared" si="55"/>
        <v>0</v>
      </c>
      <c r="CZ37" s="448">
        <f t="shared" si="56"/>
        <v>1.0920000000000001</v>
      </c>
      <c r="DA37" s="413"/>
    </row>
    <row r="38" spans="1:105" s="400" customFormat="1">
      <c r="A38" s="388"/>
      <c r="B38" s="386" t="str">
        <f>'[50]Productwise sales'!A32</f>
        <v>UTSR- Stearic</v>
      </c>
      <c r="C38" s="397">
        <f>'[50]Productwise sales'!I32</f>
        <v>8151</v>
      </c>
      <c r="D38" s="397">
        <f>'[50]Productwise sales'!J32</f>
        <v>696.27986725663709</v>
      </c>
      <c r="E38" s="397"/>
      <c r="F38" s="387"/>
      <c r="G38" s="388"/>
      <c r="I38" s="387"/>
      <c r="J38" s="387"/>
      <c r="L38" s="387">
        <f>992+865+2102+100</f>
        <v>4059</v>
      </c>
      <c r="M38" s="380">
        <f>1</f>
        <v>1</v>
      </c>
      <c r="N38" s="381">
        <f>L38/M38</f>
        <v>4059</v>
      </c>
      <c r="O38" s="485">
        <f>N38/$A$2</f>
        <v>57.985714285714288</v>
      </c>
      <c r="S38" s="397">
        <f>[50]Domestic!J32</f>
        <v>7311</v>
      </c>
      <c r="T38" s="397">
        <f>[50]Europe!B32</f>
        <v>0</v>
      </c>
      <c r="U38" s="397">
        <f>'[50]Asia-Pacific'!B32</f>
        <v>0</v>
      </c>
      <c r="V38" s="397">
        <f>'[50]Rest of world'!B32</f>
        <v>780</v>
      </c>
      <c r="W38" s="397">
        <f>'[50]North America'!B32</f>
        <v>0</v>
      </c>
      <c r="X38" s="397">
        <f>'[50]Latin America'!B32</f>
        <v>60</v>
      </c>
      <c r="Z38" s="397">
        <f>[50]Domestic!K32</f>
        <v>696.27986725663698</v>
      </c>
      <c r="AA38" s="397">
        <f>[50]Europe!C32</f>
        <v>0</v>
      </c>
      <c r="AB38" s="397">
        <f>'[50]Asia-Pacific'!C32</f>
        <v>0</v>
      </c>
      <c r="AC38" s="397">
        <f>'[50]Rest of world'!C32</f>
        <v>696.27986725663709</v>
      </c>
      <c r="AD38" s="397">
        <f>'[50]North America'!C32</f>
        <v>0</v>
      </c>
      <c r="AE38" s="397">
        <f>'[50]Latin America'!C32</f>
        <v>696.27986725663709</v>
      </c>
      <c r="AF38" s="388"/>
      <c r="AG38" s="387">
        <f t="shared" si="12"/>
        <v>5.0905021095132721</v>
      </c>
      <c r="AH38" s="387">
        <f t="shared" si="12"/>
        <v>0</v>
      </c>
      <c r="AI38" s="387">
        <f t="shared" si="12"/>
        <v>0</v>
      </c>
      <c r="AJ38" s="387">
        <f t="shared" si="12"/>
        <v>0.54309829646017693</v>
      </c>
      <c r="AK38" s="387">
        <f t="shared" si="12"/>
        <v>0</v>
      </c>
      <c r="AL38" s="387">
        <f t="shared" si="12"/>
        <v>4.1776792035398226E-2</v>
      </c>
      <c r="AM38" s="388"/>
      <c r="AN38" s="387">
        <f t="shared" si="7"/>
        <v>35.63351476659291</v>
      </c>
      <c r="AO38" s="387">
        <f t="shared" si="2"/>
        <v>0</v>
      </c>
      <c r="AP38" s="387">
        <f t="shared" si="2"/>
        <v>0</v>
      </c>
      <c r="AQ38" s="387">
        <f t="shared" si="2"/>
        <v>3.8016880752212385</v>
      </c>
      <c r="AR38" s="387">
        <f t="shared" si="2"/>
        <v>0</v>
      </c>
      <c r="AS38" s="387">
        <f t="shared" si="2"/>
        <v>0.29243754424778756</v>
      </c>
      <c r="AT38" s="405"/>
      <c r="AU38" s="387"/>
      <c r="AV38" s="387"/>
      <c r="AW38" s="387"/>
      <c r="AX38" s="387"/>
      <c r="AY38" s="387"/>
      <c r="AZ38" s="387"/>
      <c r="BB38" s="387"/>
      <c r="BC38" s="387"/>
      <c r="BD38" s="387"/>
      <c r="BE38" s="387"/>
      <c r="BF38" s="387"/>
      <c r="BG38" s="387"/>
      <c r="BH38" s="406"/>
      <c r="BI38" s="406"/>
      <c r="BK38" s="442">
        <f t="shared" si="47"/>
        <v>0</v>
      </c>
      <c r="BL38" s="431">
        <f t="shared" si="47"/>
        <v>0</v>
      </c>
      <c r="BM38" s="431">
        <f t="shared" si="47"/>
        <v>0</v>
      </c>
      <c r="BN38" s="431">
        <f t="shared" si="47"/>
        <v>0</v>
      </c>
      <c r="BO38" s="431">
        <f t="shared" si="47"/>
        <v>0</v>
      </c>
      <c r="BP38" s="431">
        <f t="shared" si="47"/>
        <v>0</v>
      </c>
      <c r="BQ38" s="436">
        <f t="shared" si="48"/>
        <v>0</v>
      </c>
      <c r="BR38" s="392"/>
      <c r="BS38" s="392"/>
      <c r="BX38" s="561"/>
      <c r="BY38" s="561"/>
      <c r="CA38" s="381">
        <f>IF(Z38=0,0,Z38-$O$38)</f>
        <v>638.29415297092271</v>
      </c>
      <c r="CB38" s="381">
        <f t="shared" ref="CB38:CF38" si="62">IF(AA38=0,0,AA38-$O$38)</f>
        <v>0</v>
      </c>
      <c r="CC38" s="381">
        <f t="shared" si="62"/>
        <v>0</v>
      </c>
      <c r="CD38" s="381">
        <f t="shared" si="62"/>
        <v>638.29415297092282</v>
      </c>
      <c r="CE38" s="381">
        <f t="shared" si="62"/>
        <v>0</v>
      </c>
      <c r="CF38" s="381">
        <f t="shared" si="62"/>
        <v>638.29415297092282</v>
      </c>
      <c r="CG38" s="406"/>
      <c r="CH38" s="406"/>
      <c r="CJ38" s="440">
        <f>S38*CA38*$A$2/10^7</f>
        <v>32.665979866592913</v>
      </c>
      <c r="CK38" s="425">
        <f t="shared" ref="CK38:CO38" si="63">T38*CB38*$A$2/10^7</f>
        <v>0</v>
      </c>
      <c r="CL38" s="425">
        <f t="shared" si="63"/>
        <v>0</v>
      </c>
      <c r="CM38" s="425">
        <f t="shared" si="63"/>
        <v>3.4850860752212385</v>
      </c>
      <c r="CN38" s="425">
        <f t="shared" si="63"/>
        <v>0</v>
      </c>
      <c r="CO38" s="425">
        <f t="shared" si="63"/>
        <v>0.26808354424778758</v>
      </c>
      <c r="CP38" s="426">
        <f>SUM(CJ38:CO38)</f>
        <v>36.41914948606194</v>
      </c>
      <c r="CR38" s="412"/>
      <c r="CT38" s="447">
        <f t="shared" si="55"/>
        <v>32.665979866592913</v>
      </c>
      <c r="CU38" s="447">
        <f t="shared" si="55"/>
        <v>0</v>
      </c>
      <c r="CV38" s="447">
        <f t="shared" si="55"/>
        <v>0</v>
      </c>
      <c r="CW38" s="447">
        <f t="shared" si="55"/>
        <v>3.4850860752212385</v>
      </c>
      <c r="CX38" s="447">
        <f t="shared" si="55"/>
        <v>0</v>
      </c>
      <c r="CY38" s="447">
        <f t="shared" si="55"/>
        <v>0.26808354424778758</v>
      </c>
      <c r="CZ38" s="448">
        <f t="shared" si="56"/>
        <v>36.41914948606194</v>
      </c>
      <c r="DA38" s="413"/>
    </row>
    <row r="39" spans="1:105" s="400" customFormat="1">
      <c r="A39" s="368"/>
      <c r="B39" s="297" t="str">
        <f>'[50]Productwise sales'!A33</f>
        <v>DTP-7</v>
      </c>
      <c r="C39" s="303">
        <f>'[50]Productwise sales'!I33</f>
        <v>1320</v>
      </c>
      <c r="D39" s="303">
        <f>'[50]Productwise sales'!J33</f>
        <v>852.72727272727263</v>
      </c>
      <c r="E39" s="303"/>
      <c r="F39" s="361">
        <f>'[50]Revised GC'!Z23</f>
        <v>1320</v>
      </c>
      <c r="G39" s="368">
        <f>'[50]Revised GC'!AA23</f>
        <v>101</v>
      </c>
      <c r="I39" s="384">
        <f>F39*G39/C39</f>
        <v>101</v>
      </c>
      <c r="J39" s="384">
        <f>D39-I39</f>
        <v>751.72727272727263</v>
      </c>
      <c r="L39" s="361"/>
      <c r="M39" s="368"/>
      <c r="N39" s="368"/>
      <c r="O39" s="486"/>
      <c r="S39" s="303">
        <f>[50]Domestic!J33</f>
        <v>1200</v>
      </c>
      <c r="T39" s="303">
        <f>[50]Europe!B33</f>
        <v>0</v>
      </c>
      <c r="U39" s="303">
        <f>'[50]Asia-Pacific'!B33</f>
        <v>0</v>
      </c>
      <c r="V39" s="303">
        <f>'[50]Rest of world'!B33</f>
        <v>120</v>
      </c>
      <c r="W39" s="303">
        <f>'[50]North America'!B33</f>
        <v>0</v>
      </c>
      <c r="X39" s="303">
        <f>'[50]Latin America'!B33</f>
        <v>0</v>
      </c>
      <c r="Z39" s="303">
        <f>[50]Domestic!K33</f>
        <v>852.72727272727275</v>
      </c>
      <c r="AA39" s="303">
        <f>[50]Europe!C33</f>
        <v>0</v>
      </c>
      <c r="AB39" s="303">
        <f>'[50]Asia-Pacific'!C33</f>
        <v>0</v>
      </c>
      <c r="AC39" s="303">
        <f>'[50]Rest of world'!C33</f>
        <v>852.72727272727275</v>
      </c>
      <c r="AD39" s="303">
        <f>'[50]North America'!C33</f>
        <v>0</v>
      </c>
      <c r="AE39" s="303">
        <f>'[50]Latin America'!C33</f>
        <v>0</v>
      </c>
      <c r="AF39" s="368"/>
      <c r="AG39" s="361">
        <f t="shared" si="12"/>
        <v>1.0232727272727273</v>
      </c>
      <c r="AH39" s="361">
        <f t="shared" si="12"/>
        <v>0</v>
      </c>
      <c r="AI39" s="361">
        <f t="shared" si="12"/>
        <v>0</v>
      </c>
      <c r="AJ39" s="361">
        <f t="shared" si="12"/>
        <v>0.10232727272727274</v>
      </c>
      <c r="AK39" s="361">
        <f t="shared" si="12"/>
        <v>0</v>
      </c>
      <c r="AL39" s="361">
        <f t="shared" si="12"/>
        <v>0</v>
      </c>
      <c r="AM39" s="368"/>
      <c r="AN39" s="361">
        <f t="shared" si="7"/>
        <v>7.1629090909090918</v>
      </c>
      <c r="AO39" s="361">
        <f t="shared" si="2"/>
        <v>0</v>
      </c>
      <c r="AP39" s="361">
        <f t="shared" si="2"/>
        <v>0</v>
      </c>
      <c r="AQ39" s="361">
        <f t="shared" si="2"/>
        <v>0.7162909090909092</v>
      </c>
      <c r="AR39" s="361">
        <f t="shared" si="2"/>
        <v>0</v>
      </c>
      <c r="AS39" s="361">
        <f t="shared" si="2"/>
        <v>0</v>
      </c>
      <c r="AT39" s="405"/>
      <c r="AU39" s="302">
        <f>J39</f>
        <v>751.72727272727263</v>
      </c>
      <c r="AV39" s="302">
        <f>AU39</f>
        <v>751.72727272727263</v>
      </c>
      <c r="AW39" s="302">
        <f>AV39</f>
        <v>751.72727272727263</v>
      </c>
      <c r="AX39" s="302">
        <f>AW39</f>
        <v>751.72727272727263</v>
      </c>
      <c r="AY39" s="302">
        <f>AX39</f>
        <v>751.72727272727263</v>
      </c>
      <c r="AZ39" s="302">
        <f>AY39</f>
        <v>751.72727272727263</v>
      </c>
      <c r="BB39" s="302">
        <f>IF(Z39=0,0,Z39-AU39)</f>
        <v>101.00000000000011</v>
      </c>
      <c r="BC39" s="302">
        <f t="shared" ref="BC39:BG39" si="64">IF(AA39=0,0,AA39-AV39)</f>
        <v>0</v>
      </c>
      <c r="BD39" s="302">
        <f t="shared" si="64"/>
        <v>0</v>
      </c>
      <c r="BE39" s="302">
        <f t="shared" si="64"/>
        <v>101.00000000000011</v>
      </c>
      <c r="BF39" s="302">
        <f t="shared" si="64"/>
        <v>0</v>
      </c>
      <c r="BG39" s="302">
        <f t="shared" si="64"/>
        <v>0</v>
      </c>
      <c r="BH39" s="408">
        <f>SUMPRODUCT(S39:X39,BB39:BG39)/C39</f>
        <v>101.00000000000011</v>
      </c>
      <c r="BI39" s="409">
        <f>BH39-I39</f>
        <v>1.1368683772161603E-13</v>
      </c>
      <c r="BK39" s="442">
        <f t="shared" si="47"/>
        <v>0.84840000000000093</v>
      </c>
      <c r="BL39" s="431">
        <f t="shared" si="47"/>
        <v>0</v>
      </c>
      <c r="BM39" s="431">
        <f t="shared" si="47"/>
        <v>0</v>
      </c>
      <c r="BN39" s="431">
        <f t="shared" si="47"/>
        <v>8.484000000000011E-2</v>
      </c>
      <c r="BO39" s="431">
        <f t="shared" si="47"/>
        <v>0</v>
      </c>
      <c r="BP39" s="431">
        <f t="shared" si="47"/>
        <v>0</v>
      </c>
      <c r="BQ39" s="436">
        <f t="shared" si="48"/>
        <v>0.93324000000000107</v>
      </c>
      <c r="BR39" s="392"/>
      <c r="BS39" s="382"/>
      <c r="BX39" s="561"/>
      <c r="BY39" s="561"/>
      <c r="CA39" s="302"/>
      <c r="CB39" s="302"/>
      <c r="CC39" s="302"/>
      <c r="CD39" s="302"/>
      <c r="CE39" s="302"/>
      <c r="CF39" s="302"/>
      <c r="CG39" s="408"/>
      <c r="CH39" s="409"/>
      <c r="CJ39" s="442"/>
      <c r="CK39" s="431"/>
      <c r="CL39" s="431"/>
      <c r="CM39" s="431"/>
      <c r="CN39" s="431"/>
      <c r="CO39" s="431"/>
      <c r="CP39" s="426"/>
      <c r="CR39" s="412"/>
      <c r="CT39" s="453">
        <f t="shared" si="55"/>
        <v>0.84840000000000093</v>
      </c>
      <c r="CU39" s="453">
        <f t="shared" si="55"/>
        <v>0</v>
      </c>
      <c r="CV39" s="453">
        <f t="shared" si="55"/>
        <v>0</v>
      </c>
      <c r="CW39" s="453">
        <f t="shared" si="55"/>
        <v>8.484000000000011E-2</v>
      </c>
      <c r="CX39" s="453">
        <f t="shared" si="55"/>
        <v>0</v>
      </c>
      <c r="CY39" s="453">
        <f t="shared" si="55"/>
        <v>0</v>
      </c>
      <c r="CZ39" s="448">
        <f t="shared" si="56"/>
        <v>0.93324000000000107</v>
      </c>
      <c r="DA39" s="413"/>
    </row>
    <row r="40" spans="1:105" s="400" customFormat="1">
      <c r="A40" s="388"/>
      <c r="B40" s="386" t="str">
        <f>'[50]Productwise sales'!A34</f>
        <v>DTP-CT</v>
      </c>
      <c r="C40" s="397">
        <f>'[50]Productwise sales'!I34</f>
        <v>0</v>
      </c>
      <c r="D40" s="397">
        <f>'[50]Productwise sales'!J34</f>
        <v>0</v>
      </c>
      <c r="E40" s="397"/>
      <c r="F40" s="387"/>
      <c r="G40" s="388"/>
      <c r="I40" s="387"/>
      <c r="J40" s="387"/>
      <c r="L40" s="387"/>
      <c r="M40" s="388"/>
      <c r="N40" s="388"/>
      <c r="O40" s="487"/>
      <c r="S40" s="397">
        <f>[50]Domestic!J34</f>
        <v>0</v>
      </c>
      <c r="T40" s="397">
        <f>[50]Europe!B34</f>
        <v>0</v>
      </c>
      <c r="U40" s="397">
        <f>'[50]Asia-Pacific'!B34</f>
        <v>0</v>
      </c>
      <c r="V40" s="397">
        <f>'[50]Rest of world'!B34</f>
        <v>0</v>
      </c>
      <c r="W40" s="397">
        <f>'[50]North America'!B34</f>
        <v>0</v>
      </c>
      <c r="X40" s="397">
        <f>'[50]Latin America'!B34</f>
        <v>0</v>
      </c>
      <c r="Z40" s="397">
        <f>[50]Domestic!K34</f>
        <v>0</v>
      </c>
      <c r="AA40" s="397">
        <f>[50]Europe!C34</f>
        <v>0</v>
      </c>
      <c r="AB40" s="397">
        <f>'[50]Asia-Pacific'!C34</f>
        <v>0</v>
      </c>
      <c r="AC40" s="397">
        <f>'[50]Rest of world'!C34</f>
        <v>0</v>
      </c>
      <c r="AD40" s="397">
        <f>'[50]North America'!C34</f>
        <v>0</v>
      </c>
      <c r="AE40" s="397">
        <f>'[50]Latin America'!C34</f>
        <v>0</v>
      </c>
      <c r="AF40" s="388"/>
      <c r="AG40" s="387">
        <f t="shared" si="12"/>
        <v>0</v>
      </c>
      <c r="AH40" s="387">
        <f t="shared" si="12"/>
        <v>0</v>
      </c>
      <c r="AI40" s="387">
        <f t="shared" si="12"/>
        <v>0</v>
      </c>
      <c r="AJ40" s="387">
        <f t="shared" si="12"/>
        <v>0</v>
      </c>
      <c r="AK40" s="387">
        <f t="shared" si="12"/>
        <v>0</v>
      </c>
      <c r="AL40" s="387">
        <f t="shared" si="12"/>
        <v>0</v>
      </c>
      <c r="AM40" s="388"/>
      <c r="AN40" s="387">
        <f t="shared" si="7"/>
        <v>0</v>
      </c>
      <c r="AO40" s="387">
        <f t="shared" si="2"/>
        <v>0</v>
      </c>
      <c r="AP40" s="387">
        <f t="shared" si="2"/>
        <v>0</v>
      </c>
      <c r="AQ40" s="387">
        <f t="shared" si="2"/>
        <v>0</v>
      </c>
      <c r="AR40" s="387">
        <f t="shared" si="2"/>
        <v>0</v>
      </c>
      <c r="AS40" s="387">
        <f t="shared" si="2"/>
        <v>0</v>
      </c>
      <c r="AT40" s="405"/>
      <c r="AU40" s="387"/>
      <c r="AV40" s="387"/>
      <c r="AW40" s="387"/>
      <c r="AX40" s="387"/>
      <c r="AY40" s="387"/>
      <c r="AZ40" s="387"/>
      <c r="BB40" s="387"/>
      <c r="BC40" s="387"/>
      <c r="BD40" s="387"/>
      <c r="BE40" s="387"/>
      <c r="BF40" s="387"/>
      <c r="BG40" s="387"/>
      <c r="BH40" s="406"/>
      <c r="BI40" s="406"/>
      <c r="BK40" s="442">
        <f t="shared" si="47"/>
        <v>0</v>
      </c>
      <c r="BL40" s="431">
        <f t="shared" si="47"/>
        <v>0</v>
      </c>
      <c r="BM40" s="431">
        <f t="shared" si="47"/>
        <v>0</v>
      </c>
      <c r="BN40" s="431">
        <f t="shared" si="47"/>
        <v>0</v>
      </c>
      <c r="BO40" s="431">
        <f t="shared" si="47"/>
        <v>0</v>
      </c>
      <c r="BP40" s="431">
        <f t="shared" si="47"/>
        <v>0</v>
      </c>
      <c r="BQ40" s="436">
        <f t="shared" si="48"/>
        <v>0</v>
      </c>
      <c r="BR40" s="392"/>
      <c r="BS40" s="392"/>
      <c r="BX40" s="561"/>
      <c r="BY40" s="561"/>
      <c r="CA40" s="381">
        <f>IF(Z40=0,0,Z40-$O$40)</f>
        <v>0</v>
      </c>
      <c r="CB40" s="381">
        <f t="shared" ref="CB40:CF40" si="65">IF(AA40=0,0,AA40-$O$40)</f>
        <v>0</v>
      </c>
      <c r="CC40" s="381">
        <f t="shared" si="65"/>
        <v>0</v>
      </c>
      <c r="CD40" s="381">
        <f t="shared" si="65"/>
        <v>0</v>
      </c>
      <c r="CE40" s="381">
        <f t="shared" si="65"/>
        <v>0</v>
      </c>
      <c r="CF40" s="381">
        <f t="shared" si="65"/>
        <v>0</v>
      </c>
      <c r="CG40" s="406"/>
      <c r="CH40" s="406"/>
      <c r="CJ40" s="440">
        <f>S40*CA40*$A$2/10^7</f>
        <v>0</v>
      </c>
      <c r="CK40" s="425">
        <f t="shared" ref="CK40:CO40" si="66">T40*CB40*$A$2/10^7</f>
        <v>0</v>
      </c>
      <c r="CL40" s="425">
        <f t="shared" si="66"/>
        <v>0</v>
      </c>
      <c r="CM40" s="425">
        <f t="shared" si="66"/>
        <v>0</v>
      </c>
      <c r="CN40" s="425">
        <f t="shared" si="66"/>
        <v>0</v>
      </c>
      <c r="CO40" s="425">
        <f t="shared" si="66"/>
        <v>0</v>
      </c>
      <c r="CP40" s="426">
        <f>SUM(CJ40:CO40)</f>
        <v>0</v>
      </c>
      <c r="CR40" s="412"/>
      <c r="CT40" s="447">
        <f t="shared" si="55"/>
        <v>0</v>
      </c>
      <c r="CU40" s="447">
        <f t="shared" si="55"/>
        <v>0</v>
      </c>
      <c r="CV40" s="447">
        <f t="shared" si="55"/>
        <v>0</v>
      </c>
      <c r="CW40" s="447">
        <f t="shared" si="55"/>
        <v>0</v>
      </c>
      <c r="CX40" s="447">
        <f t="shared" si="55"/>
        <v>0</v>
      </c>
      <c r="CY40" s="447">
        <f t="shared" si="55"/>
        <v>0</v>
      </c>
      <c r="CZ40" s="448">
        <f t="shared" si="56"/>
        <v>0</v>
      </c>
    </row>
    <row r="41" spans="1:105" s="400" customFormat="1">
      <c r="A41" s="368"/>
      <c r="B41" s="297" t="str">
        <f>'[50]Productwise sales'!A35</f>
        <v>P-12</v>
      </c>
      <c r="C41" s="303">
        <f>'[50]Productwise sales'!I35</f>
        <v>1160</v>
      </c>
      <c r="D41" s="303">
        <f>'[50]Productwise sales'!J35</f>
        <v>729.99999999999989</v>
      </c>
      <c r="E41" s="303"/>
      <c r="F41" s="361">
        <f>'[50]Revised GC'!Z22</f>
        <v>1160</v>
      </c>
      <c r="G41" s="368">
        <f>'[50]Revised GC'!AA22</f>
        <v>120</v>
      </c>
      <c r="I41" s="384">
        <f>F41*G41/C41</f>
        <v>120</v>
      </c>
      <c r="J41" s="384">
        <f>D41-I41</f>
        <v>609.99999999999989</v>
      </c>
      <c r="L41" s="361"/>
      <c r="M41" s="368"/>
      <c r="N41" s="368"/>
      <c r="O41" s="486"/>
      <c r="S41" s="303">
        <f>[50]Domestic!J35</f>
        <v>780</v>
      </c>
      <c r="T41" s="303">
        <f>[50]Europe!B35</f>
        <v>0</v>
      </c>
      <c r="U41" s="303">
        <f>'[50]Asia-Pacific'!B35</f>
        <v>0</v>
      </c>
      <c r="V41" s="303">
        <f>'[50]Rest of world'!B35</f>
        <v>380</v>
      </c>
      <c r="W41" s="303">
        <f>'[50]North America'!B35</f>
        <v>0</v>
      </c>
      <c r="X41" s="303">
        <f>'[50]Latin America'!B35</f>
        <v>0</v>
      </c>
      <c r="Z41" s="303">
        <f>[50]Domestic!K35</f>
        <v>730.00000000000011</v>
      </c>
      <c r="AA41" s="303">
        <f>[50]Europe!C35</f>
        <v>0</v>
      </c>
      <c r="AB41" s="303">
        <f>'[50]Asia-Pacific'!C35</f>
        <v>0</v>
      </c>
      <c r="AC41" s="303">
        <f>'[50]Rest of world'!C35</f>
        <v>730.00000000000034</v>
      </c>
      <c r="AD41" s="303">
        <f>'[50]North America'!C35</f>
        <v>0</v>
      </c>
      <c r="AE41" s="303">
        <f>'[50]Latin America'!C35</f>
        <v>0</v>
      </c>
      <c r="AF41" s="368"/>
      <c r="AG41" s="361">
        <f t="shared" si="12"/>
        <v>0.56940000000000013</v>
      </c>
      <c r="AH41" s="361">
        <f t="shared" si="12"/>
        <v>0</v>
      </c>
      <c r="AI41" s="361">
        <f t="shared" si="12"/>
        <v>0</v>
      </c>
      <c r="AJ41" s="361">
        <f t="shared" si="12"/>
        <v>0.27740000000000009</v>
      </c>
      <c r="AK41" s="361">
        <f t="shared" si="12"/>
        <v>0</v>
      </c>
      <c r="AL41" s="361">
        <f t="shared" si="12"/>
        <v>0</v>
      </c>
      <c r="AM41" s="368"/>
      <c r="AN41" s="361">
        <f t="shared" si="7"/>
        <v>3.9858000000000011</v>
      </c>
      <c r="AO41" s="361">
        <f t="shared" si="2"/>
        <v>0</v>
      </c>
      <c r="AP41" s="361">
        <f t="shared" si="2"/>
        <v>0</v>
      </c>
      <c r="AQ41" s="361">
        <f t="shared" si="2"/>
        <v>1.9418000000000006</v>
      </c>
      <c r="AR41" s="361">
        <f t="shared" si="2"/>
        <v>0</v>
      </c>
      <c r="AS41" s="361">
        <f t="shared" si="2"/>
        <v>0</v>
      </c>
      <c r="AT41" s="405"/>
      <c r="AU41" s="302">
        <f>J41</f>
        <v>609.99999999999989</v>
      </c>
      <c r="AV41" s="302">
        <f>AU41</f>
        <v>609.99999999999989</v>
      </c>
      <c r="AW41" s="302">
        <f>AV41</f>
        <v>609.99999999999989</v>
      </c>
      <c r="AX41" s="302">
        <f>AW41</f>
        <v>609.99999999999989</v>
      </c>
      <c r="AY41" s="302">
        <f>AX41</f>
        <v>609.99999999999989</v>
      </c>
      <c r="AZ41" s="302">
        <f>AY41</f>
        <v>609.99999999999989</v>
      </c>
      <c r="BB41" s="302">
        <f>IF(Z41=0,0,Z41-AU41)</f>
        <v>120.00000000000023</v>
      </c>
      <c r="BC41" s="302">
        <f t="shared" ref="BC41:BG41" si="67">IF(AA41=0,0,AA41-AV41)</f>
        <v>0</v>
      </c>
      <c r="BD41" s="302">
        <f t="shared" si="67"/>
        <v>0</v>
      </c>
      <c r="BE41" s="302">
        <f t="shared" si="67"/>
        <v>120.00000000000045</v>
      </c>
      <c r="BF41" s="302">
        <f t="shared" si="67"/>
        <v>0</v>
      </c>
      <c r="BG41" s="302">
        <f t="shared" si="67"/>
        <v>0</v>
      </c>
      <c r="BH41" s="408">
        <f>SUMPRODUCT(S41:X41,BB41:BG41)/C41</f>
        <v>120.0000000000003</v>
      </c>
      <c r="BI41" s="409">
        <f>BH41-I41</f>
        <v>2.9842794901924208E-13</v>
      </c>
      <c r="BK41" s="442">
        <f t="shared" si="47"/>
        <v>0.65520000000000123</v>
      </c>
      <c r="BL41" s="431">
        <f t="shared" si="47"/>
        <v>0</v>
      </c>
      <c r="BM41" s="431">
        <f t="shared" si="47"/>
        <v>0</v>
      </c>
      <c r="BN41" s="431">
        <f t="shared" si="47"/>
        <v>0.3192000000000012</v>
      </c>
      <c r="BO41" s="431">
        <f t="shared" si="47"/>
        <v>0</v>
      </c>
      <c r="BP41" s="431">
        <f t="shared" si="47"/>
        <v>0</v>
      </c>
      <c r="BQ41" s="436">
        <f t="shared" si="48"/>
        <v>0.97440000000000238</v>
      </c>
      <c r="BR41" s="392"/>
      <c r="BS41" s="382"/>
      <c r="BX41" s="561"/>
      <c r="BY41" s="561"/>
      <c r="CA41" s="302"/>
      <c r="CB41" s="302"/>
      <c r="CC41" s="302"/>
      <c r="CD41" s="302"/>
      <c r="CE41" s="302"/>
      <c r="CF41" s="302"/>
      <c r="CG41" s="408"/>
      <c r="CH41" s="409"/>
      <c r="CJ41" s="442"/>
      <c r="CK41" s="431"/>
      <c r="CL41" s="431"/>
      <c r="CM41" s="431"/>
      <c r="CN41" s="431"/>
      <c r="CO41" s="431"/>
      <c r="CP41" s="426"/>
      <c r="CR41" s="412"/>
      <c r="CT41" s="453">
        <f t="shared" si="55"/>
        <v>0.65520000000000123</v>
      </c>
      <c r="CU41" s="453">
        <f t="shared" si="55"/>
        <v>0</v>
      </c>
      <c r="CV41" s="453">
        <f t="shared" si="55"/>
        <v>0</v>
      </c>
      <c r="CW41" s="453">
        <f t="shared" si="55"/>
        <v>0.3192000000000012</v>
      </c>
      <c r="CX41" s="453">
        <f t="shared" si="55"/>
        <v>0</v>
      </c>
      <c r="CY41" s="453">
        <f t="shared" si="55"/>
        <v>0</v>
      </c>
      <c r="CZ41" s="448">
        <f t="shared" si="56"/>
        <v>0.97440000000000238</v>
      </c>
      <c r="DA41" s="413"/>
    </row>
    <row r="42" spans="1:105" s="400" customFormat="1">
      <c r="A42" s="388"/>
      <c r="B42" s="386" t="str">
        <f>'[50]Productwise sales'!A36</f>
        <v>Oleic-K</v>
      </c>
      <c r="C42" s="397">
        <f>'[50]Productwise sales'!I36</f>
        <v>3600</v>
      </c>
      <c r="D42" s="397">
        <f>'[50]Productwise sales'!J36</f>
        <v>785.71428571428578</v>
      </c>
      <c r="E42" s="397"/>
      <c r="F42" s="387"/>
      <c r="G42" s="388"/>
      <c r="I42" s="387"/>
      <c r="J42" s="387"/>
      <c r="L42" s="387">
        <f>1288</f>
        <v>1288</v>
      </c>
      <c r="M42" s="380">
        <f>1</f>
        <v>1</v>
      </c>
      <c r="N42" s="381">
        <f t="shared" ref="N42:N44" si="68">L42/M42</f>
        <v>1288</v>
      </c>
      <c r="O42" s="485">
        <f>N42/$A$2</f>
        <v>18.399999999999999</v>
      </c>
      <c r="S42" s="397">
        <f>[50]Domestic!J36</f>
        <v>3600</v>
      </c>
      <c r="T42" s="397">
        <f>[50]Europe!B36</f>
        <v>0</v>
      </c>
      <c r="U42" s="397">
        <f>'[50]Asia-Pacific'!B36</f>
        <v>0</v>
      </c>
      <c r="V42" s="397">
        <f>'[50]Rest of world'!B36</f>
        <v>0</v>
      </c>
      <c r="W42" s="397">
        <f>'[50]North America'!B36</f>
        <v>0</v>
      </c>
      <c r="X42" s="397">
        <f>'[50]Latin America'!B36</f>
        <v>0</v>
      </c>
      <c r="Z42" s="397">
        <f>[50]Domestic!K36</f>
        <v>785.71428571428578</v>
      </c>
      <c r="AA42" s="397">
        <f>[50]Europe!C36</f>
        <v>0</v>
      </c>
      <c r="AB42" s="397">
        <f>'[50]Asia-Pacific'!C36</f>
        <v>0</v>
      </c>
      <c r="AC42" s="397">
        <f>'[50]Rest of world'!C36</f>
        <v>0</v>
      </c>
      <c r="AD42" s="397">
        <f>'[50]North America'!C36</f>
        <v>0</v>
      </c>
      <c r="AE42" s="397">
        <f>'[50]Latin America'!C36</f>
        <v>0</v>
      </c>
      <c r="AF42" s="388"/>
      <c r="AG42" s="387">
        <f t="shared" si="12"/>
        <v>2.8285714285714287</v>
      </c>
      <c r="AH42" s="387">
        <f t="shared" si="12"/>
        <v>0</v>
      </c>
      <c r="AI42" s="387">
        <f t="shared" si="12"/>
        <v>0</v>
      </c>
      <c r="AJ42" s="387">
        <f t="shared" si="12"/>
        <v>0</v>
      </c>
      <c r="AK42" s="387">
        <f t="shared" si="12"/>
        <v>0</v>
      </c>
      <c r="AL42" s="387">
        <f t="shared" si="12"/>
        <v>0</v>
      </c>
      <c r="AM42" s="388"/>
      <c r="AN42" s="387">
        <f t="shared" si="7"/>
        <v>19.8</v>
      </c>
      <c r="AO42" s="387">
        <f t="shared" si="2"/>
        <v>0</v>
      </c>
      <c r="AP42" s="387">
        <f t="shared" si="2"/>
        <v>0</v>
      </c>
      <c r="AQ42" s="387">
        <f t="shared" si="2"/>
        <v>0</v>
      </c>
      <c r="AR42" s="387">
        <f t="shared" si="2"/>
        <v>0</v>
      </c>
      <c r="AS42" s="387">
        <f t="shared" si="2"/>
        <v>0</v>
      </c>
      <c r="AT42" s="405"/>
      <c r="AU42" s="387"/>
      <c r="AV42" s="387"/>
      <c r="AW42" s="387"/>
      <c r="AX42" s="387"/>
      <c r="AY42" s="387"/>
      <c r="AZ42" s="387"/>
      <c r="BB42" s="387"/>
      <c r="BC42" s="387"/>
      <c r="BD42" s="387"/>
      <c r="BE42" s="387"/>
      <c r="BF42" s="387"/>
      <c r="BG42" s="387"/>
      <c r="BH42" s="406"/>
      <c r="BI42" s="406"/>
      <c r="BK42" s="442">
        <f t="shared" si="47"/>
        <v>0</v>
      </c>
      <c r="BL42" s="431">
        <f t="shared" si="47"/>
        <v>0</v>
      </c>
      <c r="BM42" s="431">
        <f t="shared" si="47"/>
        <v>0</v>
      </c>
      <c r="BN42" s="431">
        <f t="shared" si="47"/>
        <v>0</v>
      </c>
      <c r="BO42" s="431">
        <f t="shared" si="47"/>
        <v>0</v>
      </c>
      <c r="BP42" s="431">
        <f t="shared" si="47"/>
        <v>0</v>
      </c>
      <c r="BQ42" s="436">
        <f t="shared" si="48"/>
        <v>0</v>
      </c>
      <c r="BR42" s="392"/>
      <c r="BS42" s="392"/>
      <c r="BX42" s="561"/>
      <c r="BY42" s="561"/>
      <c r="CA42" s="381">
        <f>IF(Z42=0,0,Z42-$O$42)</f>
        <v>767.3142857142858</v>
      </c>
      <c r="CB42" s="381">
        <f t="shared" ref="CB42:CF42" si="69">IF(AA42=0,0,AA42-$O$42)</f>
        <v>0</v>
      </c>
      <c r="CC42" s="381">
        <f t="shared" si="69"/>
        <v>0</v>
      </c>
      <c r="CD42" s="381">
        <f t="shared" si="69"/>
        <v>0</v>
      </c>
      <c r="CE42" s="381">
        <f t="shared" si="69"/>
        <v>0</v>
      </c>
      <c r="CF42" s="381">
        <f t="shared" si="69"/>
        <v>0</v>
      </c>
      <c r="CG42" s="406"/>
      <c r="CH42" s="406"/>
      <c r="CJ42" s="440">
        <f t="shared" ref="CJ42:CO49" si="70">S42*CA42*$A$2/10^7</f>
        <v>19.336320000000004</v>
      </c>
      <c r="CK42" s="425">
        <f t="shared" si="70"/>
        <v>0</v>
      </c>
      <c r="CL42" s="425">
        <f t="shared" si="70"/>
        <v>0</v>
      </c>
      <c r="CM42" s="425">
        <f t="shared" si="70"/>
        <v>0</v>
      </c>
      <c r="CN42" s="425">
        <f t="shared" si="70"/>
        <v>0</v>
      </c>
      <c r="CO42" s="425">
        <f t="shared" si="70"/>
        <v>0</v>
      </c>
      <c r="CP42" s="426">
        <f t="shared" ref="CP42:CP49" si="71">SUM(CJ42:CO42)</f>
        <v>19.336320000000004</v>
      </c>
      <c r="CR42" s="412"/>
      <c r="CT42" s="447">
        <f t="shared" si="55"/>
        <v>19.336320000000004</v>
      </c>
      <c r="CU42" s="447">
        <f t="shared" si="55"/>
        <v>0</v>
      </c>
      <c r="CV42" s="447">
        <f t="shared" si="55"/>
        <v>0</v>
      </c>
      <c r="CW42" s="447">
        <f t="shared" si="55"/>
        <v>0</v>
      </c>
      <c r="CX42" s="447">
        <f t="shared" si="55"/>
        <v>0</v>
      </c>
      <c r="CY42" s="447">
        <f t="shared" si="55"/>
        <v>0</v>
      </c>
      <c r="CZ42" s="448">
        <f t="shared" si="56"/>
        <v>19.336320000000004</v>
      </c>
      <c r="DA42" s="413"/>
    </row>
    <row r="43" spans="1:105" s="400" customFormat="1">
      <c r="A43" s="388"/>
      <c r="B43" s="386" t="str">
        <f>'[50]Productwise sales'!A37</f>
        <v>Vegacid 1890</v>
      </c>
      <c r="C43" s="397">
        <f>'[50]Productwise sales'!I37</f>
        <v>1914</v>
      </c>
      <c r="D43" s="397">
        <f>'[50]Productwise sales'!J37</f>
        <v>1060</v>
      </c>
      <c r="E43" s="397"/>
      <c r="F43" s="387"/>
      <c r="G43" s="388"/>
      <c r="I43" s="387"/>
      <c r="J43" s="387"/>
      <c r="L43" s="387">
        <v>0</v>
      </c>
      <c r="M43" s="380">
        <f>1</f>
        <v>1</v>
      </c>
      <c r="N43" s="381">
        <f t="shared" si="68"/>
        <v>0</v>
      </c>
      <c r="O43" s="487"/>
      <c r="S43" s="397">
        <f>[50]Domestic!J37</f>
        <v>1914</v>
      </c>
      <c r="T43" s="397">
        <f>[50]Europe!B37</f>
        <v>0</v>
      </c>
      <c r="U43" s="397">
        <f>'[50]Asia-Pacific'!B37</f>
        <v>0</v>
      </c>
      <c r="V43" s="397">
        <f>'[50]Rest of world'!B37</f>
        <v>0</v>
      </c>
      <c r="W43" s="397">
        <f>'[50]North America'!B37</f>
        <v>0</v>
      </c>
      <c r="X43" s="397">
        <f>'[50]Latin America'!B37</f>
        <v>0</v>
      </c>
      <c r="Z43" s="397">
        <f>[50]Domestic!K37</f>
        <v>1060</v>
      </c>
      <c r="AA43" s="397">
        <f>[50]Europe!C37</f>
        <v>0</v>
      </c>
      <c r="AB43" s="397">
        <f>'[50]Asia-Pacific'!C37</f>
        <v>0</v>
      </c>
      <c r="AC43" s="397">
        <f>'[50]Rest of world'!C37</f>
        <v>0</v>
      </c>
      <c r="AD43" s="397">
        <f>'[50]North America'!C37</f>
        <v>0</v>
      </c>
      <c r="AE43" s="397">
        <f>'[50]Latin America'!C37</f>
        <v>0</v>
      </c>
      <c r="AF43" s="388"/>
      <c r="AG43" s="387">
        <f t="shared" si="12"/>
        <v>2.0288400000000002</v>
      </c>
      <c r="AH43" s="387">
        <f t="shared" si="12"/>
        <v>0</v>
      </c>
      <c r="AI43" s="387">
        <f t="shared" si="12"/>
        <v>0</v>
      </c>
      <c r="AJ43" s="387">
        <f t="shared" si="12"/>
        <v>0</v>
      </c>
      <c r="AK43" s="387">
        <f t="shared" si="12"/>
        <v>0</v>
      </c>
      <c r="AL43" s="387">
        <f t="shared" si="12"/>
        <v>0</v>
      </c>
      <c r="AM43" s="388"/>
      <c r="AN43" s="387">
        <f t="shared" si="7"/>
        <v>14.201880000000003</v>
      </c>
      <c r="AO43" s="387">
        <f t="shared" si="2"/>
        <v>0</v>
      </c>
      <c r="AP43" s="387">
        <f t="shared" si="2"/>
        <v>0</v>
      </c>
      <c r="AQ43" s="387">
        <f t="shared" si="2"/>
        <v>0</v>
      </c>
      <c r="AR43" s="387">
        <f t="shared" si="2"/>
        <v>0</v>
      </c>
      <c r="AS43" s="387">
        <f t="shared" si="2"/>
        <v>0</v>
      </c>
      <c r="AT43" s="405"/>
      <c r="AU43" s="387"/>
      <c r="AV43" s="387"/>
      <c r="AW43" s="387"/>
      <c r="AX43" s="387"/>
      <c r="AY43" s="387"/>
      <c r="AZ43" s="387"/>
      <c r="BB43" s="387"/>
      <c r="BC43" s="387"/>
      <c r="BD43" s="387"/>
      <c r="BE43" s="387"/>
      <c r="BF43" s="387"/>
      <c r="BG43" s="387"/>
      <c r="BH43" s="406"/>
      <c r="BI43" s="406"/>
      <c r="BK43" s="442">
        <f t="shared" si="47"/>
        <v>0</v>
      </c>
      <c r="BL43" s="431">
        <f t="shared" si="47"/>
        <v>0</v>
      </c>
      <c r="BM43" s="431">
        <f t="shared" si="47"/>
        <v>0</v>
      </c>
      <c r="BN43" s="431">
        <f t="shared" si="47"/>
        <v>0</v>
      </c>
      <c r="BO43" s="431">
        <f t="shared" si="47"/>
        <v>0</v>
      </c>
      <c r="BP43" s="431">
        <f t="shared" si="47"/>
        <v>0</v>
      </c>
      <c r="BQ43" s="436">
        <f t="shared" si="48"/>
        <v>0</v>
      </c>
      <c r="BR43" s="392"/>
      <c r="BS43" s="392"/>
      <c r="BX43" s="561"/>
      <c r="BY43" s="561"/>
      <c r="CA43" s="381">
        <f>IF(Z43=0,0,Z43-$O$43)</f>
        <v>1060</v>
      </c>
      <c r="CB43" s="381">
        <f t="shared" ref="CB43:CF43" si="72">IF(AA43=0,0,AA43-$O$43)</f>
        <v>0</v>
      </c>
      <c r="CC43" s="381">
        <f t="shared" si="72"/>
        <v>0</v>
      </c>
      <c r="CD43" s="381">
        <f t="shared" si="72"/>
        <v>0</v>
      </c>
      <c r="CE43" s="381">
        <f t="shared" si="72"/>
        <v>0</v>
      </c>
      <c r="CF43" s="381">
        <f t="shared" si="72"/>
        <v>0</v>
      </c>
      <c r="CG43" s="406"/>
      <c r="CH43" s="406"/>
      <c r="CJ43" s="440">
        <f t="shared" si="70"/>
        <v>14.201879999999999</v>
      </c>
      <c r="CK43" s="425">
        <f t="shared" si="70"/>
        <v>0</v>
      </c>
      <c r="CL43" s="425">
        <f t="shared" si="70"/>
        <v>0</v>
      </c>
      <c r="CM43" s="425">
        <f t="shared" si="70"/>
        <v>0</v>
      </c>
      <c r="CN43" s="425">
        <f t="shared" si="70"/>
        <v>0</v>
      </c>
      <c r="CO43" s="425">
        <f t="shared" si="70"/>
        <v>0</v>
      </c>
      <c r="CP43" s="426">
        <f t="shared" si="71"/>
        <v>14.201879999999999</v>
      </c>
      <c r="CR43" s="412"/>
      <c r="CT43" s="447">
        <f t="shared" si="55"/>
        <v>14.201879999999999</v>
      </c>
      <c r="CU43" s="447">
        <f t="shared" si="55"/>
        <v>0</v>
      </c>
      <c r="CV43" s="447">
        <f t="shared" si="55"/>
        <v>0</v>
      </c>
      <c r="CW43" s="447">
        <f t="shared" si="55"/>
        <v>0</v>
      </c>
      <c r="CX43" s="447">
        <f t="shared" si="55"/>
        <v>0</v>
      </c>
      <c r="CY43" s="447">
        <f t="shared" si="55"/>
        <v>0</v>
      </c>
      <c r="CZ43" s="448">
        <f t="shared" si="56"/>
        <v>14.201879999999999</v>
      </c>
      <c r="DA43" s="413"/>
    </row>
    <row r="44" spans="1:105" s="400" customFormat="1">
      <c r="A44" s="388"/>
      <c r="B44" s="386" t="str">
        <f>'[50]Productwise sales'!A38</f>
        <v>Vegacid 1880</v>
      </c>
      <c r="C44" s="397">
        <f>'[50]Productwise sales'!I38</f>
        <v>7153</v>
      </c>
      <c r="D44" s="397">
        <f>'[50]Productwise sales'!J38</f>
        <v>1043.2861873034813</v>
      </c>
      <c r="E44" s="397"/>
      <c r="F44" s="387"/>
      <c r="G44" s="388"/>
      <c r="I44" s="387"/>
      <c r="J44" s="387"/>
      <c r="L44" s="387">
        <v>0</v>
      </c>
      <c r="M44" s="380">
        <f>1</f>
        <v>1</v>
      </c>
      <c r="N44" s="381">
        <f t="shared" si="68"/>
        <v>0</v>
      </c>
      <c r="O44" s="487"/>
      <c r="S44" s="397">
        <f>[50]Domestic!J38</f>
        <v>5233</v>
      </c>
      <c r="T44" s="397">
        <f>[50]Europe!B38</f>
        <v>0</v>
      </c>
      <c r="U44" s="397">
        <f>'[50]Asia-Pacific'!B38</f>
        <v>0</v>
      </c>
      <c r="V44" s="397">
        <f>'[50]Rest of world'!B38</f>
        <v>720</v>
      </c>
      <c r="W44" s="397">
        <f>'[50]North America'!B38</f>
        <v>0</v>
      </c>
      <c r="X44" s="397">
        <f>'[50]Latin America'!B38</f>
        <v>1200</v>
      </c>
      <c r="Z44" s="397">
        <f>[50]Domestic!K38</f>
        <v>1050</v>
      </c>
      <c r="AA44" s="397">
        <f>[50]Europe!C38</f>
        <v>0</v>
      </c>
      <c r="AB44" s="397">
        <f>'[50]Asia-Pacific'!C38</f>
        <v>0</v>
      </c>
      <c r="AC44" s="397">
        <f>'[50]Rest of world'!C38</f>
        <v>1043.3001358080583</v>
      </c>
      <c r="AD44" s="397">
        <f>'[50]North America'!C38</f>
        <v>0</v>
      </c>
      <c r="AE44" s="397">
        <f>'[50]Latin America'!C38</f>
        <v>1014.0000000000001</v>
      </c>
      <c r="AF44" s="388"/>
      <c r="AG44" s="387">
        <f t="shared" si="12"/>
        <v>5.49465</v>
      </c>
      <c r="AH44" s="387">
        <f t="shared" si="12"/>
        <v>0</v>
      </c>
      <c r="AI44" s="387">
        <f t="shared" si="12"/>
        <v>0</v>
      </c>
      <c r="AJ44" s="387">
        <f t="shared" si="12"/>
        <v>0.75117609778180194</v>
      </c>
      <c r="AK44" s="387">
        <f t="shared" si="12"/>
        <v>0</v>
      </c>
      <c r="AL44" s="387">
        <f t="shared" si="12"/>
        <v>1.2168000000000003</v>
      </c>
      <c r="AM44" s="388"/>
      <c r="AN44" s="387">
        <f t="shared" si="7"/>
        <v>38.46255</v>
      </c>
      <c r="AO44" s="387">
        <f t="shared" si="2"/>
        <v>0</v>
      </c>
      <c r="AP44" s="387">
        <f t="shared" si="2"/>
        <v>0</v>
      </c>
      <c r="AQ44" s="387">
        <f t="shared" si="2"/>
        <v>5.2582326844726133</v>
      </c>
      <c r="AR44" s="387">
        <f t="shared" si="2"/>
        <v>0</v>
      </c>
      <c r="AS44" s="387">
        <f t="shared" si="2"/>
        <v>8.5176000000000016</v>
      </c>
      <c r="AT44" s="405"/>
      <c r="AU44" s="387"/>
      <c r="AV44" s="387"/>
      <c r="AW44" s="387"/>
      <c r="AX44" s="387"/>
      <c r="AY44" s="387"/>
      <c r="AZ44" s="387"/>
      <c r="BB44" s="387"/>
      <c r="BC44" s="387"/>
      <c r="BD44" s="387"/>
      <c r="BE44" s="387"/>
      <c r="BF44" s="387"/>
      <c r="BG44" s="387"/>
      <c r="BH44" s="406"/>
      <c r="BI44" s="406"/>
      <c r="BK44" s="442">
        <f t="shared" si="47"/>
        <v>0</v>
      </c>
      <c r="BL44" s="431">
        <f t="shared" si="47"/>
        <v>0</v>
      </c>
      <c r="BM44" s="431">
        <f t="shared" si="47"/>
        <v>0</v>
      </c>
      <c r="BN44" s="431">
        <f t="shared" si="47"/>
        <v>0</v>
      </c>
      <c r="BO44" s="431">
        <f t="shared" si="47"/>
        <v>0</v>
      </c>
      <c r="BP44" s="431">
        <f t="shared" si="47"/>
        <v>0</v>
      </c>
      <c r="BQ44" s="436">
        <f t="shared" si="48"/>
        <v>0</v>
      </c>
      <c r="BR44" s="392"/>
      <c r="BS44" s="392"/>
      <c r="BX44" s="561"/>
      <c r="BY44" s="561"/>
      <c r="CA44" s="381">
        <f>IF(Z44=0,0,Z44-$O$44)</f>
        <v>1050</v>
      </c>
      <c r="CB44" s="381">
        <f t="shared" ref="CB44:CF44" si="73">IF(AA44=0,0,AA44-$O$44)</f>
        <v>0</v>
      </c>
      <c r="CC44" s="381">
        <f t="shared" si="73"/>
        <v>0</v>
      </c>
      <c r="CD44" s="381">
        <f t="shared" si="73"/>
        <v>1043.3001358080583</v>
      </c>
      <c r="CE44" s="381">
        <f t="shared" si="73"/>
        <v>0</v>
      </c>
      <c r="CF44" s="381">
        <f t="shared" si="73"/>
        <v>1014.0000000000001</v>
      </c>
      <c r="CG44" s="406"/>
      <c r="CH44" s="406"/>
      <c r="CJ44" s="440">
        <f t="shared" si="70"/>
        <v>38.46255</v>
      </c>
      <c r="CK44" s="425">
        <f t="shared" si="70"/>
        <v>0</v>
      </c>
      <c r="CL44" s="425">
        <f t="shared" si="70"/>
        <v>0</v>
      </c>
      <c r="CM44" s="425">
        <f t="shared" si="70"/>
        <v>5.2582326844726142</v>
      </c>
      <c r="CN44" s="425">
        <f t="shared" si="70"/>
        <v>0</v>
      </c>
      <c r="CO44" s="425">
        <f t="shared" si="70"/>
        <v>8.5176000000000016</v>
      </c>
      <c r="CP44" s="426">
        <f t="shared" si="71"/>
        <v>52.238382684472619</v>
      </c>
      <c r="CR44" s="412"/>
      <c r="CT44" s="447">
        <f t="shared" si="55"/>
        <v>38.46255</v>
      </c>
      <c r="CU44" s="447">
        <f t="shared" si="55"/>
        <v>0</v>
      </c>
      <c r="CV44" s="447">
        <f t="shared" si="55"/>
        <v>0</v>
      </c>
      <c r="CW44" s="447">
        <f t="shared" si="55"/>
        <v>5.2582326844726142</v>
      </c>
      <c r="CX44" s="447">
        <f t="shared" si="55"/>
        <v>0</v>
      </c>
      <c r="CY44" s="447">
        <f t="shared" si="55"/>
        <v>8.5176000000000016</v>
      </c>
      <c r="CZ44" s="448">
        <f t="shared" si="56"/>
        <v>52.238382684472619</v>
      </c>
      <c r="DA44" s="413"/>
    </row>
    <row r="45" spans="1:105" s="400" customFormat="1">
      <c r="A45" s="388"/>
      <c r="B45" s="386" t="str">
        <f>'[50]Productwise sales'!A42</f>
        <v>Myristic Acid</v>
      </c>
      <c r="C45" s="397">
        <f>'[50]Productwise sales'!I42</f>
        <v>0</v>
      </c>
      <c r="D45" s="397">
        <f>'[50]Productwise sales'!J42</f>
        <v>0</v>
      </c>
      <c r="E45" s="397"/>
      <c r="F45" s="387"/>
      <c r="G45" s="388"/>
      <c r="I45" s="387"/>
      <c r="J45" s="387"/>
      <c r="L45" s="387"/>
      <c r="M45" s="388"/>
      <c r="N45" s="388"/>
      <c r="O45" s="487"/>
      <c r="S45" s="397">
        <f>[50]Domestic!J42</f>
        <v>0</v>
      </c>
      <c r="T45" s="397">
        <f>[50]Europe!B42</f>
        <v>0</v>
      </c>
      <c r="U45" s="397">
        <f>'[50]Asia-Pacific'!B42</f>
        <v>0</v>
      </c>
      <c r="V45" s="397">
        <f>'[50]Rest of world'!B42</f>
        <v>0</v>
      </c>
      <c r="W45" s="397">
        <f>'[50]North America'!B42</f>
        <v>0</v>
      </c>
      <c r="X45" s="397">
        <f>'[50]Latin America'!B42</f>
        <v>0</v>
      </c>
      <c r="Z45" s="397">
        <f>[50]Domestic!K42</f>
        <v>0</v>
      </c>
      <c r="AA45" s="397">
        <f>[50]Europe!C42</f>
        <v>0</v>
      </c>
      <c r="AB45" s="397">
        <f>'[50]Asia-Pacific'!C42</f>
        <v>0</v>
      </c>
      <c r="AC45" s="397">
        <f>'[50]Rest of world'!C42</f>
        <v>0</v>
      </c>
      <c r="AD45" s="397">
        <f>'[50]North America'!C42</f>
        <v>0</v>
      </c>
      <c r="AE45" s="397">
        <f>'[50]Latin America'!C42</f>
        <v>0</v>
      </c>
      <c r="AF45" s="388"/>
      <c r="AG45" s="387">
        <f t="shared" si="12"/>
        <v>0</v>
      </c>
      <c r="AH45" s="387">
        <f t="shared" si="12"/>
        <v>0</v>
      </c>
      <c r="AI45" s="387">
        <f t="shared" si="12"/>
        <v>0</v>
      </c>
      <c r="AJ45" s="387">
        <f t="shared" si="12"/>
        <v>0</v>
      </c>
      <c r="AK45" s="387">
        <f t="shared" si="12"/>
        <v>0</v>
      </c>
      <c r="AL45" s="387">
        <f t="shared" si="12"/>
        <v>0</v>
      </c>
      <c r="AM45" s="388"/>
      <c r="AN45" s="387">
        <f t="shared" si="7"/>
        <v>0</v>
      </c>
      <c r="AO45" s="387">
        <f t="shared" si="2"/>
        <v>0</v>
      </c>
      <c r="AP45" s="387">
        <f t="shared" si="2"/>
        <v>0</v>
      </c>
      <c r="AQ45" s="387">
        <f t="shared" si="2"/>
        <v>0</v>
      </c>
      <c r="AR45" s="387">
        <f t="shared" si="2"/>
        <v>0</v>
      </c>
      <c r="AS45" s="387">
        <f t="shared" si="2"/>
        <v>0</v>
      </c>
      <c r="AT45" s="405"/>
      <c r="AU45" s="387"/>
      <c r="AV45" s="387"/>
      <c r="AW45" s="387"/>
      <c r="AX45" s="387"/>
      <c r="AY45" s="387"/>
      <c r="AZ45" s="387"/>
      <c r="BB45" s="387"/>
      <c r="BC45" s="387"/>
      <c r="BD45" s="387"/>
      <c r="BE45" s="387"/>
      <c r="BF45" s="387"/>
      <c r="BG45" s="387"/>
      <c r="BH45" s="406"/>
      <c r="BI45" s="406"/>
      <c r="BK45" s="442">
        <f t="shared" si="47"/>
        <v>0</v>
      </c>
      <c r="BL45" s="431">
        <f t="shared" si="47"/>
        <v>0</v>
      </c>
      <c r="BM45" s="431">
        <f t="shared" si="47"/>
        <v>0</v>
      </c>
      <c r="BN45" s="431">
        <f t="shared" si="47"/>
        <v>0</v>
      </c>
      <c r="BO45" s="431">
        <f t="shared" si="47"/>
        <v>0</v>
      </c>
      <c r="BP45" s="431">
        <f t="shared" si="47"/>
        <v>0</v>
      </c>
      <c r="BQ45" s="436">
        <f t="shared" si="48"/>
        <v>0</v>
      </c>
      <c r="BR45" s="392"/>
      <c r="BS45" s="392"/>
      <c r="BX45" s="561"/>
      <c r="BY45" s="561"/>
      <c r="CA45" s="381">
        <f>IF(Z45=0,0,Z45-$O$45)</f>
        <v>0</v>
      </c>
      <c r="CB45" s="381">
        <f t="shared" ref="CB45:CF45" si="74">IF(AA45=0,0,AA45-$O$45)</f>
        <v>0</v>
      </c>
      <c r="CC45" s="381">
        <f t="shared" si="74"/>
        <v>0</v>
      </c>
      <c r="CD45" s="381">
        <f t="shared" si="74"/>
        <v>0</v>
      </c>
      <c r="CE45" s="381">
        <f t="shared" si="74"/>
        <v>0</v>
      </c>
      <c r="CF45" s="381">
        <f t="shared" si="74"/>
        <v>0</v>
      </c>
      <c r="CG45" s="406"/>
      <c r="CH45" s="406"/>
      <c r="CJ45" s="440">
        <f t="shared" si="70"/>
        <v>0</v>
      </c>
      <c r="CK45" s="425">
        <f t="shared" si="70"/>
        <v>0</v>
      </c>
      <c r="CL45" s="425">
        <f t="shared" si="70"/>
        <v>0</v>
      </c>
      <c r="CM45" s="425">
        <f t="shared" si="70"/>
        <v>0</v>
      </c>
      <c r="CN45" s="425">
        <f t="shared" si="70"/>
        <v>0</v>
      </c>
      <c r="CO45" s="425">
        <f t="shared" si="70"/>
        <v>0</v>
      </c>
      <c r="CP45" s="426">
        <f t="shared" si="71"/>
        <v>0</v>
      </c>
      <c r="CR45" s="412"/>
      <c r="CT45" s="447">
        <f t="shared" si="55"/>
        <v>0</v>
      </c>
      <c r="CU45" s="447">
        <f t="shared" si="55"/>
        <v>0</v>
      </c>
      <c r="CV45" s="447">
        <f t="shared" si="55"/>
        <v>0</v>
      </c>
      <c r="CW45" s="447">
        <f t="shared" si="55"/>
        <v>0</v>
      </c>
      <c r="CX45" s="447">
        <f t="shared" si="55"/>
        <v>0</v>
      </c>
      <c r="CY45" s="447">
        <f t="shared" si="55"/>
        <v>0</v>
      </c>
      <c r="CZ45" s="448">
        <f t="shared" si="56"/>
        <v>0</v>
      </c>
    </row>
    <row r="46" spans="1:105" s="400" customFormat="1">
      <c r="A46" s="388"/>
      <c r="B46" s="386" t="str">
        <f>'[50]Productwise sales'!A43</f>
        <v>DFA C18-22</v>
      </c>
      <c r="C46" s="397">
        <f>'[50]Productwise sales'!I43</f>
        <v>0</v>
      </c>
      <c r="D46" s="397">
        <f>'[50]Productwise sales'!J43</f>
        <v>0</v>
      </c>
      <c r="E46" s="397"/>
      <c r="F46" s="387"/>
      <c r="G46" s="388"/>
      <c r="I46" s="387"/>
      <c r="J46" s="387"/>
      <c r="L46" s="387"/>
      <c r="M46" s="388"/>
      <c r="N46" s="388"/>
      <c r="O46" s="487"/>
      <c r="S46" s="397">
        <f>[50]Domestic!J43</f>
        <v>0</v>
      </c>
      <c r="T46" s="397">
        <f>[50]Europe!B43</f>
        <v>0</v>
      </c>
      <c r="U46" s="397">
        <f>'[50]Asia-Pacific'!B43</f>
        <v>0</v>
      </c>
      <c r="V46" s="397">
        <f>'[50]Rest of world'!B43</f>
        <v>0</v>
      </c>
      <c r="W46" s="397">
        <f>'[50]North America'!B43</f>
        <v>0</v>
      </c>
      <c r="X46" s="397">
        <f>'[50]Latin America'!B43</f>
        <v>0</v>
      </c>
      <c r="Z46" s="397">
        <f>[50]Domestic!K43</f>
        <v>0</v>
      </c>
      <c r="AA46" s="397">
        <f>[50]Europe!C43</f>
        <v>0</v>
      </c>
      <c r="AB46" s="397">
        <f>'[50]Asia-Pacific'!C43</f>
        <v>0</v>
      </c>
      <c r="AC46" s="397">
        <f>'[50]Rest of world'!C43</f>
        <v>0</v>
      </c>
      <c r="AD46" s="397">
        <f>'[50]North America'!C43</f>
        <v>0</v>
      </c>
      <c r="AE46" s="397">
        <f>'[50]Latin America'!C43</f>
        <v>0</v>
      </c>
      <c r="AF46" s="388"/>
      <c r="AG46" s="387">
        <f t="shared" si="12"/>
        <v>0</v>
      </c>
      <c r="AH46" s="387">
        <f t="shared" si="12"/>
        <v>0</v>
      </c>
      <c r="AI46" s="387">
        <f t="shared" si="12"/>
        <v>0</v>
      </c>
      <c r="AJ46" s="387">
        <f t="shared" si="12"/>
        <v>0</v>
      </c>
      <c r="AK46" s="387">
        <f t="shared" si="12"/>
        <v>0</v>
      </c>
      <c r="AL46" s="387">
        <f t="shared" si="12"/>
        <v>0</v>
      </c>
      <c r="AM46" s="388"/>
      <c r="AN46" s="387">
        <f t="shared" si="7"/>
        <v>0</v>
      </c>
      <c r="AO46" s="387">
        <f t="shared" si="2"/>
        <v>0</v>
      </c>
      <c r="AP46" s="387">
        <f t="shared" si="2"/>
        <v>0</v>
      </c>
      <c r="AQ46" s="387">
        <f t="shared" si="2"/>
        <v>0</v>
      </c>
      <c r="AR46" s="387">
        <f t="shared" si="2"/>
        <v>0</v>
      </c>
      <c r="AS46" s="387">
        <f t="shared" si="2"/>
        <v>0</v>
      </c>
      <c r="AT46" s="405"/>
      <c r="AU46" s="387"/>
      <c r="AV46" s="387"/>
      <c r="AW46" s="387"/>
      <c r="AX46" s="387"/>
      <c r="AY46" s="387"/>
      <c r="AZ46" s="387"/>
      <c r="BB46" s="387"/>
      <c r="BC46" s="387"/>
      <c r="BD46" s="387"/>
      <c r="BE46" s="387"/>
      <c r="BF46" s="387"/>
      <c r="BG46" s="387"/>
      <c r="BH46" s="406"/>
      <c r="BI46" s="406"/>
      <c r="BK46" s="442">
        <f t="shared" si="47"/>
        <v>0</v>
      </c>
      <c r="BL46" s="431">
        <f t="shared" si="47"/>
        <v>0</v>
      </c>
      <c r="BM46" s="431">
        <f t="shared" si="47"/>
        <v>0</v>
      </c>
      <c r="BN46" s="431">
        <f t="shared" si="47"/>
        <v>0</v>
      </c>
      <c r="BO46" s="431">
        <f t="shared" si="47"/>
        <v>0</v>
      </c>
      <c r="BP46" s="431">
        <f t="shared" si="47"/>
        <v>0</v>
      </c>
      <c r="BQ46" s="436">
        <f t="shared" si="48"/>
        <v>0</v>
      </c>
      <c r="BR46" s="392"/>
      <c r="BS46" s="392"/>
      <c r="BX46" s="561"/>
      <c r="BY46" s="561"/>
      <c r="CA46" s="381">
        <f>IF(Z46=0,0,Z46-$O$46)</f>
        <v>0</v>
      </c>
      <c r="CB46" s="381">
        <f t="shared" ref="CB46:CF46" si="75">IF(AA46=0,0,AA46-$O$46)</f>
        <v>0</v>
      </c>
      <c r="CC46" s="381">
        <f t="shared" si="75"/>
        <v>0</v>
      </c>
      <c r="CD46" s="381">
        <f t="shared" si="75"/>
        <v>0</v>
      </c>
      <c r="CE46" s="381">
        <f t="shared" si="75"/>
        <v>0</v>
      </c>
      <c r="CF46" s="381">
        <f t="shared" si="75"/>
        <v>0</v>
      </c>
      <c r="CG46" s="406"/>
      <c r="CH46" s="406"/>
      <c r="CJ46" s="440">
        <f t="shared" si="70"/>
        <v>0</v>
      </c>
      <c r="CK46" s="425">
        <f t="shared" si="70"/>
        <v>0</v>
      </c>
      <c r="CL46" s="425">
        <f t="shared" si="70"/>
        <v>0</v>
      </c>
      <c r="CM46" s="425">
        <f t="shared" si="70"/>
        <v>0</v>
      </c>
      <c r="CN46" s="425">
        <f t="shared" si="70"/>
        <v>0</v>
      </c>
      <c r="CO46" s="425">
        <f t="shared" si="70"/>
        <v>0</v>
      </c>
      <c r="CP46" s="426">
        <f t="shared" si="71"/>
        <v>0</v>
      </c>
      <c r="CR46" s="412"/>
      <c r="CT46" s="447">
        <f t="shared" si="55"/>
        <v>0</v>
      </c>
      <c r="CU46" s="447">
        <f t="shared" si="55"/>
        <v>0</v>
      </c>
      <c r="CV46" s="447">
        <f t="shared" si="55"/>
        <v>0</v>
      </c>
      <c r="CW46" s="447">
        <f t="shared" si="55"/>
        <v>0</v>
      </c>
      <c r="CX46" s="447">
        <f t="shared" si="55"/>
        <v>0</v>
      </c>
      <c r="CY46" s="447">
        <f t="shared" si="55"/>
        <v>0</v>
      </c>
      <c r="CZ46" s="448">
        <f t="shared" si="56"/>
        <v>0</v>
      </c>
    </row>
    <row r="47" spans="1:105" s="400" customFormat="1">
      <c r="A47" s="388"/>
      <c r="B47" s="386" t="str">
        <f>'[50]Productwise sales'!A44</f>
        <v>G3</v>
      </c>
      <c r="C47" s="397">
        <f>'[50]Productwise sales'!I44</f>
        <v>0</v>
      </c>
      <c r="D47" s="397">
        <f>'[50]Productwise sales'!J44</f>
        <v>0</v>
      </c>
      <c r="E47" s="397"/>
      <c r="F47" s="387"/>
      <c r="G47" s="388"/>
      <c r="I47" s="387"/>
      <c r="J47" s="387"/>
      <c r="L47" s="387"/>
      <c r="M47" s="388"/>
      <c r="N47" s="388"/>
      <c r="O47" s="487"/>
      <c r="S47" s="397">
        <f>[50]Domestic!J44</f>
        <v>0</v>
      </c>
      <c r="T47" s="397">
        <f>[50]Europe!B44</f>
        <v>0</v>
      </c>
      <c r="U47" s="397">
        <f>'[50]Asia-Pacific'!B44</f>
        <v>0</v>
      </c>
      <c r="V47" s="397">
        <f>'[50]Rest of world'!B44</f>
        <v>0</v>
      </c>
      <c r="W47" s="397">
        <f>'[50]North America'!B44</f>
        <v>0</v>
      </c>
      <c r="X47" s="397">
        <f>'[50]Latin America'!B44</f>
        <v>0</v>
      </c>
      <c r="Z47" s="397">
        <f>[50]Domestic!K44</f>
        <v>0</v>
      </c>
      <c r="AA47" s="397">
        <f>[50]Europe!C44</f>
        <v>0</v>
      </c>
      <c r="AB47" s="397">
        <f>'[50]Asia-Pacific'!C44</f>
        <v>0</v>
      </c>
      <c r="AC47" s="397">
        <f>'[50]Rest of world'!C44</f>
        <v>0</v>
      </c>
      <c r="AD47" s="397">
        <f>'[50]North America'!C44</f>
        <v>0</v>
      </c>
      <c r="AE47" s="397">
        <f>'[50]Latin America'!C44</f>
        <v>0</v>
      </c>
      <c r="AF47" s="388"/>
      <c r="AG47" s="387">
        <f t="shared" si="12"/>
        <v>0</v>
      </c>
      <c r="AH47" s="387">
        <f t="shared" si="12"/>
        <v>0</v>
      </c>
      <c r="AI47" s="387">
        <f t="shared" si="12"/>
        <v>0</v>
      </c>
      <c r="AJ47" s="387">
        <f t="shared" si="12"/>
        <v>0</v>
      </c>
      <c r="AK47" s="387">
        <f t="shared" si="12"/>
        <v>0</v>
      </c>
      <c r="AL47" s="387">
        <f t="shared" si="12"/>
        <v>0</v>
      </c>
      <c r="AM47" s="388"/>
      <c r="AN47" s="387">
        <f t="shared" si="7"/>
        <v>0</v>
      </c>
      <c r="AO47" s="387">
        <f t="shared" si="2"/>
        <v>0</v>
      </c>
      <c r="AP47" s="387">
        <f t="shared" si="2"/>
        <v>0</v>
      </c>
      <c r="AQ47" s="387">
        <f t="shared" si="2"/>
        <v>0</v>
      </c>
      <c r="AR47" s="387">
        <f t="shared" si="2"/>
        <v>0</v>
      </c>
      <c r="AS47" s="387">
        <f t="shared" si="2"/>
        <v>0</v>
      </c>
      <c r="AT47" s="405"/>
      <c r="AU47" s="387"/>
      <c r="AV47" s="387"/>
      <c r="AW47" s="387"/>
      <c r="AX47" s="387"/>
      <c r="AY47" s="387"/>
      <c r="AZ47" s="387"/>
      <c r="BB47" s="387"/>
      <c r="BC47" s="387"/>
      <c r="BD47" s="387"/>
      <c r="BE47" s="387"/>
      <c r="BF47" s="387"/>
      <c r="BG47" s="387"/>
      <c r="BH47" s="406"/>
      <c r="BI47" s="406"/>
      <c r="BK47" s="442">
        <f t="shared" si="47"/>
        <v>0</v>
      </c>
      <c r="BL47" s="431">
        <f t="shared" si="47"/>
        <v>0</v>
      </c>
      <c r="BM47" s="431">
        <f t="shared" si="47"/>
        <v>0</v>
      </c>
      <c r="BN47" s="431">
        <f t="shared" si="47"/>
        <v>0</v>
      </c>
      <c r="BO47" s="431">
        <f t="shared" si="47"/>
        <v>0</v>
      </c>
      <c r="BP47" s="431">
        <f t="shared" si="47"/>
        <v>0</v>
      </c>
      <c r="BQ47" s="436">
        <f t="shared" si="48"/>
        <v>0</v>
      </c>
      <c r="BR47" s="392"/>
      <c r="BS47" s="392"/>
      <c r="BX47" s="561"/>
      <c r="BY47" s="561"/>
      <c r="CA47" s="381">
        <f>IF(Z47=0,0,Z47-$O$47)</f>
        <v>0</v>
      </c>
      <c r="CB47" s="381">
        <f t="shared" ref="CB47:CF47" si="76">IF(AA47=0,0,AA47-$O$47)</f>
        <v>0</v>
      </c>
      <c r="CC47" s="381">
        <f t="shared" si="76"/>
        <v>0</v>
      </c>
      <c r="CD47" s="381">
        <f t="shared" si="76"/>
        <v>0</v>
      </c>
      <c r="CE47" s="381">
        <f t="shared" si="76"/>
        <v>0</v>
      </c>
      <c r="CF47" s="381">
        <f t="shared" si="76"/>
        <v>0</v>
      </c>
      <c r="CG47" s="406"/>
      <c r="CH47" s="406"/>
      <c r="CJ47" s="440">
        <f t="shared" si="70"/>
        <v>0</v>
      </c>
      <c r="CK47" s="425">
        <f t="shared" si="70"/>
        <v>0</v>
      </c>
      <c r="CL47" s="425">
        <f t="shared" si="70"/>
        <v>0</v>
      </c>
      <c r="CM47" s="425">
        <f t="shared" si="70"/>
        <v>0</v>
      </c>
      <c r="CN47" s="425">
        <f t="shared" si="70"/>
        <v>0</v>
      </c>
      <c r="CO47" s="425">
        <f t="shared" si="70"/>
        <v>0</v>
      </c>
      <c r="CP47" s="426">
        <f t="shared" si="71"/>
        <v>0</v>
      </c>
      <c r="CR47" s="412"/>
      <c r="CT47" s="447">
        <f t="shared" si="55"/>
        <v>0</v>
      </c>
      <c r="CU47" s="447">
        <f t="shared" si="55"/>
        <v>0</v>
      </c>
      <c r="CV47" s="447">
        <f t="shared" si="55"/>
        <v>0</v>
      </c>
      <c r="CW47" s="447">
        <f t="shared" si="55"/>
        <v>0</v>
      </c>
      <c r="CX47" s="447">
        <f t="shared" si="55"/>
        <v>0</v>
      </c>
      <c r="CY47" s="447">
        <f t="shared" si="55"/>
        <v>0</v>
      </c>
      <c r="CZ47" s="448">
        <f t="shared" si="56"/>
        <v>0</v>
      </c>
    </row>
    <row r="48" spans="1:105" s="400" customFormat="1">
      <c r="A48" s="388"/>
      <c r="B48" s="386" t="str">
        <f>'[50]Productwise sales'!A45</f>
        <v>Stearic 90</v>
      </c>
      <c r="C48" s="397">
        <f>'[50]Productwise sales'!I45</f>
        <v>2460</v>
      </c>
      <c r="D48" s="397">
        <f>'[50]Productwise sales'!J45</f>
        <v>1005</v>
      </c>
      <c r="E48" s="397"/>
      <c r="F48" s="387"/>
      <c r="G48" s="388"/>
      <c r="I48" s="387"/>
      <c r="J48" s="387"/>
      <c r="L48" s="387">
        <f>1288+2102+865+100</f>
        <v>4355</v>
      </c>
      <c r="M48" s="380">
        <f>1</f>
        <v>1</v>
      </c>
      <c r="N48" s="381">
        <f>L48/M48</f>
        <v>4355</v>
      </c>
      <c r="O48" s="485">
        <f>N48/$A$2</f>
        <v>62.214285714285715</v>
      </c>
      <c r="S48" s="397">
        <f>[50]Domestic!J45</f>
        <v>2400</v>
      </c>
      <c r="T48" s="397">
        <f>[50]Europe!B45</f>
        <v>0</v>
      </c>
      <c r="U48" s="397">
        <f>'[50]Asia-Pacific'!B45</f>
        <v>0</v>
      </c>
      <c r="V48" s="397">
        <f>'[50]Rest of world'!B45</f>
        <v>0</v>
      </c>
      <c r="W48" s="397">
        <f>'[50]North America'!B45</f>
        <v>60</v>
      </c>
      <c r="X48" s="397">
        <f>'[50]Latin America'!B45</f>
        <v>0</v>
      </c>
      <c r="Z48" s="397">
        <f>[50]Domestic!K45</f>
        <v>1005.0000000000002</v>
      </c>
      <c r="AA48" s="397">
        <f>[50]Europe!C45</f>
        <v>0</v>
      </c>
      <c r="AB48" s="397">
        <f>'[50]Asia-Pacific'!C45</f>
        <v>0</v>
      </c>
      <c r="AC48" s="397">
        <f>'[50]Rest of world'!C45</f>
        <v>0</v>
      </c>
      <c r="AD48" s="397">
        <f>'[50]North America'!C45</f>
        <v>1005</v>
      </c>
      <c r="AE48" s="397">
        <f>'[50]Latin America'!C45</f>
        <v>0</v>
      </c>
      <c r="AF48" s="388"/>
      <c r="AG48" s="387">
        <f t="shared" si="12"/>
        <v>2.4120000000000004</v>
      </c>
      <c r="AH48" s="387">
        <f t="shared" si="12"/>
        <v>0</v>
      </c>
      <c r="AI48" s="387">
        <f t="shared" si="12"/>
        <v>0</v>
      </c>
      <c r="AJ48" s="387">
        <f t="shared" si="12"/>
        <v>0</v>
      </c>
      <c r="AK48" s="387">
        <f t="shared" si="12"/>
        <v>6.0299999999999999E-2</v>
      </c>
      <c r="AL48" s="387">
        <f t="shared" si="12"/>
        <v>0</v>
      </c>
      <c r="AM48" s="388"/>
      <c r="AN48" s="387">
        <f t="shared" si="7"/>
        <v>16.884000000000004</v>
      </c>
      <c r="AO48" s="387">
        <f t="shared" si="2"/>
        <v>0</v>
      </c>
      <c r="AP48" s="387">
        <f t="shared" si="2"/>
        <v>0</v>
      </c>
      <c r="AQ48" s="387">
        <f t="shared" si="2"/>
        <v>0</v>
      </c>
      <c r="AR48" s="387">
        <f t="shared" si="2"/>
        <v>0.42210000000000003</v>
      </c>
      <c r="AS48" s="387">
        <f t="shared" si="2"/>
        <v>0</v>
      </c>
      <c r="AT48" s="405"/>
      <c r="AU48" s="387"/>
      <c r="AV48" s="387"/>
      <c r="AW48" s="387"/>
      <c r="AX48" s="387"/>
      <c r="AY48" s="387"/>
      <c r="AZ48" s="387"/>
      <c r="BB48" s="387"/>
      <c r="BC48" s="387"/>
      <c r="BD48" s="387"/>
      <c r="BE48" s="387"/>
      <c r="BF48" s="387"/>
      <c r="BG48" s="387"/>
      <c r="BH48" s="406"/>
      <c r="BI48" s="406"/>
      <c r="BK48" s="442">
        <f t="shared" si="47"/>
        <v>0</v>
      </c>
      <c r="BL48" s="431">
        <f t="shared" si="47"/>
        <v>0</v>
      </c>
      <c r="BM48" s="431">
        <f t="shared" si="47"/>
        <v>0</v>
      </c>
      <c r="BN48" s="431">
        <f t="shared" si="47"/>
        <v>0</v>
      </c>
      <c r="BO48" s="431">
        <f t="shared" si="47"/>
        <v>0</v>
      </c>
      <c r="BP48" s="431">
        <f t="shared" si="47"/>
        <v>0</v>
      </c>
      <c r="BQ48" s="436">
        <f t="shared" si="48"/>
        <v>0</v>
      </c>
      <c r="BR48" s="392"/>
      <c r="BS48" s="392"/>
      <c r="BX48" s="561"/>
      <c r="BY48" s="561"/>
      <c r="CA48" s="381">
        <f>IF(Z48=0,0,Z48-$O$48)</f>
        <v>942.78571428571456</v>
      </c>
      <c r="CB48" s="381">
        <f t="shared" ref="CB48:CF48" si="77">IF(AA48=0,0,AA48-$O$48)</f>
        <v>0</v>
      </c>
      <c r="CC48" s="381">
        <f t="shared" si="77"/>
        <v>0</v>
      </c>
      <c r="CD48" s="381">
        <f t="shared" si="77"/>
        <v>0</v>
      </c>
      <c r="CE48" s="381">
        <f t="shared" si="77"/>
        <v>942.78571428571433</v>
      </c>
      <c r="CF48" s="381">
        <f t="shared" si="77"/>
        <v>0</v>
      </c>
      <c r="CG48" s="406"/>
      <c r="CH48" s="406"/>
      <c r="CJ48" s="440">
        <f t="shared" si="70"/>
        <v>15.838800000000006</v>
      </c>
      <c r="CK48" s="425">
        <f t="shared" si="70"/>
        <v>0</v>
      </c>
      <c r="CL48" s="425">
        <f t="shared" si="70"/>
        <v>0</v>
      </c>
      <c r="CM48" s="425">
        <f t="shared" si="70"/>
        <v>0</v>
      </c>
      <c r="CN48" s="425">
        <f t="shared" si="70"/>
        <v>0.39597000000000004</v>
      </c>
      <c r="CO48" s="425">
        <f t="shared" si="70"/>
        <v>0</v>
      </c>
      <c r="CP48" s="426">
        <f t="shared" si="71"/>
        <v>16.234770000000005</v>
      </c>
      <c r="CR48" s="412"/>
      <c r="CT48" s="447">
        <f t="shared" si="55"/>
        <v>15.838800000000006</v>
      </c>
      <c r="CU48" s="447">
        <f t="shared" si="55"/>
        <v>0</v>
      </c>
      <c r="CV48" s="447">
        <f t="shared" si="55"/>
        <v>0</v>
      </c>
      <c r="CW48" s="447">
        <f t="shared" si="55"/>
        <v>0</v>
      </c>
      <c r="CX48" s="447">
        <f t="shared" si="55"/>
        <v>0.39597000000000004</v>
      </c>
      <c r="CY48" s="447">
        <f t="shared" si="55"/>
        <v>0</v>
      </c>
      <c r="CZ48" s="448">
        <f t="shared" si="56"/>
        <v>16.234770000000005</v>
      </c>
      <c r="DA48" s="413"/>
    </row>
    <row r="49" spans="1:105" s="400" customFormat="1">
      <c r="A49" s="388"/>
      <c r="B49" s="386" t="str">
        <f>'[50]Productwise sales'!A46</f>
        <v>C16 - 80%</v>
      </c>
      <c r="C49" s="397">
        <f>'[50]Productwise sales'!I46</f>
        <v>0</v>
      </c>
      <c r="D49" s="397">
        <f>'[50]Productwise sales'!J46</f>
        <v>0</v>
      </c>
      <c r="E49" s="397"/>
      <c r="F49" s="387"/>
      <c r="G49" s="388"/>
      <c r="I49" s="387"/>
      <c r="J49" s="387"/>
      <c r="L49" s="387"/>
      <c r="M49" s="388"/>
      <c r="N49" s="388"/>
      <c r="O49" s="487"/>
      <c r="S49" s="397">
        <f>[50]Domestic!J46</f>
        <v>0</v>
      </c>
      <c r="T49" s="397">
        <f>[50]Europe!B46</f>
        <v>0</v>
      </c>
      <c r="U49" s="397">
        <f>'[50]Asia-Pacific'!B46</f>
        <v>0</v>
      </c>
      <c r="V49" s="397">
        <f>'[50]Rest of world'!B46</f>
        <v>0</v>
      </c>
      <c r="W49" s="397">
        <f>'[50]North America'!B46</f>
        <v>0</v>
      </c>
      <c r="X49" s="397">
        <f>'[50]Latin America'!B46</f>
        <v>0</v>
      </c>
      <c r="Z49" s="397">
        <f>[50]Domestic!K46</f>
        <v>0</v>
      </c>
      <c r="AA49" s="397">
        <f>[50]Europe!C46</f>
        <v>0</v>
      </c>
      <c r="AB49" s="397">
        <f>'[50]Asia-Pacific'!C46</f>
        <v>0</v>
      </c>
      <c r="AC49" s="397">
        <f>'[50]Rest of world'!C46</f>
        <v>0</v>
      </c>
      <c r="AD49" s="397">
        <f>'[50]North America'!C46</f>
        <v>0</v>
      </c>
      <c r="AE49" s="397">
        <f>'[50]Latin America'!C46</f>
        <v>0</v>
      </c>
      <c r="AF49" s="388"/>
      <c r="AG49" s="387">
        <f t="shared" si="12"/>
        <v>0</v>
      </c>
      <c r="AH49" s="387">
        <f t="shared" si="12"/>
        <v>0</v>
      </c>
      <c r="AI49" s="387">
        <f t="shared" si="12"/>
        <v>0</v>
      </c>
      <c r="AJ49" s="387">
        <f t="shared" si="12"/>
        <v>0</v>
      </c>
      <c r="AK49" s="387">
        <f t="shared" si="12"/>
        <v>0</v>
      </c>
      <c r="AL49" s="387">
        <f t="shared" si="12"/>
        <v>0</v>
      </c>
      <c r="AM49" s="388"/>
      <c r="AN49" s="387">
        <f t="shared" si="7"/>
        <v>0</v>
      </c>
      <c r="AO49" s="387">
        <f t="shared" si="2"/>
        <v>0</v>
      </c>
      <c r="AP49" s="387">
        <f t="shared" si="2"/>
        <v>0</v>
      </c>
      <c r="AQ49" s="387">
        <f t="shared" si="2"/>
        <v>0</v>
      </c>
      <c r="AR49" s="387">
        <f t="shared" si="2"/>
        <v>0</v>
      </c>
      <c r="AS49" s="387">
        <f t="shared" si="2"/>
        <v>0</v>
      </c>
      <c r="AT49" s="405"/>
      <c r="AU49" s="387"/>
      <c r="AV49" s="387"/>
      <c r="AW49" s="387"/>
      <c r="AX49" s="387"/>
      <c r="AY49" s="387"/>
      <c r="AZ49" s="387"/>
      <c r="BB49" s="387"/>
      <c r="BC49" s="387"/>
      <c r="BD49" s="387"/>
      <c r="BE49" s="387"/>
      <c r="BF49" s="387"/>
      <c r="BG49" s="387"/>
      <c r="BH49" s="406"/>
      <c r="BI49" s="406"/>
      <c r="BK49" s="442">
        <f t="shared" si="47"/>
        <v>0</v>
      </c>
      <c r="BL49" s="431">
        <f t="shared" si="47"/>
        <v>0</v>
      </c>
      <c r="BM49" s="431">
        <f t="shared" si="47"/>
        <v>0</v>
      </c>
      <c r="BN49" s="431">
        <f t="shared" si="47"/>
        <v>0</v>
      </c>
      <c r="BO49" s="431">
        <f t="shared" si="47"/>
        <v>0</v>
      </c>
      <c r="BP49" s="431">
        <f t="shared" si="47"/>
        <v>0</v>
      </c>
      <c r="BQ49" s="436">
        <f t="shared" si="48"/>
        <v>0</v>
      </c>
      <c r="BR49" s="392"/>
      <c r="BS49" s="392"/>
      <c r="BX49" s="561"/>
      <c r="BY49" s="561"/>
      <c r="CA49" s="381">
        <f>IF(Z49=0,0,Z49-$O$49)</f>
        <v>0</v>
      </c>
      <c r="CB49" s="381">
        <f t="shared" ref="CB49:CF49" si="78">IF(AA49=0,0,AA49-$O$49)</f>
        <v>0</v>
      </c>
      <c r="CC49" s="381">
        <f t="shared" si="78"/>
        <v>0</v>
      </c>
      <c r="CD49" s="381">
        <f t="shared" si="78"/>
        <v>0</v>
      </c>
      <c r="CE49" s="381">
        <f t="shared" si="78"/>
        <v>0</v>
      </c>
      <c r="CF49" s="381">
        <f t="shared" si="78"/>
        <v>0</v>
      </c>
      <c r="CG49" s="406"/>
      <c r="CH49" s="406"/>
      <c r="CJ49" s="440">
        <f t="shared" si="70"/>
        <v>0</v>
      </c>
      <c r="CK49" s="425">
        <f t="shared" si="70"/>
        <v>0</v>
      </c>
      <c r="CL49" s="425">
        <f t="shared" si="70"/>
        <v>0</v>
      </c>
      <c r="CM49" s="425">
        <f t="shared" si="70"/>
        <v>0</v>
      </c>
      <c r="CN49" s="425">
        <f t="shared" si="70"/>
        <v>0</v>
      </c>
      <c r="CO49" s="425">
        <f t="shared" si="70"/>
        <v>0</v>
      </c>
      <c r="CP49" s="426">
        <f t="shared" si="71"/>
        <v>0</v>
      </c>
      <c r="CR49" s="412"/>
      <c r="CT49" s="447">
        <f t="shared" si="55"/>
        <v>0</v>
      </c>
      <c r="CU49" s="447">
        <f t="shared" si="55"/>
        <v>0</v>
      </c>
      <c r="CV49" s="447">
        <f t="shared" si="55"/>
        <v>0</v>
      </c>
      <c r="CW49" s="447">
        <f t="shared" si="55"/>
        <v>0</v>
      </c>
      <c r="CX49" s="447">
        <f t="shared" si="55"/>
        <v>0</v>
      </c>
      <c r="CY49" s="447">
        <f t="shared" si="55"/>
        <v>0</v>
      </c>
      <c r="CZ49" s="448">
        <f t="shared" si="56"/>
        <v>0</v>
      </c>
    </row>
    <row r="50" spans="1:105" s="400" customFormat="1">
      <c r="A50" s="368"/>
      <c r="B50" s="297" t="str">
        <f>'[50]Productwise sales'!A47</f>
        <v>Lauric Acid (C12-99%)</v>
      </c>
      <c r="C50" s="303">
        <f>'[50]Productwise sales'!I47</f>
        <v>1320</v>
      </c>
      <c r="D50" s="303">
        <f>'[50]Productwise sales'!J47</f>
        <v>925.45454545454561</v>
      </c>
      <c r="E50" s="303"/>
      <c r="F50" s="361">
        <f>'[50]Revised GC'!Z25</f>
        <v>1320</v>
      </c>
      <c r="G50" s="368">
        <f>'[50]Revised GC'!AA25</f>
        <v>-69</v>
      </c>
      <c r="I50" s="384">
        <f>F50*G50/C50</f>
        <v>-69</v>
      </c>
      <c r="J50" s="384">
        <f>D50-I50</f>
        <v>994.45454545454561</v>
      </c>
      <c r="L50" s="361"/>
      <c r="M50" s="368"/>
      <c r="N50" s="368"/>
      <c r="O50" s="486"/>
      <c r="S50" s="303">
        <f>[50]Domestic!J47</f>
        <v>1200</v>
      </c>
      <c r="T50" s="303">
        <f>[50]Europe!B47</f>
        <v>0</v>
      </c>
      <c r="U50" s="303">
        <f>'[50]Asia-Pacific'!B47</f>
        <v>0</v>
      </c>
      <c r="V50" s="303">
        <f>'[50]Rest of world'!B47</f>
        <v>0</v>
      </c>
      <c r="W50" s="303">
        <f>'[50]North America'!B47</f>
        <v>120</v>
      </c>
      <c r="X50" s="303">
        <f>'[50]Latin America'!B47</f>
        <v>0</v>
      </c>
      <c r="Z50" s="303">
        <f>[50]Domestic!K47</f>
        <v>925.45454545454538</v>
      </c>
      <c r="AA50" s="303">
        <f>[50]Europe!C47</f>
        <v>0</v>
      </c>
      <c r="AB50" s="303">
        <f>'[50]Asia-Pacific'!C47</f>
        <v>0</v>
      </c>
      <c r="AC50" s="303">
        <f>'[50]Rest of world'!C47</f>
        <v>0</v>
      </c>
      <c r="AD50" s="303">
        <f>'[50]North America'!C47</f>
        <v>925.45454545454538</v>
      </c>
      <c r="AE50" s="303">
        <f>'[50]Latin America'!C47</f>
        <v>0</v>
      </c>
      <c r="AF50" s="368"/>
      <c r="AG50" s="361">
        <f t="shared" si="12"/>
        <v>1.1105454545454543</v>
      </c>
      <c r="AH50" s="361">
        <f t="shared" si="12"/>
        <v>0</v>
      </c>
      <c r="AI50" s="361">
        <f t="shared" si="12"/>
        <v>0</v>
      </c>
      <c r="AJ50" s="361">
        <f t="shared" si="12"/>
        <v>0</v>
      </c>
      <c r="AK50" s="361">
        <f t="shared" si="12"/>
        <v>0.11105454545454545</v>
      </c>
      <c r="AL50" s="361">
        <f t="shared" si="12"/>
        <v>0</v>
      </c>
      <c r="AM50" s="368"/>
      <c r="AN50" s="361">
        <f t="shared" si="7"/>
        <v>7.7738181818181804</v>
      </c>
      <c r="AO50" s="361">
        <f t="shared" si="2"/>
        <v>0</v>
      </c>
      <c r="AP50" s="361">
        <f t="shared" si="2"/>
        <v>0</v>
      </c>
      <c r="AQ50" s="361">
        <f t="shared" si="2"/>
        <v>0</v>
      </c>
      <c r="AR50" s="361">
        <f t="shared" si="2"/>
        <v>0.77738181818181817</v>
      </c>
      <c r="AS50" s="361">
        <f t="shared" si="2"/>
        <v>0</v>
      </c>
      <c r="AT50" s="405"/>
      <c r="AU50" s="302">
        <f>J50</f>
        <v>994.45454545454561</v>
      </c>
      <c r="AV50" s="302">
        <f>AU50</f>
        <v>994.45454545454561</v>
      </c>
      <c r="AW50" s="302">
        <f>AV50</f>
        <v>994.45454545454561</v>
      </c>
      <c r="AX50" s="302">
        <f>AW50</f>
        <v>994.45454545454561</v>
      </c>
      <c r="AY50" s="302">
        <f>AX50</f>
        <v>994.45454545454561</v>
      </c>
      <c r="AZ50" s="302">
        <f>AY50</f>
        <v>994.45454545454561</v>
      </c>
      <c r="BB50" s="302">
        <f>IF(Z50=0,0,Z50-AU50)</f>
        <v>-69.000000000000227</v>
      </c>
      <c r="BC50" s="302">
        <f t="shared" ref="BC50:BG50" si="79">IF(AA50=0,0,AA50-AV50)</f>
        <v>0</v>
      </c>
      <c r="BD50" s="302">
        <f t="shared" si="79"/>
        <v>0</v>
      </c>
      <c r="BE50" s="302">
        <f t="shared" si="79"/>
        <v>0</v>
      </c>
      <c r="BF50" s="302">
        <f t="shared" si="79"/>
        <v>-69.000000000000227</v>
      </c>
      <c r="BG50" s="302">
        <f t="shared" si="79"/>
        <v>0</v>
      </c>
      <c r="BH50" s="408">
        <f>SUMPRODUCT(S50:X50,BB50:BG50)/C50</f>
        <v>-69.000000000000227</v>
      </c>
      <c r="BI50" s="409">
        <f>BH50-I50</f>
        <v>-2.2737367544323206E-13</v>
      </c>
      <c r="BK50" s="442">
        <f t="shared" si="47"/>
        <v>-0.579600000000002</v>
      </c>
      <c r="BL50" s="431">
        <f t="shared" si="47"/>
        <v>0</v>
      </c>
      <c r="BM50" s="431">
        <f t="shared" si="47"/>
        <v>0</v>
      </c>
      <c r="BN50" s="431">
        <f t="shared" si="47"/>
        <v>0</v>
      </c>
      <c r="BO50" s="431">
        <f t="shared" si="47"/>
        <v>-5.7960000000000185E-2</v>
      </c>
      <c r="BP50" s="431">
        <f t="shared" si="47"/>
        <v>0</v>
      </c>
      <c r="BQ50" s="436">
        <f t="shared" si="48"/>
        <v>-0.63756000000000224</v>
      </c>
      <c r="BR50" s="392"/>
      <c r="BS50" s="382"/>
      <c r="BX50" s="561"/>
      <c r="BY50" s="561"/>
      <c r="CA50" s="302"/>
      <c r="CB50" s="302"/>
      <c r="CC50" s="302"/>
      <c r="CD50" s="302"/>
      <c r="CE50" s="302"/>
      <c r="CF50" s="302"/>
      <c r="CG50" s="408"/>
      <c r="CH50" s="409"/>
      <c r="CJ50" s="442"/>
      <c r="CK50" s="431"/>
      <c r="CL50" s="431"/>
      <c r="CM50" s="431"/>
      <c r="CN50" s="431"/>
      <c r="CO50" s="431"/>
      <c r="CP50" s="426"/>
      <c r="CR50" s="412"/>
      <c r="CT50" s="453">
        <f t="shared" si="55"/>
        <v>-0.579600000000002</v>
      </c>
      <c r="CU50" s="453">
        <f t="shared" si="55"/>
        <v>0</v>
      </c>
      <c r="CV50" s="453">
        <f t="shared" si="55"/>
        <v>0</v>
      </c>
      <c r="CW50" s="453">
        <f t="shared" si="55"/>
        <v>0</v>
      </c>
      <c r="CX50" s="453">
        <f t="shared" si="55"/>
        <v>-5.7960000000000185E-2</v>
      </c>
      <c r="CY50" s="453">
        <f t="shared" si="55"/>
        <v>0</v>
      </c>
      <c r="CZ50" s="448">
        <f t="shared" si="56"/>
        <v>-0.63756000000000224</v>
      </c>
      <c r="DA50" s="413"/>
    </row>
    <row r="51" spans="1:105" s="400" customFormat="1">
      <c r="A51" s="388"/>
      <c r="B51" s="386" t="str">
        <f>'[50]Productwise sales'!A48</f>
        <v>Hear acid</v>
      </c>
      <c r="C51" s="397">
        <f>'[50]Productwise sales'!I48</f>
        <v>0</v>
      </c>
      <c r="D51" s="397">
        <f>'[50]Productwise sales'!J48</f>
        <v>0</v>
      </c>
      <c r="E51" s="397"/>
      <c r="F51" s="387"/>
      <c r="G51" s="388"/>
      <c r="I51" s="387"/>
      <c r="J51" s="387"/>
      <c r="L51" s="387"/>
      <c r="M51" s="388"/>
      <c r="N51" s="388"/>
      <c r="O51" s="487"/>
      <c r="S51" s="397">
        <f>[50]Domestic!J48</f>
        <v>0</v>
      </c>
      <c r="T51" s="397">
        <f>[50]Europe!B48</f>
        <v>0</v>
      </c>
      <c r="U51" s="397">
        <f>'[50]Asia-Pacific'!B48</f>
        <v>0</v>
      </c>
      <c r="V51" s="397">
        <f>'[50]Rest of world'!B48</f>
        <v>0</v>
      </c>
      <c r="W51" s="397">
        <f>'[50]North America'!B48</f>
        <v>0</v>
      </c>
      <c r="X51" s="397">
        <f>'[50]Latin America'!B48</f>
        <v>0</v>
      </c>
      <c r="Z51" s="397">
        <f>[50]Domestic!K48</f>
        <v>0</v>
      </c>
      <c r="AA51" s="397">
        <f>[50]Europe!C48</f>
        <v>0</v>
      </c>
      <c r="AB51" s="397">
        <f>'[50]Asia-Pacific'!C48</f>
        <v>0</v>
      </c>
      <c r="AC51" s="397">
        <f>'[50]Rest of world'!C48</f>
        <v>0</v>
      </c>
      <c r="AD51" s="397">
        <f>'[50]North America'!C48</f>
        <v>0</v>
      </c>
      <c r="AE51" s="397">
        <f>'[50]Latin America'!C48</f>
        <v>0</v>
      </c>
      <c r="AF51" s="388"/>
      <c r="AG51" s="387">
        <f t="shared" si="12"/>
        <v>0</v>
      </c>
      <c r="AH51" s="387">
        <f t="shared" si="12"/>
        <v>0</v>
      </c>
      <c r="AI51" s="387">
        <f t="shared" si="12"/>
        <v>0</v>
      </c>
      <c r="AJ51" s="387">
        <f t="shared" si="12"/>
        <v>0</v>
      </c>
      <c r="AK51" s="387">
        <f t="shared" si="12"/>
        <v>0</v>
      </c>
      <c r="AL51" s="387">
        <f t="shared" si="12"/>
        <v>0</v>
      </c>
      <c r="AM51" s="388"/>
      <c r="AN51" s="387">
        <f t="shared" si="7"/>
        <v>0</v>
      </c>
      <c r="AO51" s="387">
        <f t="shared" si="2"/>
        <v>0</v>
      </c>
      <c r="AP51" s="387">
        <f t="shared" si="2"/>
        <v>0</v>
      </c>
      <c r="AQ51" s="387">
        <f t="shared" si="2"/>
        <v>0</v>
      </c>
      <c r="AR51" s="387">
        <f t="shared" si="2"/>
        <v>0</v>
      </c>
      <c r="AS51" s="387">
        <f t="shared" si="2"/>
        <v>0</v>
      </c>
      <c r="AT51" s="405"/>
      <c r="AU51" s="387"/>
      <c r="AV51" s="387"/>
      <c r="AW51" s="387"/>
      <c r="AX51" s="387"/>
      <c r="AY51" s="387"/>
      <c r="AZ51" s="387"/>
      <c r="BB51" s="387"/>
      <c r="BC51" s="387"/>
      <c r="BD51" s="387"/>
      <c r="BE51" s="387"/>
      <c r="BF51" s="387"/>
      <c r="BG51" s="387"/>
      <c r="BH51" s="406"/>
      <c r="BI51" s="406"/>
      <c r="BK51" s="431">
        <f t="shared" si="47"/>
        <v>0</v>
      </c>
      <c r="BL51" s="431">
        <f t="shared" si="47"/>
        <v>0</v>
      </c>
      <c r="BM51" s="431">
        <f t="shared" si="47"/>
        <v>0</v>
      </c>
      <c r="BN51" s="431">
        <f t="shared" si="47"/>
        <v>0</v>
      </c>
      <c r="BO51" s="431">
        <f t="shared" si="47"/>
        <v>0</v>
      </c>
      <c r="BP51" s="431">
        <f t="shared" si="47"/>
        <v>0</v>
      </c>
      <c r="BQ51" s="436">
        <f t="shared" si="48"/>
        <v>0</v>
      </c>
      <c r="BR51" s="392"/>
      <c r="BS51" s="392"/>
      <c r="BX51" s="561"/>
      <c r="BY51" s="561"/>
      <c r="CA51" s="381">
        <f>IF(Z51=0,0,Z51-$O$51)</f>
        <v>0</v>
      </c>
      <c r="CB51" s="381">
        <f t="shared" ref="CB51:CF51" si="80">IF(AA51=0,0,AA51-$O$51)</f>
        <v>0</v>
      </c>
      <c r="CC51" s="381">
        <f t="shared" si="80"/>
        <v>0</v>
      </c>
      <c r="CD51" s="381">
        <f t="shared" si="80"/>
        <v>0</v>
      </c>
      <c r="CE51" s="381">
        <f t="shared" si="80"/>
        <v>0</v>
      </c>
      <c r="CF51" s="381">
        <f t="shared" si="80"/>
        <v>0</v>
      </c>
      <c r="CG51" s="406"/>
      <c r="CH51" s="406"/>
      <c r="CJ51" s="440">
        <f t="shared" ref="CJ51:CO56" si="81">S51*CA51*$A$2/10^7</f>
        <v>0</v>
      </c>
      <c r="CK51" s="425">
        <f t="shared" si="81"/>
        <v>0</v>
      </c>
      <c r="CL51" s="425">
        <f t="shared" si="81"/>
        <v>0</v>
      </c>
      <c r="CM51" s="425">
        <f t="shared" si="81"/>
        <v>0</v>
      </c>
      <c r="CN51" s="425">
        <f t="shared" si="81"/>
        <v>0</v>
      </c>
      <c r="CO51" s="425">
        <f t="shared" si="81"/>
        <v>0</v>
      </c>
      <c r="CP51" s="426">
        <f t="shared" ref="CP51:CP56" si="82">SUM(CJ51:CO51)</f>
        <v>0</v>
      </c>
      <c r="CR51" s="412"/>
      <c r="CT51" s="447">
        <f t="shared" si="55"/>
        <v>0</v>
      </c>
      <c r="CU51" s="447">
        <f t="shared" si="55"/>
        <v>0</v>
      </c>
      <c r="CV51" s="447">
        <f t="shared" si="55"/>
        <v>0</v>
      </c>
      <c r="CW51" s="447">
        <f t="shared" si="55"/>
        <v>0</v>
      </c>
      <c r="CX51" s="447">
        <f t="shared" si="55"/>
        <v>0</v>
      </c>
      <c r="CY51" s="447">
        <f t="shared" si="55"/>
        <v>0</v>
      </c>
      <c r="CZ51" s="448">
        <f t="shared" si="56"/>
        <v>0</v>
      </c>
    </row>
    <row r="52" spans="1:105" s="400" customFormat="1">
      <c r="A52" s="388"/>
      <c r="B52" s="386" t="str">
        <f>'[50]Productwise sales'!A49</f>
        <v>UTSR special</v>
      </c>
      <c r="C52" s="397">
        <f>'[50]Productwise sales'!I49</f>
        <v>0</v>
      </c>
      <c r="D52" s="397">
        <f>'[50]Productwise sales'!J49</f>
        <v>0</v>
      </c>
      <c r="E52" s="397"/>
      <c r="F52" s="387"/>
      <c r="G52" s="388"/>
      <c r="I52" s="387"/>
      <c r="J52" s="387"/>
      <c r="L52" s="387"/>
      <c r="M52" s="388"/>
      <c r="N52" s="388"/>
      <c r="O52" s="487"/>
      <c r="S52" s="397">
        <f>[50]Domestic!J49</f>
        <v>0</v>
      </c>
      <c r="T52" s="397">
        <f>[50]Europe!B49</f>
        <v>0</v>
      </c>
      <c r="U52" s="397">
        <f>'[50]Asia-Pacific'!B49</f>
        <v>0</v>
      </c>
      <c r="V52" s="397">
        <f>'[50]Rest of world'!B49</f>
        <v>0</v>
      </c>
      <c r="W52" s="397">
        <f>'[50]North America'!B49</f>
        <v>0</v>
      </c>
      <c r="X52" s="397">
        <f>'[50]Latin America'!B49</f>
        <v>0</v>
      </c>
      <c r="Z52" s="397">
        <f>[50]Domestic!K49</f>
        <v>0</v>
      </c>
      <c r="AA52" s="397">
        <f>[50]Europe!C49</f>
        <v>0</v>
      </c>
      <c r="AB52" s="397">
        <f>'[50]Asia-Pacific'!C49</f>
        <v>0</v>
      </c>
      <c r="AC52" s="397">
        <f>'[50]Rest of world'!C49</f>
        <v>0</v>
      </c>
      <c r="AD52" s="397">
        <f>'[50]North America'!C49</f>
        <v>0</v>
      </c>
      <c r="AE52" s="397">
        <f>'[50]Latin America'!C49</f>
        <v>0</v>
      </c>
      <c r="AF52" s="388"/>
      <c r="AG52" s="387">
        <f t="shared" si="12"/>
        <v>0</v>
      </c>
      <c r="AH52" s="387">
        <f t="shared" si="12"/>
        <v>0</v>
      </c>
      <c r="AI52" s="387">
        <f t="shared" si="12"/>
        <v>0</v>
      </c>
      <c r="AJ52" s="387">
        <f t="shared" si="12"/>
        <v>0</v>
      </c>
      <c r="AK52" s="387">
        <f t="shared" si="12"/>
        <v>0</v>
      </c>
      <c r="AL52" s="387">
        <f t="shared" si="12"/>
        <v>0</v>
      </c>
      <c r="AM52" s="388"/>
      <c r="AN52" s="387">
        <f t="shared" si="7"/>
        <v>0</v>
      </c>
      <c r="AO52" s="387">
        <f t="shared" si="2"/>
        <v>0</v>
      </c>
      <c r="AP52" s="387">
        <f t="shared" si="2"/>
        <v>0</v>
      </c>
      <c r="AQ52" s="387">
        <f t="shared" si="2"/>
        <v>0</v>
      </c>
      <c r="AR52" s="387">
        <f t="shared" si="2"/>
        <v>0</v>
      </c>
      <c r="AS52" s="387">
        <f t="shared" si="2"/>
        <v>0</v>
      </c>
      <c r="AT52" s="405"/>
      <c r="AU52" s="387"/>
      <c r="AV52" s="387"/>
      <c r="AW52" s="387"/>
      <c r="AX52" s="387"/>
      <c r="AY52" s="387"/>
      <c r="AZ52" s="387"/>
      <c r="BB52" s="387"/>
      <c r="BC52" s="387"/>
      <c r="BD52" s="387"/>
      <c r="BE52" s="387"/>
      <c r="BF52" s="387"/>
      <c r="BG52" s="387"/>
      <c r="BH52" s="406"/>
      <c r="BI52" s="406"/>
      <c r="BK52" s="431">
        <f t="shared" si="47"/>
        <v>0</v>
      </c>
      <c r="BL52" s="431">
        <f t="shared" si="47"/>
        <v>0</v>
      </c>
      <c r="BM52" s="431">
        <f t="shared" si="47"/>
        <v>0</v>
      </c>
      <c r="BN52" s="431">
        <f t="shared" si="47"/>
        <v>0</v>
      </c>
      <c r="BO52" s="431">
        <f t="shared" si="47"/>
        <v>0</v>
      </c>
      <c r="BP52" s="431">
        <f t="shared" si="47"/>
        <v>0</v>
      </c>
      <c r="BQ52" s="436">
        <f t="shared" si="48"/>
        <v>0</v>
      </c>
      <c r="BR52" s="392"/>
      <c r="BS52" s="392"/>
      <c r="BX52" s="561"/>
      <c r="BY52" s="561"/>
      <c r="CA52" s="381">
        <f>IF(Z52=0,0,Z52-$O$52)</f>
        <v>0</v>
      </c>
      <c r="CB52" s="381">
        <f t="shared" ref="CB52:CF52" si="83">IF(AA52=0,0,AA52-$O$52)</f>
        <v>0</v>
      </c>
      <c r="CC52" s="381">
        <f t="shared" si="83"/>
        <v>0</v>
      </c>
      <c r="CD52" s="381">
        <f t="shared" si="83"/>
        <v>0</v>
      </c>
      <c r="CE52" s="381">
        <f t="shared" si="83"/>
        <v>0</v>
      </c>
      <c r="CF52" s="381">
        <f t="shared" si="83"/>
        <v>0</v>
      </c>
      <c r="CG52" s="406"/>
      <c r="CH52" s="406"/>
      <c r="CJ52" s="440">
        <f t="shared" si="81"/>
        <v>0</v>
      </c>
      <c r="CK52" s="425">
        <f t="shared" si="81"/>
        <v>0</v>
      </c>
      <c r="CL52" s="425">
        <f t="shared" si="81"/>
        <v>0</v>
      </c>
      <c r="CM52" s="425">
        <f t="shared" si="81"/>
        <v>0</v>
      </c>
      <c r="CN52" s="425">
        <f t="shared" si="81"/>
        <v>0</v>
      </c>
      <c r="CO52" s="425">
        <f t="shared" si="81"/>
        <v>0</v>
      </c>
      <c r="CP52" s="426">
        <f t="shared" si="82"/>
        <v>0</v>
      </c>
      <c r="CR52" s="412"/>
      <c r="CT52" s="447">
        <f t="shared" si="55"/>
        <v>0</v>
      </c>
      <c r="CU52" s="447">
        <f t="shared" si="55"/>
        <v>0</v>
      </c>
      <c r="CV52" s="447">
        <f t="shared" si="55"/>
        <v>0</v>
      </c>
      <c r="CW52" s="447">
        <f t="shared" si="55"/>
        <v>0</v>
      </c>
      <c r="CX52" s="447">
        <f t="shared" si="55"/>
        <v>0</v>
      </c>
      <c r="CY52" s="447">
        <f t="shared" si="55"/>
        <v>0</v>
      </c>
      <c r="CZ52" s="448">
        <f t="shared" si="56"/>
        <v>0</v>
      </c>
    </row>
    <row r="53" spans="1:105" s="400" customFormat="1">
      <c r="A53" s="388"/>
      <c r="B53" s="386" t="str">
        <f>'[50]Productwise sales'!A50</f>
        <v>Mixed DFA -IV 34</v>
      </c>
      <c r="C53" s="397">
        <f>'[50]Productwise sales'!I50</f>
        <v>0</v>
      </c>
      <c r="D53" s="397">
        <f>'[50]Productwise sales'!J50</f>
        <v>0</v>
      </c>
      <c r="E53" s="397"/>
      <c r="F53" s="387"/>
      <c r="G53" s="388"/>
      <c r="I53" s="387"/>
      <c r="J53" s="387"/>
      <c r="L53" s="387"/>
      <c r="M53" s="388"/>
      <c r="N53" s="388"/>
      <c r="O53" s="487"/>
      <c r="S53" s="397">
        <f>[50]Domestic!J50</f>
        <v>0</v>
      </c>
      <c r="T53" s="397">
        <f>[50]Europe!B50</f>
        <v>0</v>
      </c>
      <c r="U53" s="397">
        <f>'[50]Asia-Pacific'!B50</f>
        <v>0</v>
      </c>
      <c r="V53" s="397">
        <f>'[50]Rest of world'!B50</f>
        <v>0</v>
      </c>
      <c r="W53" s="397">
        <f>'[50]North America'!B50</f>
        <v>0</v>
      </c>
      <c r="X53" s="397">
        <f>'[50]Latin America'!B50</f>
        <v>0</v>
      </c>
      <c r="Z53" s="397">
        <f>[50]Domestic!K50</f>
        <v>0</v>
      </c>
      <c r="AA53" s="397">
        <f>[50]Europe!C50</f>
        <v>0</v>
      </c>
      <c r="AB53" s="397">
        <f>'[50]Asia-Pacific'!C50</f>
        <v>0</v>
      </c>
      <c r="AC53" s="397">
        <f>'[50]Rest of world'!C50</f>
        <v>0</v>
      </c>
      <c r="AD53" s="397">
        <f>'[50]North America'!C50</f>
        <v>0</v>
      </c>
      <c r="AE53" s="397">
        <f>'[50]Latin America'!C50</f>
        <v>0</v>
      </c>
      <c r="AF53" s="388"/>
      <c r="AG53" s="387">
        <f t="shared" si="12"/>
        <v>0</v>
      </c>
      <c r="AH53" s="387">
        <f t="shared" si="12"/>
        <v>0</v>
      </c>
      <c r="AI53" s="387">
        <f t="shared" si="12"/>
        <v>0</v>
      </c>
      <c r="AJ53" s="387">
        <f t="shared" si="12"/>
        <v>0</v>
      </c>
      <c r="AK53" s="387">
        <f t="shared" si="12"/>
        <v>0</v>
      </c>
      <c r="AL53" s="387">
        <f t="shared" si="12"/>
        <v>0</v>
      </c>
      <c r="AM53" s="388"/>
      <c r="AN53" s="387">
        <f t="shared" si="7"/>
        <v>0</v>
      </c>
      <c r="AO53" s="387">
        <f t="shared" si="2"/>
        <v>0</v>
      </c>
      <c r="AP53" s="387">
        <f t="shared" si="2"/>
        <v>0</v>
      </c>
      <c r="AQ53" s="387">
        <f t="shared" si="2"/>
        <v>0</v>
      </c>
      <c r="AR53" s="387">
        <f t="shared" si="2"/>
        <v>0</v>
      </c>
      <c r="AS53" s="387">
        <f t="shared" si="2"/>
        <v>0</v>
      </c>
      <c r="AT53" s="405"/>
      <c r="AU53" s="387"/>
      <c r="AV53" s="387"/>
      <c r="AW53" s="387"/>
      <c r="AX53" s="387"/>
      <c r="AY53" s="387"/>
      <c r="AZ53" s="387"/>
      <c r="BB53" s="387"/>
      <c r="BC53" s="387"/>
      <c r="BD53" s="387"/>
      <c r="BE53" s="387"/>
      <c r="BF53" s="387"/>
      <c r="BG53" s="387"/>
      <c r="BH53" s="406"/>
      <c r="BI53" s="406"/>
      <c r="BK53" s="431">
        <f t="shared" si="47"/>
        <v>0</v>
      </c>
      <c r="BL53" s="431">
        <f t="shared" si="47"/>
        <v>0</v>
      </c>
      <c r="BM53" s="431">
        <f t="shared" si="47"/>
        <v>0</v>
      </c>
      <c r="BN53" s="431">
        <f t="shared" si="47"/>
        <v>0</v>
      </c>
      <c r="BO53" s="431">
        <f t="shared" si="47"/>
        <v>0</v>
      </c>
      <c r="BP53" s="431">
        <f t="shared" si="47"/>
        <v>0</v>
      </c>
      <c r="BQ53" s="436">
        <f t="shared" si="48"/>
        <v>0</v>
      </c>
      <c r="BR53" s="392"/>
      <c r="BS53" s="392"/>
      <c r="BX53" s="561"/>
      <c r="BY53" s="561"/>
      <c r="CA53" s="381">
        <f>IF(Z53=0,0,Z53-$O$53)</f>
        <v>0</v>
      </c>
      <c r="CB53" s="381">
        <f t="shared" ref="CB53:CF53" si="84">IF(AA53=0,0,AA53-$O$53)</f>
        <v>0</v>
      </c>
      <c r="CC53" s="381">
        <f t="shared" si="84"/>
        <v>0</v>
      </c>
      <c r="CD53" s="381">
        <f t="shared" si="84"/>
        <v>0</v>
      </c>
      <c r="CE53" s="381">
        <f t="shared" si="84"/>
        <v>0</v>
      </c>
      <c r="CF53" s="381">
        <f t="shared" si="84"/>
        <v>0</v>
      </c>
      <c r="CG53" s="406"/>
      <c r="CH53" s="406"/>
      <c r="CJ53" s="440">
        <f t="shared" si="81"/>
        <v>0</v>
      </c>
      <c r="CK53" s="425">
        <f t="shared" si="81"/>
        <v>0</v>
      </c>
      <c r="CL53" s="425">
        <f t="shared" si="81"/>
        <v>0</v>
      </c>
      <c r="CM53" s="425">
        <f t="shared" si="81"/>
        <v>0</v>
      </c>
      <c r="CN53" s="425">
        <f t="shared" si="81"/>
        <v>0</v>
      </c>
      <c r="CO53" s="425">
        <f t="shared" si="81"/>
        <v>0</v>
      </c>
      <c r="CP53" s="426">
        <f t="shared" si="82"/>
        <v>0</v>
      </c>
      <c r="CR53" s="412"/>
      <c r="CT53" s="447">
        <f t="shared" si="55"/>
        <v>0</v>
      </c>
      <c r="CU53" s="447">
        <f t="shared" si="55"/>
        <v>0</v>
      </c>
      <c r="CV53" s="447">
        <f t="shared" si="55"/>
        <v>0</v>
      </c>
      <c r="CW53" s="447">
        <f t="shared" si="55"/>
        <v>0</v>
      </c>
      <c r="CX53" s="447">
        <f t="shared" si="55"/>
        <v>0</v>
      </c>
      <c r="CY53" s="447">
        <f t="shared" si="55"/>
        <v>0</v>
      </c>
      <c r="CZ53" s="448">
        <f t="shared" si="56"/>
        <v>0</v>
      </c>
    </row>
    <row r="54" spans="1:105" s="400" customFormat="1">
      <c r="A54" s="388"/>
      <c r="B54" s="386" t="str">
        <f>'[50]Productwise sales'!A51</f>
        <v>Oleic -60</v>
      </c>
      <c r="C54" s="397">
        <f>'[50]Productwise sales'!I51</f>
        <v>1200</v>
      </c>
      <c r="D54" s="397">
        <f>'[50]Productwise sales'!J51</f>
        <v>640.00000000000023</v>
      </c>
      <c r="E54" s="397"/>
      <c r="F54" s="387"/>
      <c r="G54" s="388"/>
      <c r="I54" s="387"/>
      <c r="J54" s="387"/>
      <c r="L54" s="387">
        <f>865</f>
        <v>865</v>
      </c>
      <c r="M54" s="380">
        <f>1</f>
        <v>1</v>
      </c>
      <c r="N54" s="381">
        <f>L54/M54</f>
        <v>865</v>
      </c>
      <c r="O54" s="485">
        <f>N54/$A$2</f>
        <v>12.357142857142858</v>
      </c>
      <c r="S54" s="397">
        <f>[50]Domestic!J51</f>
        <v>0</v>
      </c>
      <c r="T54" s="397">
        <f>[50]Europe!B51</f>
        <v>0</v>
      </c>
      <c r="U54" s="397">
        <f>'[50]Asia-Pacific'!B51</f>
        <v>1200</v>
      </c>
      <c r="V54" s="397">
        <f>'[50]Rest of world'!B51</f>
        <v>0</v>
      </c>
      <c r="W54" s="397">
        <f>'[50]North America'!B51</f>
        <v>0</v>
      </c>
      <c r="X54" s="397">
        <f>'[50]Latin America'!B51</f>
        <v>0</v>
      </c>
      <c r="Z54" s="397">
        <f>[50]Domestic!K51</f>
        <v>0</v>
      </c>
      <c r="AA54" s="397">
        <f>[50]Europe!C51</f>
        <v>0</v>
      </c>
      <c r="AB54" s="397">
        <f>'[50]Asia-Pacific'!C51</f>
        <v>640.00000000000023</v>
      </c>
      <c r="AC54" s="397">
        <f>'[50]Rest of world'!C51</f>
        <v>0</v>
      </c>
      <c r="AD54" s="397">
        <f>'[50]North America'!C51</f>
        <v>0</v>
      </c>
      <c r="AE54" s="397">
        <f>'[50]Latin America'!C51</f>
        <v>0</v>
      </c>
      <c r="AF54" s="388"/>
      <c r="AG54" s="387">
        <f t="shared" si="12"/>
        <v>0</v>
      </c>
      <c r="AH54" s="387">
        <f t="shared" si="12"/>
        <v>0</v>
      </c>
      <c r="AI54" s="387">
        <f t="shared" si="12"/>
        <v>0.76800000000000024</v>
      </c>
      <c r="AJ54" s="387">
        <f t="shared" si="12"/>
        <v>0</v>
      </c>
      <c r="AK54" s="387">
        <f t="shared" si="12"/>
        <v>0</v>
      </c>
      <c r="AL54" s="387">
        <f t="shared" si="12"/>
        <v>0</v>
      </c>
      <c r="AM54" s="388"/>
      <c r="AN54" s="387">
        <f t="shared" si="7"/>
        <v>0</v>
      </c>
      <c r="AO54" s="387">
        <f t="shared" si="2"/>
        <v>0</v>
      </c>
      <c r="AP54" s="387">
        <f t="shared" si="2"/>
        <v>5.3760000000000021</v>
      </c>
      <c r="AQ54" s="387">
        <f t="shared" si="2"/>
        <v>0</v>
      </c>
      <c r="AR54" s="387">
        <f t="shared" si="2"/>
        <v>0</v>
      </c>
      <c r="AS54" s="387">
        <f t="shared" si="2"/>
        <v>0</v>
      </c>
      <c r="AT54" s="405"/>
      <c r="AU54" s="387"/>
      <c r="AV54" s="387"/>
      <c r="AW54" s="387"/>
      <c r="AX54" s="387"/>
      <c r="AY54" s="387"/>
      <c r="AZ54" s="387"/>
      <c r="BB54" s="387"/>
      <c r="BC54" s="387"/>
      <c r="BD54" s="387"/>
      <c r="BE54" s="387"/>
      <c r="BF54" s="387"/>
      <c r="BG54" s="387"/>
      <c r="BH54" s="406"/>
      <c r="BI54" s="406"/>
      <c r="BK54" s="431">
        <f t="shared" si="47"/>
        <v>0</v>
      </c>
      <c r="BL54" s="431">
        <f t="shared" si="47"/>
        <v>0</v>
      </c>
      <c r="BM54" s="431">
        <f t="shared" si="47"/>
        <v>0</v>
      </c>
      <c r="BN54" s="431">
        <f t="shared" si="47"/>
        <v>0</v>
      </c>
      <c r="BO54" s="431">
        <f t="shared" si="47"/>
        <v>0</v>
      </c>
      <c r="BP54" s="431">
        <f t="shared" si="47"/>
        <v>0</v>
      </c>
      <c r="BQ54" s="436">
        <f t="shared" si="48"/>
        <v>0</v>
      </c>
      <c r="BR54" s="392"/>
      <c r="BS54" s="392"/>
      <c r="BX54" s="561"/>
      <c r="BY54" s="561"/>
      <c r="CA54" s="381">
        <f>IF(Z54=0,0,Z54-$O$54)</f>
        <v>0</v>
      </c>
      <c r="CB54" s="381">
        <f t="shared" ref="CB54:CF54" si="85">IF(AA54=0,0,AA54-$O$54)</f>
        <v>0</v>
      </c>
      <c r="CC54" s="381">
        <f t="shared" si="85"/>
        <v>627.64285714285734</v>
      </c>
      <c r="CD54" s="381">
        <f t="shared" si="85"/>
        <v>0</v>
      </c>
      <c r="CE54" s="381">
        <f t="shared" si="85"/>
        <v>0</v>
      </c>
      <c r="CF54" s="381">
        <f t="shared" si="85"/>
        <v>0</v>
      </c>
      <c r="CG54" s="406"/>
      <c r="CH54" s="406"/>
      <c r="CJ54" s="440">
        <f t="shared" si="81"/>
        <v>0</v>
      </c>
      <c r="CK54" s="425">
        <f t="shared" si="81"/>
        <v>0</v>
      </c>
      <c r="CL54" s="425">
        <f t="shared" si="81"/>
        <v>5.2722000000000016</v>
      </c>
      <c r="CM54" s="425">
        <f t="shared" si="81"/>
        <v>0</v>
      </c>
      <c r="CN54" s="425">
        <f t="shared" si="81"/>
        <v>0</v>
      </c>
      <c r="CO54" s="425">
        <f t="shared" si="81"/>
        <v>0</v>
      </c>
      <c r="CP54" s="426">
        <f t="shared" si="82"/>
        <v>5.2722000000000016</v>
      </c>
      <c r="CR54" s="412"/>
      <c r="CT54" s="447">
        <f t="shared" si="55"/>
        <v>0</v>
      </c>
      <c r="CU54" s="447">
        <f t="shared" si="55"/>
        <v>0</v>
      </c>
      <c r="CV54" s="447">
        <f t="shared" si="55"/>
        <v>5.2722000000000016</v>
      </c>
      <c r="CW54" s="447">
        <f t="shared" si="55"/>
        <v>0</v>
      </c>
      <c r="CX54" s="447">
        <f t="shared" si="55"/>
        <v>0</v>
      </c>
      <c r="CY54" s="447">
        <f t="shared" si="55"/>
        <v>0</v>
      </c>
      <c r="CZ54" s="448">
        <f t="shared" si="56"/>
        <v>5.2722000000000016</v>
      </c>
      <c r="DA54" s="413"/>
    </row>
    <row r="55" spans="1:105">
      <c r="A55" s="366"/>
      <c r="B55" s="365" t="str">
        <f>'[50]Productwise sales'!A52</f>
        <v>New Products</v>
      </c>
      <c r="C55" s="395">
        <f>'[50]Productwise sales'!I52</f>
        <v>0</v>
      </c>
      <c r="D55" s="395">
        <f>'[50]Productwise sales'!J52</f>
        <v>0</v>
      </c>
      <c r="E55" s="395"/>
      <c r="F55" s="381"/>
      <c r="G55" s="366"/>
      <c r="I55" s="381"/>
      <c r="J55" s="381"/>
      <c r="L55" s="381"/>
      <c r="M55" s="366"/>
      <c r="N55" s="366"/>
      <c r="O55" s="488"/>
      <c r="S55" s="395">
        <f>[50]Domestic!J52</f>
        <v>0</v>
      </c>
      <c r="T55" s="395">
        <f>[50]Europe!B52</f>
        <v>0</v>
      </c>
      <c r="U55" s="395">
        <f>'[50]Asia-Pacific'!B52</f>
        <v>0</v>
      </c>
      <c r="V55" s="395">
        <f>'[50]Rest of world'!B52</f>
        <v>0</v>
      </c>
      <c r="W55" s="395">
        <f>'[50]North America'!B52</f>
        <v>0</v>
      </c>
      <c r="X55" s="395">
        <f>'[50]Latin America'!B52</f>
        <v>0</v>
      </c>
      <c r="Z55" s="395">
        <f>[50]Domestic!K52</f>
        <v>0</v>
      </c>
      <c r="AA55" s="395">
        <f>[50]Europe!C52</f>
        <v>0</v>
      </c>
      <c r="AB55" s="395">
        <f>'[50]Asia-Pacific'!C52</f>
        <v>0</v>
      </c>
      <c r="AC55" s="395">
        <f>'[50]Rest of world'!C52</f>
        <v>0</v>
      </c>
      <c r="AD55" s="395">
        <f>'[50]North America'!C52</f>
        <v>0</v>
      </c>
      <c r="AE55" s="395">
        <f>'[50]Latin America'!C52</f>
        <v>0</v>
      </c>
      <c r="AF55" s="366"/>
      <c r="AG55" s="381">
        <f t="shared" si="12"/>
        <v>0</v>
      </c>
      <c r="AH55" s="381">
        <f t="shared" si="12"/>
        <v>0</v>
      </c>
      <c r="AI55" s="381">
        <f t="shared" si="12"/>
        <v>0</v>
      </c>
      <c r="AJ55" s="381">
        <f t="shared" si="12"/>
        <v>0</v>
      </c>
      <c r="AK55" s="381">
        <f t="shared" si="12"/>
        <v>0</v>
      </c>
      <c r="AL55" s="381">
        <f t="shared" si="12"/>
        <v>0</v>
      </c>
      <c r="AM55" s="366"/>
      <c r="AN55" s="381">
        <f t="shared" si="7"/>
        <v>0</v>
      </c>
      <c r="AO55" s="381">
        <f t="shared" si="2"/>
        <v>0</v>
      </c>
      <c r="AP55" s="381">
        <f t="shared" si="2"/>
        <v>0</v>
      </c>
      <c r="AQ55" s="381">
        <f t="shared" si="2"/>
        <v>0</v>
      </c>
      <c r="AR55" s="381">
        <f t="shared" si="2"/>
        <v>0</v>
      </c>
      <c r="AS55" s="381">
        <f t="shared" si="2"/>
        <v>0</v>
      </c>
      <c r="AT55" s="404"/>
      <c r="AU55" s="381"/>
      <c r="AV55" s="381"/>
      <c r="AW55" s="381"/>
      <c r="AX55" s="381"/>
      <c r="AY55" s="381"/>
      <c r="AZ55" s="381"/>
      <c r="BB55" s="381"/>
      <c r="BC55" s="381"/>
      <c r="BD55" s="381"/>
      <c r="BE55" s="381"/>
      <c r="BF55" s="381"/>
      <c r="BG55" s="381"/>
      <c r="BK55" s="425">
        <f t="shared" si="47"/>
        <v>0</v>
      </c>
      <c r="BL55" s="425">
        <f t="shared" si="47"/>
        <v>0</v>
      </c>
      <c r="BM55" s="425">
        <f t="shared" si="47"/>
        <v>0</v>
      </c>
      <c r="BN55" s="425">
        <f t="shared" si="47"/>
        <v>0</v>
      </c>
      <c r="BO55" s="425">
        <f t="shared" si="47"/>
        <v>0</v>
      </c>
      <c r="BP55" s="425">
        <f t="shared" si="47"/>
        <v>0</v>
      </c>
      <c r="BQ55" s="436">
        <f t="shared" si="48"/>
        <v>0</v>
      </c>
      <c r="BX55" s="561"/>
      <c r="BY55" s="561"/>
      <c r="CA55" s="381">
        <f>IF(Z55=0,0,Z55-$O$55)</f>
        <v>0</v>
      </c>
      <c r="CB55" s="381">
        <f t="shared" ref="CB55:CF55" si="86">IF(AA55=0,0,AA55-$O$55)</f>
        <v>0</v>
      </c>
      <c r="CC55" s="381">
        <f t="shared" si="86"/>
        <v>0</v>
      </c>
      <c r="CD55" s="381">
        <f t="shared" si="86"/>
        <v>0</v>
      </c>
      <c r="CE55" s="381">
        <f t="shared" si="86"/>
        <v>0</v>
      </c>
      <c r="CF55" s="381">
        <f t="shared" si="86"/>
        <v>0</v>
      </c>
      <c r="CJ55" s="440">
        <f t="shared" si="81"/>
        <v>0</v>
      </c>
      <c r="CK55" s="425">
        <f t="shared" si="81"/>
        <v>0</v>
      </c>
      <c r="CL55" s="425">
        <f t="shared" si="81"/>
        <v>0</v>
      </c>
      <c r="CM55" s="425">
        <f t="shared" si="81"/>
        <v>0</v>
      </c>
      <c r="CN55" s="425">
        <f t="shared" si="81"/>
        <v>0</v>
      </c>
      <c r="CO55" s="425">
        <f t="shared" si="81"/>
        <v>0</v>
      </c>
      <c r="CP55" s="426">
        <f t="shared" si="82"/>
        <v>0</v>
      </c>
      <c r="CT55" s="447">
        <f t="shared" si="55"/>
        <v>0</v>
      </c>
      <c r="CU55" s="447">
        <f t="shared" si="55"/>
        <v>0</v>
      </c>
      <c r="CV55" s="447">
        <f t="shared" si="55"/>
        <v>0</v>
      </c>
      <c r="CW55" s="447">
        <f t="shared" si="55"/>
        <v>0</v>
      </c>
      <c r="CX55" s="447">
        <f t="shared" si="55"/>
        <v>0</v>
      </c>
      <c r="CY55" s="447">
        <f t="shared" si="55"/>
        <v>0</v>
      </c>
      <c r="CZ55" s="448">
        <f t="shared" si="56"/>
        <v>0</v>
      </c>
      <c r="DA55" s="413"/>
    </row>
    <row r="56" spans="1:105">
      <c r="A56" s="366"/>
      <c r="B56" s="386" t="str">
        <f>'[50]Productwise sales'!A53</f>
        <v>Palmitic Acid</v>
      </c>
      <c r="C56" s="395">
        <f>'[50]Productwise sales'!I53</f>
        <v>10684</v>
      </c>
      <c r="D56" s="395">
        <f>'[50]Productwise sales'!J53</f>
        <v>569.03776046393705</v>
      </c>
      <c r="E56" s="395"/>
      <c r="F56" s="381"/>
      <c r="G56" s="366"/>
      <c r="I56" s="381"/>
      <c r="J56" s="381"/>
      <c r="L56" s="381">
        <f>1288</f>
        <v>1288</v>
      </c>
      <c r="M56" s="380">
        <f>1</f>
        <v>1</v>
      </c>
      <c r="N56" s="381">
        <f>L56/M56</f>
        <v>1288</v>
      </c>
      <c r="O56" s="485">
        <f>N56/$A$2</f>
        <v>18.399999999999999</v>
      </c>
      <c r="S56" s="397">
        <f>[50]Domestic!J53</f>
        <v>1148</v>
      </c>
      <c r="T56" s="397">
        <f>[50]Europe!B53</f>
        <v>5636</v>
      </c>
      <c r="U56" s="397">
        <f>'[50]Asia-Pacific'!B53</f>
        <v>1200</v>
      </c>
      <c r="V56" s="397">
        <f>'[50]Rest of world'!B53</f>
        <v>200</v>
      </c>
      <c r="W56" s="397">
        <f>'[50]North America'!B53</f>
        <v>2400</v>
      </c>
      <c r="X56" s="397">
        <f>'[50]Latin America'!B53</f>
        <v>100</v>
      </c>
      <c r="Z56" s="397">
        <f>[50]Domestic!K53</f>
        <v>569.03781355297622</v>
      </c>
      <c r="AA56" s="397">
        <f>[50]Europe!C53</f>
        <v>569.03781355297633</v>
      </c>
      <c r="AB56" s="397">
        <f>'[50]Asia-Pacific'!C53</f>
        <v>569.03781355297633</v>
      </c>
      <c r="AC56" s="397">
        <f>'[50]Rest of world'!C53</f>
        <v>569.03781355297644</v>
      </c>
      <c r="AD56" s="397">
        <f>'[50]North America'!C53</f>
        <v>569.03781355297633</v>
      </c>
      <c r="AE56" s="397">
        <f>'[50]Latin America'!C53</f>
        <v>569.03214152003</v>
      </c>
      <c r="AF56" s="366"/>
      <c r="AG56" s="381">
        <f t="shared" si="12"/>
        <v>0.6532554099588167</v>
      </c>
      <c r="AH56" s="381">
        <f t="shared" si="12"/>
        <v>3.2070971171845746</v>
      </c>
      <c r="AI56" s="381">
        <f t="shared" si="12"/>
        <v>0.68284537626357156</v>
      </c>
      <c r="AJ56" s="381">
        <f t="shared" si="12"/>
        <v>0.11380756271059529</v>
      </c>
      <c r="AK56" s="381">
        <f t="shared" si="12"/>
        <v>1.3656907525271431</v>
      </c>
      <c r="AL56" s="381">
        <f t="shared" si="12"/>
        <v>5.6903214152003001E-2</v>
      </c>
      <c r="AM56" s="366"/>
      <c r="AN56" s="381">
        <f t="shared" si="7"/>
        <v>4.5727878697117168</v>
      </c>
      <c r="AO56" s="381">
        <f t="shared" si="2"/>
        <v>22.449679820292022</v>
      </c>
      <c r="AP56" s="381">
        <f t="shared" si="2"/>
        <v>4.7799176338450007</v>
      </c>
      <c r="AQ56" s="381">
        <f t="shared" si="2"/>
        <v>0.796652938974167</v>
      </c>
      <c r="AR56" s="381">
        <f t="shared" si="2"/>
        <v>9.5598352676900014</v>
      </c>
      <c r="AS56" s="381">
        <f t="shared" si="2"/>
        <v>0.39832249906402101</v>
      </c>
      <c r="AT56" s="404"/>
      <c r="AU56" s="381"/>
      <c r="AV56" s="381"/>
      <c r="AW56" s="381"/>
      <c r="AX56" s="381"/>
      <c r="AY56" s="381"/>
      <c r="AZ56" s="381"/>
      <c r="BB56" s="381"/>
      <c r="BC56" s="381"/>
      <c r="BD56" s="381"/>
      <c r="BE56" s="381"/>
      <c r="BF56" s="381"/>
      <c r="BG56" s="381"/>
      <c r="BK56" s="431">
        <f t="shared" si="47"/>
        <v>0</v>
      </c>
      <c r="BL56" s="431">
        <f t="shared" si="47"/>
        <v>0</v>
      </c>
      <c r="BM56" s="431">
        <f t="shared" si="47"/>
        <v>0</v>
      </c>
      <c r="BN56" s="431">
        <f t="shared" si="47"/>
        <v>0</v>
      </c>
      <c r="BO56" s="431">
        <f t="shared" si="47"/>
        <v>0</v>
      </c>
      <c r="BP56" s="431">
        <f t="shared" si="47"/>
        <v>0</v>
      </c>
      <c r="BQ56" s="436">
        <f t="shared" si="48"/>
        <v>0</v>
      </c>
      <c r="BX56" s="561"/>
      <c r="BY56" s="561"/>
      <c r="CA56" s="381">
        <f>IF(Z56=0,0,Z56-$O$56)</f>
        <v>550.63781355297624</v>
      </c>
      <c r="CB56" s="381">
        <f t="shared" ref="CB56:CF56" si="87">IF(AA56=0,0,AA56-$O$56)</f>
        <v>550.63781355297635</v>
      </c>
      <c r="CC56" s="381">
        <f t="shared" si="87"/>
        <v>550.63781355297635</v>
      </c>
      <c r="CD56" s="381">
        <f t="shared" si="87"/>
        <v>550.63781355297647</v>
      </c>
      <c r="CE56" s="381">
        <f t="shared" si="87"/>
        <v>550.63781355297635</v>
      </c>
      <c r="CF56" s="381">
        <f t="shared" si="87"/>
        <v>550.63214152003002</v>
      </c>
      <c r="CJ56" s="440">
        <f t="shared" si="81"/>
        <v>4.4249254697117175</v>
      </c>
      <c r="CK56" s="425">
        <f t="shared" si="81"/>
        <v>21.723763020292022</v>
      </c>
      <c r="CL56" s="425">
        <f t="shared" si="81"/>
        <v>4.6253576338450015</v>
      </c>
      <c r="CM56" s="425">
        <f t="shared" si="81"/>
        <v>0.770892938974167</v>
      </c>
      <c r="CN56" s="425">
        <f t="shared" si="81"/>
        <v>9.2507152676900031</v>
      </c>
      <c r="CO56" s="425">
        <f t="shared" si="81"/>
        <v>0.385442499064021</v>
      </c>
      <c r="CP56" s="426">
        <f t="shared" si="82"/>
        <v>41.18109682957693</v>
      </c>
      <c r="CT56" s="447">
        <f t="shared" si="55"/>
        <v>4.4249254697117175</v>
      </c>
      <c r="CU56" s="447">
        <f t="shared" si="55"/>
        <v>21.723763020292022</v>
      </c>
      <c r="CV56" s="447">
        <f t="shared" si="55"/>
        <v>4.6253576338450015</v>
      </c>
      <c r="CW56" s="447">
        <f t="shared" si="55"/>
        <v>0.770892938974167</v>
      </c>
      <c r="CX56" s="447">
        <f t="shared" si="55"/>
        <v>9.2507152676900031</v>
      </c>
      <c r="CY56" s="447">
        <f t="shared" si="55"/>
        <v>0.385442499064021</v>
      </c>
      <c r="CZ56" s="448">
        <f t="shared" si="56"/>
        <v>41.18109682957693</v>
      </c>
      <c r="DA56" s="413"/>
    </row>
    <row r="57" spans="1:105">
      <c r="B57" s="291" t="str">
        <f>'[50]Productwise sales'!A54</f>
        <v>Fatty Acids</v>
      </c>
      <c r="C57" s="266"/>
      <c r="D57" s="266"/>
      <c r="E57" s="266"/>
      <c r="F57" s="302"/>
      <c r="I57" s="302"/>
      <c r="J57" s="302"/>
      <c r="L57" s="302"/>
      <c r="S57" s="266"/>
      <c r="T57" s="302"/>
      <c r="U57" s="302"/>
      <c r="V57" s="302"/>
      <c r="W57" s="302"/>
      <c r="X57" s="302"/>
      <c r="Z57" s="266"/>
      <c r="AA57" s="302"/>
      <c r="AB57" s="302"/>
      <c r="AC57" s="302"/>
      <c r="AD57" s="302"/>
      <c r="AE57" s="302"/>
      <c r="AG57" s="302">
        <f t="shared" si="12"/>
        <v>0</v>
      </c>
      <c r="AH57" s="302">
        <f t="shared" si="12"/>
        <v>0</v>
      </c>
      <c r="AI57" s="302">
        <f t="shared" si="12"/>
        <v>0</v>
      </c>
      <c r="AJ57" s="302">
        <f t="shared" si="12"/>
        <v>0</v>
      </c>
      <c r="AK57" s="302">
        <f t="shared" si="12"/>
        <v>0</v>
      </c>
      <c r="AL57" s="302">
        <f t="shared" si="12"/>
        <v>0</v>
      </c>
      <c r="AN57" s="302">
        <f t="shared" si="7"/>
        <v>0</v>
      </c>
      <c r="AO57" s="302">
        <f t="shared" si="2"/>
        <v>0</v>
      </c>
      <c r="AP57" s="302">
        <f t="shared" si="2"/>
        <v>0</v>
      </c>
      <c r="AQ57" s="302">
        <f t="shared" si="2"/>
        <v>0</v>
      </c>
      <c r="AR57" s="302">
        <f t="shared" si="2"/>
        <v>0</v>
      </c>
      <c r="AS57" s="302">
        <f t="shared" si="2"/>
        <v>0</v>
      </c>
      <c r="AT57" s="404"/>
      <c r="AU57" s="302"/>
      <c r="AV57" s="302"/>
      <c r="AW57" s="302"/>
      <c r="AX57" s="302"/>
      <c r="AY57" s="302"/>
      <c r="AZ57" s="302"/>
      <c r="BB57" s="302"/>
      <c r="BC57" s="302"/>
      <c r="BD57" s="302"/>
      <c r="BE57" s="302"/>
      <c r="BF57" s="302"/>
      <c r="BG57" s="302"/>
      <c r="BK57" s="429">
        <f t="shared" si="47"/>
        <v>0</v>
      </c>
      <c r="BL57" s="428">
        <f t="shared" si="47"/>
        <v>0</v>
      </c>
      <c r="BM57" s="428">
        <f t="shared" si="47"/>
        <v>0</v>
      </c>
      <c r="BN57" s="428">
        <f t="shared" si="47"/>
        <v>0</v>
      </c>
      <c r="BO57" s="428">
        <f t="shared" si="47"/>
        <v>0</v>
      </c>
      <c r="BP57" s="428">
        <f t="shared" si="47"/>
        <v>0</v>
      </c>
      <c r="BQ57" s="436">
        <f t="shared" si="48"/>
        <v>0</v>
      </c>
      <c r="BX57" s="561"/>
      <c r="BY57" s="561"/>
      <c r="CA57" s="302"/>
      <c r="CB57" s="302"/>
      <c r="CC57" s="302"/>
      <c r="CD57" s="302"/>
      <c r="CE57" s="302"/>
      <c r="CF57" s="302"/>
      <c r="CJ57" s="443"/>
      <c r="CK57" s="428"/>
      <c r="CL57" s="428"/>
      <c r="CM57" s="428"/>
      <c r="CN57" s="428"/>
      <c r="CO57" s="428"/>
      <c r="CP57" s="426"/>
      <c r="CT57" s="451">
        <f t="shared" si="55"/>
        <v>0</v>
      </c>
      <c r="CU57" s="450">
        <f t="shared" si="55"/>
        <v>0</v>
      </c>
      <c r="CV57" s="450">
        <f t="shared" si="55"/>
        <v>0</v>
      </c>
      <c r="CW57" s="450">
        <f t="shared" si="55"/>
        <v>0</v>
      </c>
      <c r="CX57" s="450">
        <f t="shared" si="55"/>
        <v>0</v>
      </c>
      <c r="CY57" s="450">
        <f t="shared" si="55"/>
        <v>0</v>
      </c>
      <c r="CZ57" s="448">
        <f t="shared" si="56"/>
        <v>0</v>
      </c>
    </row>
    <row r="58" spans="1:105">
      <c r="B58" s="291"/>
      <c r="C58" s="266"/>
      <c r="D58" s="266"/>
      <c r="E58" s="266"/>
      <c r="F58" s="302"/>
      <c r="I58" s="302"/>
      <c r="J58" s="302"/>
      <c r="L58" s="302"/>
      <c r="S58" s="266"/>
      <c r="T58" s="302"/>
      <c r="U58" s="302"/>
      <c r="V58" s="302"/>
      <c r="W58" s="302"/>
      <c r="X58" s="302"/>
      <c r="Z58" s="266"/>
      <c r="AA58" s="302"/>
      <c r="AB58" s="302"/>
      <c r="AC58" s="302"/>
      <c r="AD58" s="302"/>
      <c r="AE58" s="302"/>
      <c r="AG58" s="302">
        <f t="shared" si="12"/>
        <v>0</v>
      </c>
      <c r="AH58" s="302">
        <f t="shared" si="12"/>
        <v>0</v>
      </c>
      <c r="AI58" s="302">
        <f t="shared" si="12"/>
        <v>0</v>
      </c>
      <c r="AJ58" s="302">
        <f t="shared" si="12"/>
        <v>0</v>
      </c>
      <c r="AK58" s="302">
        <f t="shared" si="12"/>
        <v>0</v>
      </c>
      <c r="AL58" s="302">
        <f t="shared" si="12"/>
        <v>0</v>
      </c>
      <c r="AN58" s="302">
        <f t="shared" si="7"/>
        <v>0</v>
      </c>
      <c r="AO58" s="302">
        <f t="shared" si="7"/>
        <v>0</v>
      </c>
      <c r="AP58" s="302">
        <f t="shared" si="7"/>
        <v>0</v>
      </c>
      <c r="AQ58" s="302">
        <f t="shared" si="7"/>
        <v>0</v>
      </c>
      <c r="AR58" s="302">
        <f t="shared" si="7"/>
        <v>0</v>
      </c>
      <c r="AS58" s="302">
        <f t="shared" si="7"/>
        <v>0</v>
      </c>
      <c r="AT58" s="404"/>
      <c r="AU58" s="302"/>
      <c r="AV58" s="302"/>
      <c r="AW58" s="302"/>
      <c r="AX58" s="302"/>
      <c r="AY58" s="302"/>
      <c r="AZ58" s="302"/>
      <c r="BB58" s="302"/>
      <c r="BC58" s="302"/>
      <c r="BD58" s="302"/>
      <c r="BE58" s="302"/>
      <c r="BF58" s="302"/>
      <c r="BG58" s="302"/>
      <c r="BK58" s="429">
        <f t="shared" si="47"/>
        <v>0</v>
      </c>
      <c r="BL58" s="428">
        <f t="shared" si="47"/>
        <v>0</v>
      </c>
      <c r="BM58" s="428">
        <f t="shared" si="47"/>
        <v>0</v>
      </c>
      <c r="BN58" s="428">
        <f t="shared" si="47"/>
        <v>0</v>
      </c>
      <c r="BO58" s="428">
        <f t="shared" si="47"/>
        <v>0</v>
      </c>
      <c r="BP58" s="428">
        <f t="shared" si="47"/>
        <v>0</v>
      </c>
      <c r="BQ58" s="436">
        <f t="shared" si="48"/>
        <v>0</v>
      </c>
      <c r="BX58" s="561"/>
      <c r="BY58" s="561"/>
      <c r="CA58" s="302"/>
      <c r="CB58" s="302"/>
      <c r="CC58" s="302"/>
      <c r="CD58" s="302"/>
      <c r="CE58" s="302"/>
      <c r="CF58" s="302"/>
      <c r="CJ58" s="443"/>
      <c r="CK58" s="428"/>
      <c r="CL58" s="428"/>
      <c r="CM58" s="428"/>
      <c r="CN58" s="428"/>
      <c r="CO58" s="428"/>
      <c r="CP58" s="426"/>
      <c r="CT58" s="451">
        <f t="shared" si="55"/>
        <v>0</v>
      </c>
      <c r="CU58" s="450">
        <f t="shared" si="55"/>
        <v>0</v>
      </c>
      <c r="CV58" s="450">
        <f t="shared" si="55"/>
        <v>0</v>
      </c>
      <c r="CW58" s="450">
        <f t="shared" si="55"/>
        <v>0</v>
      </c>
      <c r="CX58" s="450">
        <f t="shared" si="55"/>
        <v>0</v>
      </c>
      <c r="CY58" s="450">
        <f t="shared" si="55"/>
        <v>0</v>
      </c>
      <c r="CZ58" s="448">
        <f t="shared" si="56"/>
        <v>0</v>
      </c>
    </row>
    <row r="59" spans="1:105">
      <c r="A59" s="366"/>
      <c r="B59" s="365" t="str">
        <f>'[50]Productwise sales'!A56</f>
        <v>Glycerine CP</v>
      </c>
      <c r="C59" s="395">
        <f>'[50]Productwise sales'!I56</f>
        <v>11000</v>
      </c>
      <c r="D59" s="395">
        <f>'[50]Productwise sales'!J56</f>
        <v>690.99999999999989</v>
      </c>
      <c r="E59" s="395"/>
      <c r="F59" s="381"/>
      <c r="G59" s="366"/>
      <c r="I59" s="381"/>
      <c r="J59" s="381"/>
      <c r="L59" s="381">
        <v>2536</v>
      </c>
      <c r="M59" s="380">
        <f>1</f>
        <v>1</v>
      </c>
      <c r="N59" s="381">
        <f t="shared" ref="N59:N60" si="88">L59/M59</f>
        <v>2536</v>
      </c>
      <c r="O59" s="381">
        <f t="shared" ref="O59:O60" si="89">N59/$A$2</f>
        <v>36.228571428571428</v>
      </c>
      <c r="S59" s="395">
        <f>[50]Domestic!J56</f>
        <v>11000</v>
      </c>
      <c r="T59" s="395">
        <f>[50]Europe!B56</f>
        <v>0</v>
      </c>
      <c r="U59" s="395">
        <f>'[50]Asia-Pacific'!B56</f>
        <v>0</v>
      </c>
      <c r="V59" s="395">
        <f>'[50]Rest of world'!B56</f>
        <v>0</v>
      </c>
      <c r="W59" s="395">
        <f>'[50]North America'!B56</f>
        <v>0</v>
      </c>
      <c r="X59" s="395">
        <f>'[50]Latin America'!B56</f>
        <v>0</v>
      </c>
      <c r="Z59" s="395">
        <f>[50]Domestic!K56</f>
        <v>690.99999999999989</v>
      </c>
      <c r="AA59" s="395">
        <f>[50]Europe!C56</f>
        <v>0</v>
      </c>
      <c r="AB59" s="395">
        <f>'[50]Asia-Pacific'!C56</f>
        <v>0</v>
      </c>
      <c r="AC59" s="395">
        <f>'[50]Rest of world'!C56</f>
        <v>0</v>
      </c>
      <c r="AD59" s="395">
        <f>'[50]North America'!C56</f>
        <v>0</v>
      </c>
      <c r="AE59" s="395">
        <f>'[50]Latin America'!C56</f>
        <v>0</v>
      </c>
      <c r="AF59" s="366"/>
      <c r="AG59" s="381">
        <f t="shared" si="12"/>
        <v>7.6009999999999991</v>
      </c>
      <c r="AH59" s="381">
        <f t="shared" si="12"/>
        <v>0</v>
      </c>
      <c r="AI59" s="381">
        <f t="shared" si="12"/>
        <v>0</v>
      </c>
      <c r="AJ59" s="381">
        <f t="shared" si="12"/>
        <v>0</v>
      </c>
      <c r="AK59" s="381">
        <f t="shared" si="12"/>
        <v>0</v>
      </c>
      <c r="AL59" s="381">
        <f t="shared" si="12"/>
        <v>0</v>
      </c>
      <c r="AM59" s="366"/>
      <c r="AN59" s="381">
        <f t="shared" si="7"/>
        <v>53.206999999999994</v>
      </c>
      <c r="AO59" s="381">
        <f t="shared" si="7"/>
        <v>0</v>
      </c>
      <c r="AP59" s="381">
        <f t="shared" si="7"/>
        <v>0</v>
      </c>
      <c r="AQ59" s="381">
        <f t="shared" si="7"/>
        <v>0</v>
      </c>
      <c r="AR59" s="381">
        <f t="shared" si="7"/>
        <v>0</v>
      </c>
      <c r="AS59" s="381">
        <f t="shared" si="7"/>
        <v>0</v>
      </c>
      <c r="AT59" s="404"/>
      <c r="AU59" s="381"/>
      <c r="AV59" s="381"/>
      <c r="AW59" s="381"/>
      <c r="AX59" s="381"/>
      <c r="AY59" s="381"/>
      <c r="AZ59" s="381"/>
      <c r="BB59" s="381"/>
      <c r="BC59" s="381"/>
      <c r="BD59" s="381"/>
      <c r="BE59" s="381"/>
      <c r="BF59" s="381"/>
      <c r="BG59" s="381"/>
      <c r="BK59" s="425">
        <f t="shared" ref="BK59:BP81" si="90">S59*BB59*$A$2/10^7</f>
        <v>0</v>
      </c>
      <c r="BL59" s="425">
        <f t="shared" si="90"/>
        <v>0</v>
      </c>
      <c r="BM59" s="425">
        <f t="shared" si="90"/>
        <v>0</v>
      </c>
      <c r="BN59" s="425">
        <f t="shared" si="90"/>
        <v>0</v>
      </c>
      <c r="BO59" s="425">
        <f t="shared" si="90"/>
        <v>0</v>
      </c>
      <c r="BP59" s="425">
        <f t="shared" si="90"/>
        <v>0</v>
      </c>
      <c r="BQ59" s="436">
        <f t="shared" si="48"/>
        <v>0</v>
      </c>
      <c r="BX59" s="561"/>
      <c r="BY59" s="561"/>
      <c r="CA59" s="381">
        <f>IF(Z59=0,0,Z59-$O$59)</f>
        <v>654.77142857142849</v>
      </c>
      <c r="CB59" s="381">
        <f t="shared" ref="CB59:CF59" si="91">IF(AA59=0,0,AA59-$O$59)</f>
        <v>0</v>
      </c>
      <c r="CC59" s="381">
        <f t="shared" si="91"/>
        <v>0</v>
      </c>
      <c r="CD59" s="381">
        <f t="shared" si="91"/>
        <v>0</v>
      </c>
      <c r="CE59" s="381">
        <f t="shared" si="91"/>
        <v>0</v>
      </c>
      <c r="CF59" s="381">
        <f t="shared" si="91"/>
        <v>0</v>
      </c>
      <c r="CJ59" s="440">
        <f t="shared" ref="CJ59:CO63" si="92">S59*CA59*$A$2/10^7</f>
        <v>50.417399999999994</v>
      </c>
      <c r="CK59" s="425">
        <f t="shared" si="92"/>
        <v>0</v>
      </c>
      <c r="CL59" s="425">
        <f t="shared" si="92"/>
        <v>0</v>
      </c>
      <c r="CM59" s="425">
        <f t="shared" si="92"/>
        <v>0</v>
      </c>
      <c r="CN59" s="425">
        <f t="shared" si="92"/>
        <v>0</v>
      </c>
      <c r="CO59" s="425">
        <f t="shared" si="92"/>
        <v>0</v>
      </c>
      <c r="CP59" s="426">
        <f t="shared" ref="CP59:CP63" si="93">SUM(CJ59:CO59)</f>
        <v>50.417399999999994</v>
      </c>
      <c r="CT59" s="447">
        <f t="shared" si="55"/>
        <v>50.417399999999994</v>
      </c>
      <c r="CU59" s="447">
        <f t="shared" si="55"/>
        <v>0</v>
      </c>
      <c r="CV59" s="447">
        <f t="shared" si="55"/>
        <v>0</v>
      </c>
      <c r="CW59" s="447">
        <f t="shared" si="55"/>
        <v>0</v>
      </c>
      <c r="CX59" s="447">
        <f t="shared" si="55"/>
        <v>0</v>
      </c>
      <c r="CY59" s="447">
        <f t="shared" si="55"/>
        <v>0</v>
      </c>
      <c r="CZ59" s="448">
        <f t="shared" si="56"/>
        <v>50.417399999999994</v>
      </c>
      <c r="DA59" s="413"/>
    </row>
    <row r="60" spans="1:105">
      <c r="A60" s="366"/>
      <c r="B60" s="365" t="str">
        <f>'[50]Productwise sales'!A57</f>
        <v>Glycerine IP</v>
      </c>
      <c r="C60" s="395">
        <f>'[50]Productwise sales'!I57</f>
        <v>4000</v>
      </c>
      <c r="D60" s="395">
        <f>'[50]Productwise sales'!J57</f>
        <v>779</v>
      </c>
      <c r="E60" s="395"/>
      <c r="F60" s="381"/>
      <c r="G60" s="366"/>
      <c r="I60" s="381"/>
      <c r="J60" s="381"/>
      <c r="L60" s="381">
        <v>2536</v>
      </c>
      <c r="M60" s="380">
        <f>1</f>
        <v>1</v>
      </c>
      <c r="N60" s="381">
        <f t="shared" si="88"/>
        <v>2536</v>
      </c>
      <c r="O60" s="381">
        <f t="shared" si="89"/>
        <v>36.228571428571428</v>
      </c>
      <c r="S60" s="395">
        <f>[50]Domestic!J57</f>
        <v>4000</v>
      </c>
      <c r="T60" s="395">
        <f>[50]Europe!B57</f>
        <v>0</v>
      </c>
      <c r="U60" s="395">
        <f>'[50]Asia-Pacific'!B57</f>
        <v>0</v>
      </c>
      <c r="V60" s="395">
        <f>'[50]Rest of world'!B57</f>
        <v>0</v>
      </c>
      <c r="W60" s="395">
        <f>'[50]North America'!B57</f>
        <v>0</v>
      </c>
      <c r="X60" s="395">
        <f>'[50]Latin America'!B57</f>
        <v>0</v>
      </c>
      <c r="Z60" s="395">
        <f>[50]Domestic!K57</f>
        <v>779</v>
      </c>
      <c r="AA60" s="395">
        <f>[50]Europe!C57</f>
        <v>0</v>
      </c>
      <c r="AB60" s="395">
        <f>'[50]Asia-Pacific'!C57</f>
        <v>0</v>
      </c>
      <c r="AC60" s="395">
        <f>'[50]Rest of world'!C57</f>
        <v>0</v>
      </c>
      <c r="AD60" s="395">
        <f>'[50]North America'!C57</f>
        <v>0</v>
      </c>
      <c r="AE60" s="395">
        <f>'[50]Latin America'!C57</f>
        <v>0</v>
      </c>
      <c r="AF60" s="366"/>
      <c r="AG60" s="381">
        <f t="shared" si="12"/>
        <v>3.1160000000000001</v>
      </c>
      <c r="AH60" s="381">
        <f t="shared" si="12"/>
        <v>0</v>
      </c>
      <c r="AI60" s="381">
        <f t="shared" si="12"/>
        <v>0</v>
      </c>
      <c r="AJ60" s="381">
        <f t="shared" si="12"/>
        <v>0</v>
      </c>
      <c r="AK60" s="381">
        <f t="shared" si="12"/>
        <v>0</v>
      </c>
      <c r="AL60" s="381">
        <f t="shared" si="12"/>
        <v>0</v>
      </c>
      <c r="AM60" s="366"/>
      <c r="AN60" s="381">
        <f t="shared" si="7"/>
        <v>21.812000000000001</v>
      </c>
      <c r="AO60" s="381">
        <f t="shared" si="7"/>
        <v>0</v>
      </c>
      <c r="AP60" s="381">
        <f t="shared" si="7"/>
        <v>0</v>
      </c>
      <c r="AQ60" s="381">
        <f t="shared" si="7"/>
        <v>0</v>
      </c>
      <c r="AR60" s="381">
        <f t="shared" si="7"/>
        <v>0</v>
      </c>
      <c r="AS60" s="381">
        <f t="shared" si="7"/>
        <v>0</v>
      </c>
      <c r="AT60" s="404"/>
      <c r="AU60" s="381"/>
      <c r="AV60" s="381"/>
      <c r="AW60" s="381"/>
      <c r="AX60" s="381"/>
      <c r="AY60" s="381"/>
      <c r="AZ60" s="381"/>
      <c r="BB60" s="381"/>
      <c r="BC60" s="381"/>
      <c r="BD60" s="381"/>
      <c r="BE60" s="381"/>
      <c r="BF60" s="381"/>
      <c r="BG60" s="381"/>
      <c r="BK60" s="425">
        <f t="shared" si="90"/>
        <v>0</v>
      </c>
      <c r="BL60" s="425">
        <f t="shared" si="90"/>
        <v>0</v>
      </c>
      <c r="BM60" s="425">
        <f t="shared" si="90"/>
        <v>0</v>
      </c>
      <c r="BN60" s="425">
        <f t="shared" si="90"/>
        <v>0</v>
      </c>
      <c r="BO60" s="425">
        <f t="shared" si="90"/>
        <v>0</v>
      </c>
      <c r="BP60" s="425">
        <f t="shared" si="90"/>
        <v>0</v>
      </c>
      <c r="BQ60" s="436">
        <f t="shared" si="48"/>
        <v>0</v>
      </c>
      <c r="BX60" s="561"/>
      <c r="BY60" s="561"/>
      <c r="CA60" s="381">
        <f>IF(Z60=0,0,Z60-$O$60)</f>
        <v>742.7714285714286</v>
      </c>
      <c r="CB60" s="381">
        <f t="shared" ref="CB60:CF60" si="94">IF(AA60=0,0,AA60-$O$60)</f>
        <v>0</v>
      </c>
      <c r="CC60" s="381">
        <f t="shared" si="94"/>
        <v>0</v>
      </c>
      <c r="CD60" s="381">
        <f t="shared" si="94"/>
        <v>0</v>
      </c>
      <c r="CE60" s="381">
        <f t="shared" si="94"/>
        <v>0</v>
      </c>
      <c r="CF60" s="381">
        <f t="shared" si="94"/>
        <v>0</v>
      </c>
      <c r="CJ60" s="440">
        <f t="shared" si="92"/>
        <v>20.797600000000003</v>
      </c>
      <c r="CK60" s="425">
        <f t="shared" si="92"/>
        <v>0</v>
      </c>
      <c r="CL60" s="425">
        <f t="shared" si="92"/>
        <v>0</v>
      </c>
      <c r="CM60" s="425">
        <f t="shared" si="92"/>
        <v>0</v>
      </c>
      <c r="CN60" s="425">
        <f t="shared" si="92"/>
        <v>0</v>
      </c>
      <c r="CO60" s="425">
        <f t="shared" si="92"/>
        <v>0</v>
      </c>
      <c r="CP60" s="426">
        <f t="shared" si="93"/>
        <v>20.797600000000003</v>
      </c>
      <c r="CT60" s="447">
        <f t="shared" si="55"/>
        <v>20.797600000000003</v>
      </c>
      <c r="CU60" s="447">
        <f t="shared" si="55"/>
        <v>0</v>
      </c>
      <c r="CV60" s="447">
        <f t="shared" si="55"/>
        <v>0</v>
      </c>
      <c r="CW60" s="447">
        <f t="shared" si="55"/>
        <v>0</v>
      </c>
      <c r="CX60" s="447">
        <f t="shared" si="55"/>
        <v>0</v>
      </c>
      <c r="CY60" s="447">
        <f t="shared" si="55"/>
        <v>0</v>
      </c>
      <c r="CZ60" s="448">
        <f t="shared" si="56"/>
        <v>20.797600000000003</v>
      </c>
      <c r="DA60" s="413"/>
    </row>
    <row r="61" spans="1:105">
      <c r="A61" s="366"/>
      <c r="B61" s="365" t="str">
        <f>'[50]Productwise sales'!A58</f>
        <v>Glycerine USP</v>
      </c>
      <c r="C61" s="395">
        <f>'[50]Productwise sales'!I58</f>
        <v>0</v>
      </c>
      <c r="D61" s="395">
        <f>'[50]Productwise sales'!J58</f>
        <v>0</v>
      </c>
      <c r="E61" s="395"/>
      <c r="F61" s="381"/>
      <c r="G61" s="366"/>
      <c r="I61" s="381"/>
      <c r="J61" s="381"/>
      <c r="L61" s="381"/>
      <c r="M61" s="366"/>
      <c r="N61" s="366"/>
      <c r="O61" s="366"/>
      <c r="S61" s="395">
        <f>[50]Domestic!J58</f>
        <v>0</v>
      </c>
      <c r="T61" s="395">
        <f>[50]Europe!B58</f>
        <v>0</v>
      </c>
      <c r="U61" s="395">
        <f>'[50]Asia-Pacific'!B58</f>
        <v>0</v>
      </c>
      <c r="V61" s="395">
        <f>'[50]Rest of world'!B58</f>
        <v>0</v>
      </c>
      <c r="W61" s="395">
        <f>'[50]North America'!B58</f>
        <v>0</v>
      </c>
      <c r="X61" s="395">
        <f>'[50]Latin America'!B58</f>
        <v>0</v>
      </c>
      <c r="Z61" s="395">
        <f>[50]Domestic!K58</f>
        <v>0</v>
      </c>
      <c r="AA61" s="395">
        <f>[50]Europe!C58</f>
        <v>0</v>
      </c>
      <c r="AB61" s="395">
        <f>'[50]Asia-Pacific'!C58</f>
        <v>0</v>
      </c>
      <c r="AC61" s="395">
        <f>'[50]Rest of world'!C58</f>
        <v>0</v>
      </c>
      <c r="AD61" s="395">
        <f>'[50]North America'!C58</f>
        <v>0</v>
      </c>
      <c r="AE61" s="395">
        <f>'[50]Latin America'!C58</f>
        <v>0</v>
      </c>
      <c r="AF61" s="366"/>
      <c r="AG61" s="381">
        <f t="shared" si="12"/>
        <v>0</v>
      </c>
      <c r="AH61" s="381">
        <f t="shared" si="12"/>
        <v>0</v>
      </c>
      <c r="AI61" s="381">
        <f t="shared" si="12"/>
        <v>0</v>
      </c>
      <c r="AJ61" s="381">
        <f t="shared" si="12"/>
        <v>0</v>
      </c>
      <c r="AK61" s="381">
        <f t="shared" si="12"/>
        <v>0</v>
      </c>
      <c r="AL61" s="381">
        <f t="shared" si="12"/>
        <v>0</v>
      </c>
      <c r="AM61" s="366"/>
      <c r="AN61" s="381">
        <f t="shared" si="7"/>
        <v>0</v>
      </c>
      <c r="AO61" s="381">
        <f t="shared" si="7"/>
        <v>0</v>
      </c>
      <c r="AP61" s="381">
        <f t="shared" si="7"/>
        <v>0</v>
      </c>
      <c r="AQ61" s="381">
        <f t="shared" si="7"/>
        <v>0</v>
      </c>
      <c r="AR61" s="381">
        <f t="shared" si="7"/>
        <v>0</v>
      </c>
      <c r="AS61" s="381">
        <f t="shared" si="7"/>
        <v>0</v>
      </c>
      <c r="AT61" s="404"/>
      <c r="AU61" s="381"/>
      <c r="AV61" s="381"/>
      <c r="AW61" s="381"/>
      <c r="AX61" s="381"/>
      <c r="AY61" s="381"/>
      <c r="AZ61" s="381"/>
      <c r="BB61" s="381"/>
      <c r="BC61" s="381"/>
      <c r="BD61" s="381"/>
      <c r="BE61" s="381"/>
      <c r="BF61" s="381"/>
      <c r="BG61" s="381"/>
      <c r="BK61" s="425">
        <f t="shared" si="90"/>
        <v>0</v>
      </c>
      <c r="BL61" s="425">
        <f t="shared" si="90"/>
        <v>0</v>
      </c>
      <c r="BM61" s="425">
        <f t="shared" si="90"/>
        <v>0</v>
      </c>
      <c r="BN61" s="425">
        <f t="shared" si="90"/>
        <v>0</v>
      </c>
      <c r="BO61" s="425">
        <f t="shared" si="90"/>
        <v>0</v>
      </c>
      <c r="BP61" s="425">
        <f t="shared" si="90"/>
        <v>0</v>
      </c>
      <c r="BQ61" s="436">
        <f t="shared" si="48"/>
        <v>0</v>
      </c>
      <c r="BX61" s="561"/>
      <c r="BY61" s="561"/>
      <c r="CA61" s="381">
        <f>IF(Z61=0,0,Z61-$O$61)</f>
        <v>0</v>
      </c>
      <c r="CB61" s="381">
        <f t="shared" ref="CB61:CF61" si="95">IF(AA61=0,0,AA61-$O$61)</f>
        <v>0</v>
      </c>
      <c r="CC61" s="381">
        <f t="shared" si="95"/>
        <v>0</v>
      </c>
      <c r="CD61" s="381">
        <f t="shared" si="95"/>
        <v>0</v>
      </c>
      <c r="CE61" s="381">
        <f t="shared" si="95"/>
        <v>0</v>
      </c>
      <c r="CF61" s="381">
        <f t="shared" si="95"/>
        <v>0</v>
      </c>
      <c r="CJ61" s="440">
        <f t="shared" si="92"/>
        <v>0</v>
      </c>
      <c r="CK61" s="425">
        <f t="shared" si="92"/>
        <v>0</v>
      </c>
      <c r="CL61" s="425">
        <f t="shared" si="92"/>
        <v>0</v>
      </c>
      <c r="CM61" s="425">
        <f t="shared" si="92"/>
        <v>0</v>
      </c>
      <c r="CN61" s="425">
        <f t="shared" si="92"/>
        <v>0</v>
      </c>
      <c r="CO61" s="425">
        <f t="shared" si="92"/>
        <v>0</v>
      </c>
      <c r="CP61" s="426">
        <f t="shared" si="93"/>
        <v>0</v>
      </c>
      <c r="CT61" s="447">
        <f t="shared" si="55"/>
        <v>0</v>
      </c>
      <c r="CU61" s="447">
        <f t="shared" si="55"/>
        <v>0</v>
      </c>
      <c r="CV61" s="447">
        <f t="shared" si="55"/>
        <v>0</v>
      </c>
      <c r="CW61" s="447">
        <f t="shared" si="55"/>
        <v>0</v>
      </c>
      <c r="CX61" s="447">
        <f t="shared" si="55"/>
        <v>0</v>
      </c>
      <c r="CY61" s="447">
        <f t="shared" si="55"/>
        <v>0</v>
      </c>
      <c r="CZ61" s="448">
        <f t="shared" si="56"/>
        <v>0</v>
      </c>
    </row>
    <row r="62" spans="1:105">
      <c r="A62" s="366"/>
      <c r="B62" s="365" t="str">
        <f>'[50]Productwise sales'!A59</f>
        <v>Crude Glycerine</v>
      </c>
      <c r="C62" s="395">
        <f>'[50]Productwise sales'!I59</f>
        <v>0</v>
      </c>
      <c r="D62" s="395">
        <f>'[50]Productwise sales'!J59</f>
        <v>0</v>
      </c>
      <c r="E62" s="395"/>
      <c r="F62" s="381"/>
      <c r="G62" s="366"/>
      <c r="I62" s="381"/>
      <c r="J62" s="381"/>
      <c r="L62" s="381"/>
      <c r="M62" s="366"/>
      <c r="N62" s="366"/>
      <c r="O62" s="366"/>
      <c r="S62" s="395">
        <f>[50]Domestic!J59</f>
        <v>0</v>
      </c>
      <c r="T62" s="395">
        <f>[50]Europe!B59</f>
        <v>0</v>
      </c>
      <c r="U62" s="395">
        <f>'[50]Asia-Pacific'!B59</f>
        <v>0</v>
      </c>
      <c r="V62" s="395">
        <f>'[50]Rest of world'!B59</f>
        <v>0</v>
      </c>
      <c r="W62" s="395">
        <f>'[50]North America'!B59</f>
        <v>0</v>
      </c>
      <c r="X62" s="395">
        <f>'[50]Latin America'!B59</f>
        <v>0</v>
      </c>
      <c r="Z62" s="395">
        <f>[50]Domestic!K59</f>
        <v>0</v>
      </c>
      <c r="AA62" s="395">
        <f>[50]Europe!C59</f>
        <v>0</v>
      </c>
      <c r="AB62" s="395">
        <f>'[50]Asia-Pacific'!C59</f>
        <v>0</v>
      </c>
      <c r="AC62" s="395">
        <f>'[50]Rest of world'!C59</f>
        <v>0</v>
      </c>
      <c r="AD62" s="395">
        <f>'[50]North America'!C59</f>
        <v>0</v>
      </c>
      <c r="AE62" s="395">
        <f>'[50]Latin America'!C59</f>
        <v>0</v>
      </c>
      <c r="AF62" s="366"/>
      <c r="AG62" s="381">
        <f t="shared" si="12"/>
        <v>0</v>
      </c>
      <c r="AH62" s="381">
        <f t="shared" si="12"/>
        <v>0</v>
      </c>
      <c r="AI62" s="381">
        <f t="shared" si="12"/>
        <v>0</v>
      </c>
      <c r="AJ62" s="381">
        <f t="shared" si="12"/>
        <v>0</v>
      </c>
      <c r="AK62" s="381">
        <f t="shared" si="12"/>
        <v>0</v>
      </c>
      <c r="AL62" s="381">
        <f t="shared" si="12"/>
        <v>0</v>
      </c>
      <c r="AM62" s="366"/>
      <c r="AN62" s="381">
        <f t="shared" si="7"/>
        <v>0</v>
      </c>
      <c r="AO62" s="381">
        <f t="shared" si="7"/>
        <v>0</v>
      </c>
      <c r="AP62" s="381">
        <f t="shared" si="7"/>
        <v>0</v>
      </c>
      <c r="AQ62" s="381">
        <f t="shared" si="7"/>
        <v>0</v>
      </c>
      <c r="AR62" s="381">
        <f t="shared" si="7"/>
        <v>0</v>
      </c>
      <c r="AS62" s="381">
        <f t="shared" si="7"/>
        <v>0</v>
      </c>
      <c r="AT62" s="404"/>
      <c r="AU62" s="381"/>
      <c r="AV62" s="381"/>
      <c r="AW62" s="381"/>
      <c r="AX62" s="381"/>
      <c r="AY62" s="381"/>
      <c r="AZ62" s="381"/>
      <c r="BB62" s="381"/>
      <c r="BC62" s="381"/>
      <c r="BD62" s="381"/>
      <c r="BE62" s="381"/>
      <c r="BF62" s="381"/>
      <c r="BG62" s="381"/>
      <c r="BK62" s="425">
        <f t="shared" si="90"/>
        <v>0</v>
      </c>
      <c r="BL62" s="425">
        <f t="shared" si="90"/>
        <v>0</v>
      </c>
      <c r="BM62" s="425">
        <f t="shared" si="90"/>
        <v>0</v>
      </c>
      <c r="BN62" s="425">
        <f t="shared" si="90"/>
        <v>0</v>
      </c>
      <c r="BO62" s="425">
        <f t="shared" si="90"/>
        <v>0</v>
      </c>
      <c r="BP62" s="425">
        <f t="shared" si="90"/>
        <v>0</v>
      </c>
      <c r="BQ62" s="436">
        <f t="shared" si="48"/>
        <v>0</v>
      </c>
      <c r="BX62" s="561"/>
      <c r="BY62" s="561"/>
      <c r="CA62" s="381">
        <f>IF(Z62=0,0,Z62-$O$62)</f>
        <v>0</v>
      </c>
      <c r="CB62" s="381">
        <f t="shared" ref="CB62:CF62" si="96">IF(AA62=0,0,AA62-$O$62)</f>
        <v>0</v>
      </c>
      <c r="CC62" s="381">
        <f t="shared" si="96"/>
        <v>0</v>
      </c>
      <c r="CD62" s="381">
        <f t="shared" si="96"/>
        <v>0</v>
      </c>
      <c r="CE62" s="381">
        <f t="shared" si="96"/>
        <v>0</v>
      </c>
      <c r="CF62" s="381">
        <f t="shared" si="96"/>
        <v>0</v>
      </c>
      <c r="CJ62" s="440">
        <f t="shared" si="92"/>
        <v>0</v>
      </c>
      <c r="CK62" s="425">
        <f t="shared" si="92"/>
        <v>0</v>
      </c>
      <c r="CL62" s="425">
        <f t="shared" si="92"/>
        <v>0</v>
      </c>
      <c r="CM62" s="425">
        <f t="shared" si="92"/>
        <v>0</v>
      </c>
      <c r="CN62" s="425">
        <f t="shared" si="92"/>
        <v>0</v>
      </c>
      <c r="CO62" s="425">
        <f t="shared" si="92"/>
        <v>0</v>
      </c>
      <c r="CP62" s="426">
        <f t="shared" si="93"/>
        <v>0</v>
      </c>
      <c r="CT62" s="447">
        <f t="shared" si="55"/>
        <v>0</v>
      </c>
      <c r="CU62" s="447">
        <f t="shared" si="55"/>
        <v>0</v>
      </c>
      <c r="CV62" s="447">
        <f t="shared" si="55"/>
        <v>0</v>
      </c>
      <c r="CW62" s="447">
        <f t="shared" si="55"/>
        <v>0</v>
      </c>
      <c r="CX62" s="447">
        <f t="shared" si="55"/>
        <v>0</v>
      </c>
      <c r="CY62" s="447">
        <f t="shared" si="55"/>
        <v>0</v>
      </c>
      <c r="CZ62" s="448">
        <f t="shared" si="56"/>
        <v>0</v>
      </c>
    </row>
    <row r="63" spans="1:105">
      <c r="A63" s="366"/>
      <c r="B63" s="365" t="str">
        <f>'[50]Productwise sales'!A60</f>
        <v>Glycerine JP</v>
      </c>
      <c r="C63" s="395">
        <f>'[50]Productwise sales'!I60</f>
        <v>0</v>
      </c>
      <c r="D63" s="395">
        <f>'[50]Productwise sales'!J60</f>
        <v>0</v>
      </c>
      <c r="E63" s="395"/>
      <c r="F63" s="381"/>
      <c r="G63" s="366"/>
      <c r="I63" s="381"/>
      <c r="J63" s="381"/>
      <c r="L63" s="381"/>
      <c r="M63" s="366"/>
      <c r="N63" s="366"/>
      <c r="O63" s="366"/>
      <c r="S63" s="395">
        <f>[50]Domestic!J60</f>
        <v>0</v>
      </c>
      <c r="T63" s="395">
        <f>[50]Europe!B60</f>
        <v>0</v>
      </c>
      <c r="U63" s="395">
        <f>'[50]Asia-Pacific'!B60</f>
        <v>0</v>
      </c>
      <c r="V63" s="395">
        <f>'[50]Rest of world'!B60</f>
        <v>0</v>
      </c>
      <c r="W63" s="395">
        <f>'[50]North America'!B60</f>
        <v>0</v>
      </c>
      <c r="X63" s="395">
        <f>'[50]Latin America'!B60</f>
        <v>0</v>
      </c>
      <c r="Z63" s="395">
        <f>[50]Domestic!K60</f>
        <v>0</v>
      </c>
      <c r="AA63" s="395">
        <f>[50]Europe!C60</f>
        <v>0</v>
      </c>
      <c r="AB63" s="395">
        <f>'[50]Asia-Pacific'!C60</f>
        <v>0</v>
      </c>
      <c r="AC63" s="395">
        <f>'[50]Rest of world'!C60</f>
        <v>0</v>
      </c>
      <c r="AD63" s="395">
        <f>'[50]North America'!C60</f>
        <v>0</v>
      </c>
      <c r="AE63" s="395">
        <f>'[50]Latin America'!C60</f>
        <v>0</v>
      </c>
      <c r="AF63" s="366"/>
      <c r="AG63" s="381">
        <f t="shared" si="12"/>
        <v>0</v>
      </c>
      <c r="AH63" s="381">
        <f t="shared" si="12"/>
        <v>0</v>
      </c>
      <c r="AI63" s="381">
        <f t="shared" si="12"/>
        <v>0</v>
      </c>
      <c r="AJ63" s="381">
        <f t="shared" si="12"/>
        <v>0</v>
      </c>
      <c r="AK63" s="381">
        <f t="shared" si="12"/>
        <v>0</v>
      </c>
      <c r="AL63" s="381">
        <f t="shared" si="12"/>
        <v>0</v>
      </c>
      <c r="AM63" s="366"/>
      <c r="AN63" s="381">
        <f t="shared" si="7"/>
        <v>0</v>
      </c>
      <c r="AO63" s="381">
        <f t="shared" si="7"/>
        <v>0</v>
      </c>
      <c r="AP63" s="381">
        <f t="shared" si="7"/>
        <v>0</v>
      </c>
      <c r="AQ63" s="381">
        <f t="shared" si="7"/>
        <v>0</v>
      </c>
      <c r="AR63" s="381">
        <f t="shared" si="7"/>
        <v>0</v>
      </c>
      <c r="AS63" s="381">
        <f t="shared" si="7"/>
        <v>0</v>
      </c>
      <c r="AT63" s="404"/>
      <c r="AU63" s="381"/>
      <c r="AV63" s="381"/>
      <c r="AW63" s="381"/>
      <c r="AX63" s="381"/>
      <c r="AY63" s="381"/>
      <c r="AZ63" s="381"/>
      <c r="BB63" s="381"/>
      <c r="BC63" s="381"/>
      <c r="BD63" s="381"/>
      <c r="BE63" s="381"/>
      <c r="BF63" s="381"/>
      <c r="BG63" s="381"/>
      <c r="BK63" s="425">
        <f t="shared" si="90"/>
        <v>0</v>
      </c>
      <c r="BL63" s="425">
        <f t="shared" si="90"/>
        <v>0</v>
      </c>
      <c r="BM63" s="425">
        <f t="shared" si="90"/>
        <v>0</v>
      </c>
      <c r="BN63" s="425">
        <f t="shared" si="90"/>
        <v>0</v>
      </c>
      <c r="BO63" s="425">
        <f t="shared" si="90"/>
        <v>0</v>
      </c>
      <c r="BP63" s="425">
        <f t="shared" si="90"/>
        <v>0</v>
      </c>
      <c r="BQ63" s="436">
        <f t="shared" si="48"/>
        <v>0</v>
      </c>
      <c r="BX63" s="561"/>
      <c r="BY63" s="561"/>
      <c r="CA63" s="381">
        <f>IF(Z63=0,0,Z63-$O$63)</f>
        <v>0</v>
      </c>
      <c r="CB63" s="381">
        <f t="shared" ref="CB63:CF63" si="97">IF(AA63=0,0,AA63-$O$63)</f>
        <v>0</v>
      </c>
      <c r="CC63" s="381">
        <f t="shared" si="97"/>
        <v>0</v>
      </c>
      <c r="CD63" s="381">
        <f t="shared" si="97"/>
        <v>0</v>
      </c>
      <c r="CE63" s="381">
        <f t="shared" si="97"/>
        <v>0</v>
      </c>
      <c r="CF63" s="381">
        <f t="shared" si="97"/>
        <v>0</v>
      </c>
      <c r="CJ63" s="440">
        <f t="shared" si="92"/>
        <v>0</v>
      </c>
      <c r="CK63" s="425">
        <f t="shared" si="92"/>
        <v>0</v>
      </c>
      <c r="CL63" s="425">
        <f t="shared" si="92"/>
        <v>0</v>
      </c>
      <c r="CM63" s="425">
        <f t="shared" si="92"/>
        <v>0</v>
      </c>
      <c r="CN63" s="425">
        <f t="shared" si="92"/>
        <v>0</v>
      </c>
      <c r="CO63" s="425">
        <f t="shared" si="92"/>
        <v>0</v>
      </c>
      <c r="CP63" s="426">
        <f t="shared" si="93"/>
        <v>0</v>
      </c>
      <c r="CT63" s="447">
        <f t="shared" si="55"/>
        <v>0</v>
      </c>
      <c r="CU63" s="447">
        <f t="shared" si="55"/>
        <v>0</v>
      </c>
      <c r="CV63" s="447">
        <f t="shared" si="55"/>
        <v>0</v>
      </c>
      <c r="CW63" s="447">
        <f t="shared" si="55"/>
        <v>0</v>
      </c>
      <c r="CX63" s="447">
        <f t="shared" si="55"/>
        <v>0</v>
      </c>
      <c r="CY63" s="447">
        <f t="shared" si="55"/>
        <v>0</v>
      </c>
      <c r="CZ63" s="448">
        <f t="shared" si="56"/>
        <v>0</v>
      </c>
    </row>
    <row r="64" spans="1:105">
      <c r="B64" s="291" t="str">
        <f>'[50]Productwise sales'!A61</f>
        <v>Glycerine</v>
      </c>
      <c r="C64" s="266"/>
      <c r="D64" s="266"/>
      <c r="E64" s="266"/>
      <c r="F64" s="302"/>
      <c r="I64" s="302"/>
      <c r="J64" s="302"/>
      <c r="L64" s="302"/>
      <c r="S64" s="266"/>
      <c r="T64" s="302">
        <f>[50]Europe!B61</f>
        <v>0</v>
      </c>
      <c r="U64" s="302">
        <f>'[50]Asia-Pacific'!B61</f>
        <v>0</v>
      </c>
      <c r="V64" s="302">
        <f>'[50]Rest of world'!B61</f>
        <v>0</v>
      </c>
      <c r="W64" s="302">
        <f>'[50]North America'!B61</f>
        <v>0</v>
      </c>
      <c r="X64" s="302">
        <f>'[50]Latin America'!B61</f>
        <v>0</v>
      </c>
      <c r="Z64" s="266"/>
      <c r="AA64" s="302">
        <f>[50]Europe!C61</f>
        <v>0</v>
      </c>
      <c r="AB64" s="302">
        <f>'[50]Asia-Pacific'!C61</f>
        <v>0</v>
      </c>
      <c r="AC64" s="302">
        <f>'[50]Rest of world'!C61</f>
        <v>0</v>
      </c>
      <c r="AD64" s="302">
        <f>'[50]North America'!C61</f>
        <v>0</v>
      </c>
      <c r="AE64" s="302">
        <f>'[50]Latin America'!C61</f>
        <v>0</v>
      </c>
      <c r="AG64" s="302">
        <f t="shared" si="12"/>
        <v>0</v>
      </c>
      <c r="AH64" s="302">
        <f t="shared" si="12"/>
        <v>0</v>
      </c>
      <c r="AI64" s="302">
        <f t="shared" ref="AI64:AL83" si="98">U64*AB64/10^6</f>
        <v>0</v>
      </c>
      <c r="AJ64" s="302">
        <f t="shared" si="98"/>
        <v>0</v>
      </c>
      <c r="AK64" s="302">
        <f t="shared" si="98"/>
        <v>0</v>
      </c>
      <c r="AL64" s="302">
        <f t="shared" si="98"/>
        <v>0</v>
      </c>
      <c r="AN64" s="302">
        <f t="shared" si="7"/>
        <v>0</v>
      </c>
      <c r="AO64" s="302">
        <f t="shared" si="7"/>
        <v>0</v>
      </c>
      <c r="AP64" s="302">
        <f t="shared" si="7"/>
        <v>0</v>
      </c>
      <c r="AQ64" s="302">
        <f t="shared" si="7"/>
        <v>0</v>
      </c>
      <c r="AR64" s="302">
        <f t="shared" si="7"/>
        <v>0</v>
      </c>
      <c r="AS64" s="302">
        <f t="shared" si="7"/>
        <v>0</v>
      </c>
      <c r="AT64" s="404"/>
      <c r="AU64" s="302"/>
      <c r="AV64" s="302"/>
      <c r="AW64" s="302"/>
      <c r="AX64" s="302"/>
      <c r="AY64" s="302"/>
      <c r="AZ64" s="302"/>
      <c r="BB64" s="302"/>
      <c r="BC64" s="302"/>
      <c r="BD64" s="302"/>
      <c r="BE64" s="302"/>
      <c r="BF64" s="302"/>
      <c r="BG64" s="302"/>
      <c r="BK64" s="429">
        <f t="shared" si="90"/>
        <v>0</v>
      </c>
      <c r="BL64" s="428">
        <f t="shared" si="90"/>
        <v>0</v>
      </c>
      <c r="BM64" s="428">
        <f t="shared" si="90"/>
        <v>0</v>
      </c>
      <c r="BN64" s="428">
        <f t="shared" si="90"/>
        <v>0</v>
      </c>
      <c r="BO64" s="428">
        <f t="shared" si="90"/>
        <v>0</v>
      </c>
      <c r="BP64" s="428">
        <f t="shared" si="90"/>
        <v>0</v>
      </c>
      <c r="BQ64" s="436">
        <f t="shared" si="48"/>
        <v>0</v>
      </c>
      <c r="BX64" s="561"/>
      <c r="BY64" s="561"/>
      <c r="CA64" s="302"/>
      <c r="CB64" s="302"/>
      <c r="CC64" s="302"/>
      <c r="CD64" s="302"/>
      <c r="CE64" s="302"/>
      <c r="CF64" s="302"/>
      <c r="CJ64" s="443"/>
      <c r="CK64" s="428"/>
      <c r="CL64" s="428"/>
      <c r="CM64" s="428"/>
      <c r="CN64" s="428"/>
      <c r="CO64" s="428"/>
      <c r="CP64" s="426"/>
      <c r="CT64" s="451">
        <f t="shared" si="55"/>
        <v>0</v>
      </c>
      <c r="CU64" s="450">
        <f t="shared" si="55"/>
        <v>0</v>
      </c>
      <c r="CV64" s="450">
        <f t="shared" si="55"/>
        <v>0</v>
      </c>
      <c r="CW64" s="450">
        <f t="shared" si="55"/>
        <v>0</v>
      </c>
      <c r="CX64" s="450">
        <f t="shared" si="55"/>
        <v>0</v>
      </c>
      <c r="CY64" s="450">
        <f t="shared" si="55"/>
        <v>0</v>
      </c>
      <c r="CZ64" s="448">
        <f t="shared" si="56"/>
        <v>0</v>
      </c>
    </row>
    <row r="65" spans="1:105">
      <c r="B65" s="291"/>
      <c r="C65" s="266"/>
      <c r="D65" s="266"/>
      <c r="E65" s="266"/>
      <c r="F65" s="302"/>
      <c r="I65" s="302"/>
      <c r="J65" s="302"/>
      <c r="L65" s="302"/>
      <c r="S65" s="266"/>
      <c r="T65" s="302"/>
      <c r="U65" s="302"/>
      <c r="V65" s="302"/>
      <c r="W65" s="302"/>
      <c r="X65" s="302"/>
      <c r="Z65" s="266"/>
      <c r="AA65" s="302"/>
      <c r="AB65" s="302"/>
      <c r="AC65" s="302"/>
      <c r="AD65" s="302"/>
      <c r="AE65" s="302"/>
      <c r="AG65" s="302">
        <f t="shared" ref="AG65:AH83" si="99">S65*Z65/10^6</f>
        <v>0</v>
      </c>
      <c r="AH65" s="302">
        <f t="shared" si="99"/>
        <v>0</v>
      </c>
      <c r="AI65" s="302">
        <f t="shared" si="98"/>
        <v>0</v>
      </c>
      <c r="AJ65" s="302">
        <f t="shared" si="98"/>
        <v>0</v>
      </c>
      <c r="AK65" s="302">
        <f t="shared" si="98"/>
        <v>0</v>
      </c>
      <c r="AL65" s="302">
        <f t="shared" si="98"/>
        <v>0</v>
      </c>
      <c r="AN65" s="302">
        <f t="shared" si="7"/>
        <v>0</v>
      </c>
      <c r="AO65" s="302">
        <f t="shared" si="7"/>
        <v>0</v>
      </c>
      <c r="AP65" s="302">
        <f t="shared" si="7"/>
        <v>0</v>
      </c>
      <c r="AQ65" s="302">
        <f t="shared" si="7"/>
        <v>0</v>
      </c>
      <c r="AR65" s="302">
        <f t="shared" si="7"/>
        <v>0</v>
      </c>
      <c r="AS65" s="302">
        <f t="shared" si="7"/>
        <v>0</v>
      </c>
      <c r="AT65" s="404"/>
      <c r="AU65" s="302"/>
      <c r="AV65" s="302"/>
      <c r="AW65" s="302"/>
      <c r="AX65" s="302"/>
      <c r="AY65" s="302"/>
      <c r="AZ65" s="302"/>
      <c r="BB65" s="302"/>
      <c r="BC65" s="302"/>
      <c r="BD65" s="302"/>
      <c r="BE65" s="302"/>
      <c r="BF65" s="302"/>
      <c r="BG65" s="302"/>
      <c r="BK65" s="429">
        <f t="shared" si="90"/>
        <v>0</v>
      </c>
      <c r="BL65" s="428">
        <f t="shared" si="90"/>
        <v>0</v>
      </c>
      <c r="BM65" s="428">
        <f t="shared" si="90"/>
        <v>0</v>
      </c>
      <c r="BN65" s="428">
        <f t="shared" si="90"/>
        <v>0</v>
      </c>
      <c r="BO65" s="428">
        <f t="shared" si="90"/>
        <v>0</v>
      </c>
      <c r="BP65" s="428">
        <f t="shared" si="90"/>
        <v>0</v>
      </c>
      <c r="BQ65" s="436">
        <f t="shared" si="48"/>
        <v>0</v>
      </c>
      <c r="BX65" s="561"/>
      <c r="BY65" s="561"/>
      <c r="CA65" s="302"/>
      <c r="CB65" s="302"/>
      <c r="CC65" s="302"/>
      <c r="CD65" s="302"/>
      <c r="CE65" s="302"/>
      <c r="CF65" s="302"/>
      <c r="CJ65" s="443"/>
      <c r="CK65" s="428"/>
      <c r="CL65" s="428"/>
      <c r="CM65" s="428"/>
      <c r="CN65" s="428"/>
      <c r="CO65" s="428"/>
      <c r="CP65" s="426"/>
      <c r="CT65" s="451">
        <f t="shared" si="55"/>
        <v>0</v>
      </c>
      <c r="CU65" s="450">
        <f t="shared" si="55"/>
        <v>0</v>
      </c>
      <c r="CV65" s="450">
        <f t="shared" si="55"/>
        <v>0</v>
      </c>
      <c r="CW65" s="450">
        <f t="shared" si="55"/>
        <v>0</v>
      </c>
      <c r="CX65" s="450">
        <f t="shared" si="55"/>
        <v>0</v>
      </c>
      <c r="CY65" s="450">
        <f t="shared" si="55"/>
        <v>0</v>
      </c>
      <c r="CZ65" s="448">
        <f t="shared" si="56"/>
        <v>0</v>
      </c>
    </row>
    <row r="66" spans="1:105">
      <c r="A66" s="366"/>
      <c r="B66" s="380" t="str">
        <f>'[50]Productwise sales'!A63</f>
        <v>Fatty Alcohol Residue</v>
      </c>
      <c r="C66" s="381">
        <f>'[50]Productwise sales'!I63</f>
        <v>1862</v>
      </c>
      <c r="D66" s="381">
        <f>'[50]Productwise sales'!J63</f>
        <v>239.99999999999994</v>
      </c>
      <c r="E66" s="381"/>
      <c r="F66" s="381"/>
      <c r="G66" s="366"/>
      <c r="I66" s="381"/>
      <c r="J66" s="381"/>
      <c r="L66" s="381">
        <v>0</v>
      </c>
      <c r="M66" s="380">
        <f>1</f>
        <v>1</v>
      </c>
      <c r="N66" s="381">
        <f t="shared" ref="N66:N67" si="100">L66/M66</f>
        <v>0</v>
      </c>
      <c r="O66" s="381">
        <f>N66/$A$2</f>
        <v>0</v>
      </c>
      <c r="S66" s="381">
        <f>[50]Domestic!J63</f>
        <v>1862</v>
      </c>
      <c r="T66" s="381">
        <f>[50]Europe!B63</f>
        <v>0</v>
      </c>
      <c r="U66" s="381">
        <f>'[50]Asia-Pacific'!B63</f>
        <v>0</v>
      </c>
      <c r="V66" s="381">
        <f>'[50]Rest of world'!B63</f>
        <v>0</v>
      </c>
      <c r="W66" s="381">
        <f>'[50]North America'!B63</f>
        <v>0</v>
      </c>
      <c r="X66" s="381">
        <f>'[50]Latin America'!B63</f>
        <v>0</v>
      </c>
      <c r="Z66" s="381">
        <f>[50]Domestic!K63</f>
        <v>239.99999999999994</v>
      </c>
      <c r="AA66" s="381">
        <f>[50]Europe!C63</f>
        <v>0</v>
      </c>
      <c r="AB66" s="381">
        <f>'[50]Asia-Pacific'!C63</f>
        <v>0</v>
      </c>
      <c r="AC66" s="381">
        <f>'[50]Rest of world'!C63</f>
        <v>0</v>
      </c>
      <c r="AD66" s="381">
        <f>'[50]North America'!C63</f>
        <v>0</v>
      </c>
      <c r="AE66" s="381">
        <f>'[50]Latin America'!C63</f>
        <v>0</v>
      </c>
      <c r="AF66" s="366"/>
      <c r="AG66" s="381">
        <f t="shared" si="99"/>
        <v>0.44687999999999989</v>
      </c>
      <c r="AH66" s="381">
        <f t="shared" si="99"/>
        <v>0</v>
      </c>
      <c r="AI66" s="381">
        <f t="shared" si="98"/>
        <v>0</v>
      </c>
      <c r="AJ66" s="381">
        <f t="shared" si="98"/>
        <v>0</v>
      </c>
      <c r="AK66" s="381">
        <f t="shared" si="98"/>
        <v>0</v>
      </c>
      <c r="AL66" s="381">
        <f t="shared" si="98"/>
        <v>0</v>
      </c>
      <c r="AM66" s="366"/>
      <c r="AN66" s="381">
        <f t="shared" si="7"/>
        <v>3.1281599999999994</v>
      </c>
      <c r="AO66" s="381">
        <f t="shared" si="7"/>
        <v>0</v>
      </c>
      <c r="AP66" s="381">
        <f t="shared" si="7"/>
        <v>0</v>
      </c>
      <c r="AQ66" s="381">
        <f t="shared" si="7"/>
        <v>0</v>
      </c>
      <c r="AR66" s="381">
        <f t="shared" si="7"/>
        <v>0</v>
      </c>
      <c r="AS66" s="381">
        <f t="shared" si="7"/>
        <v>0</v>
      </c>
      <c r="AT66" s="404"/>
      <c r="AU66" s="381"/>
      <c r="AV66" s="381"/>
      <c r="AW66" s="381"/>
      <c r="AX66" s="381"/>
      <c r="AY66" s="381"/>
      <c r="AZ66" s="381"/>
      <c r="BB66" s="381"/>
      <c r="BC66" s="381"/>
      <c r="BD66" s="381"/>
      <c r="BE66" s="381"/>
      <c r="BF66" s="381"/>
      <c r="BG66" s="381"/>
      <c r="BK66" s="428">
        <f t="shared" si="90"/>
        <v>0</v>
      </c>
      <c r="BL66" s="428">
        <f t="shared" si="90"/>
        <v>0</v>
      </c>
      <c r="BM66" s="428">
        <f t="shared" si="90"/>
        <v>0</v>
      </c>
      <c r="BN66" s="428">
        <f t="shared" si="90"/>
        <v>0</v>
      </c>
      <c r="BO66" s="428">
        <f t="shared" si="90"/>
        <v>0</v>
      </c>
      <c r="BP66" s="428">
        <f t="shared" si="90"/>
        <v>0</v>
      </c>
      <c r="BQ66" s="436">
        <f t="shared" si="48"/>
        <v>0</v>
      </c>
      <c r="BX66" s="561"/>
      <c r="BY66" s="561"/>
      <c r="CA66" s="381">
        <f>IF(Z66=0,0,Z66-$O$66)</f>
        <v>239.99999999999994</v>
      </c>
      <c r="CB66" s="381">
        <f t="shared" ref="CB66:CF66" si="101">IF(AA66=0,0,AA66-$O$66)</f>
        <v>0</v>
      </c>
      <c r="CC66" s="381">
        <f t="shared" si="101"/>
        <v>0</v>
      </c>
      <c r="CD66" s="381">
        <f t="shared" si="101"/>
        <v>0</v>
      </c>
      <c r="CE66" s="381">
        <f t="shared" si="101"/>
        <v>0</v>
      </c>
      <c r="CF66" s="381">
        <f t="shared" si="101"/>
        <v>0</v>
      </c>
      <c r="CJ66" s="440">
        <f t="shared" ref="CJ66:CO67" si="102">S66*CA66*$A$2/10^7</f>
        <v>3.1281599999999994</v>
      </c>
      <c r="CK66" s="425">
        <f t="shared" si="102"/>
        <v>0</v>
      </c>
      <c r="CL66" s="425">
        <f t="shared" si="102"/>
        <v>0</v>
      </c>
      <c r="CM66" s="425">
        <f t="shared" si="102"/>
        <v>0</v>
      </c>
      <c r="CN66" s="425">
        <f t="shared" si="102"/>
        <v>0</v>
      </c>
      <c r="CO66" s="425">
        <f t="shared" si="102"/>
        <v>0</v>
      </c>
      <c r="CP66" s="426">
        <f t="shared" ref="CP66:CP67" si="103">SUM(CJ66:CO66)</f>
        <v>3.1281599999999994</v>
      </c>
      <c r="CT66" s="447">
        <f t="shared" si="55"/>
        <v>3.1281599999999994</v>
      </c>
      <c r="CU66" s="447">
        <f t="shared" si="55"/>
        <v>0</v>
      </c>
      <c r="CV66" s="447">
        <f t="shared" si="55"/>
        <v>0</v>
      </c>
      <c r="CW66" s="447">
        <f t="shared" si="55"/>
        <v>0</v>
      </c>
      <c r="CX66" s="447">
        <f t="shared" si="55"/>
        <v>0</v>
      </c>
      <c r="CY66" s="447">
        <f t="shared" si="55"/>
        <v>0</v>
      </c>
      <c r="CZ66" s="448">
        <f t="shared" si="56"/>
        <v>3.1281599999999994</v>
      </c>
      <c r="DA66" s="413"/>
    </row>
    <row r="67" spans="1:105">
      <c r="A67" s="366"/>
      <c r="B67" s="380" t="str">
        <f>'[50]Productwise sales'!A64</f>
        <v>Pitch</v>
      </c>
      <c r="C67" s="381">
        <f>'[50]Productwise sales'!I64</f>
        <v>5266</v>
      </c>
      <c r="D67" s="381">
        <f>'[50]Productwise sales'!J64</f>
        <v>120</v>
      </c>
      <c r="E67" s="381"/>
      <c r="F67" s="381"/>
      <c r="G67" s="366"/>
      <c r="I67" s="381"/>
      <c r="J67" s="381"/>
      <c r="L67" s="381">
        <v>0</v>
      </c>
      <c r="M67" s="380">
        <f>1</f>
        <v>1</v>
      </c>
      <c r="N67" s="381">
        <f t="shared" si="100"/>
        <v>0</v>
      </c>
      <c r="O67" s="381">
        <f>N67/$A$2</f>
        <v>0</v>
      </c>
      <c r="S67" s="381">
        <f>[50]Domestic!J64</f>
        <v>5266</v>
      </c>
      <c r="T67" s="381">
        <f>[50]Europe!B64</f>
        <v>0</v>
      </c>
      <c r="U67" s="381">
        <f>'[50]Asia-Pacific'!B64</f>
        <v>0</v>
      </c>
      <c r="V67" s="381">
        <f>'[50]Rest of world'!B64</f>
        <v>0</v>
      </c>
      <c r="W67" s="381">
        <f>'[50]North America'!B64</f>
        <v>0</v>
      </c>
      <c r="X67" s="381">
        <f>'[50]Latin America'!B64</f>
        <v>0</v>
      </c>
      <c r="Z67" s="381">
        <f>[50]Domestic!K64</f>
        <v>120</v>
      </c>
      <c r="AA67" s="381">
        <f>[50]Europe!C64</f>
        <v>0</v>
      </c>
      <c r="AB67" s="381">
        <f>'[50]Asia-Pacific'!C64</f>
        <v>0</v>
      </c>
      <c r="AC67" s="381">
        <f>'[50]Rest of world'!C64</f>
        <v>0</v>
      </c>
      <c r="AD67" s="381">
        <f>'[50]North America'!C64</f>
        <v>0</v>
      </c>
      <c r="AE67" s="381">
        <f>'[50]Latin America'!C64</f>
        <v>0</v>
      </c>
      <c r="AF67" s="366"/>
      <c r="AG67" s="381">
        <f t="shared" si="99"/>
        <v>0.63192000000000004</v>
      </c>
      <c r="AH67" s="381">
        <f t="shared" si="99"/>
        <v>0</v>
      </c>
      <c r="AI67" s="381">
        <f t="shared" si="98"/>
        <v>0</v>
      </c>
      <c r="AJ67" s="381">
        <f t="shared" si="98"/>
        <v>0</v>
      </c>
      <c r="AK67" s="381">
        <f t="shared" si="98"/>
        <v>0</v>
      </c>
      <c r="AL67" s="381">
        <f t="shared" si="98"/>
        <v>0</v>
      </c>
      <c r="AM67" s="366"/>
      <c r="AN67" s="381">
        <f t="shared" si="7"/>
        <v>4.4234400000000003</v>
      </c>
      <c r="AO67" s="381">
        <f t="shared" si="7"/>
        <v>0</v>
      </c>
      <c r="AP67" s="381">
        <f t="shared" si="7"/>
        <v>0</v>
      </c>
      <c r="AQ67" s="381">
        <f t="shared" si="7"/>
        <v>0</v>
      </c>
      <c r="AR67" s="381">
        <f t="shared" si="7"/>
        <v>0</v>
      </c>
      <c r="AS67" s="381">
        <f t="shared" si="7"/>
        <v>0</v>
      </c>
      <c r="AT67" s="404"/>
      <c r="AU67" s="381"/>
      <c r="AV67" s="381"/>
      <c r="AW67" s="381"/>
      <c r="AX67" s="381"/>
      <c r="AY67" s="381"/>
      <c r="AZ67" s="381"/>
      <c r="BB67" s="381"/>
      <c r="BC67" s="381"/>
      <c r="BD67" s="381"/>
      <c r="BE67" s="381"/>
      <c r="BF67" s="381"/>
      <c r="BG67" s="381"/>
      <c r="BK67" s="428">
        <f t="shared" si="90"/>
        <v>0</v>
      </c>
      <c r="BL67" s="428">
        <f t="shared" si="90"/>
        <v>0</v>
      </c>
      <c r="BM67" s="428">
        <f t="shared" si="90"/>
        <v>0</v>
      </c>
      <c r="BN67" s="428">
        <f t="shared" si="90"/>
        <v>0</v>
      </c>
      <c r="BO67" s="428">
        <f t="shared" si="90"/>
        <v>0</v>
      </c>
      <c r="BP67" s="428">
        <f t="shared" si="90"/>
        <v>0</v>
      </c>
      <c r="BQ67" s="436">
        <f t="shared" si="48"/>
        <v>0</v>
      </c>
      <c r="BX67" s="561"/>
      <c r="BY67" s="561"/>
      <c r="CA67" s="381">
        <f>IF(Z67=0,0,Z67-$O$67)</f>
        <v>120</v>
      </c>
      <c r="CB67" s="381">
        <f t="shared" ref="CB67:CF67" si="104">IF(AA67=0,0,AA67-$O$67)</f>
        <v>0</v>
      </c>
      <c r="CC67" s="381">
        <f t="shared" si="104"/>
        <v>0</v>
      </c>
      <c r="CD67" s="381">
        <f t="shared" si="104"/>
        <v>0</v>
      </c>
      <c r="CE67" s="381">
        <f t="shared" si="104"/>
        <v>0</v>
      </c>
      <c r="CF67" s="381">
        <f t="shared" si="104"/>
        <v>0</v>
      </c>
      <c r="CJ67" s="440">
        <f t="shared" si="102"/>
        <v>4.4234400000000003</v>
      </c>
      <c r="CK67" s="425">
        <f t="shared" si="102"/>
        <v>0</v>
      </c>
      <c r="CL67" s="425">
        <f t="shared" si="102"/>
        <v>0</v>
      </c>
      <c r="CM67" s="425">
        <f t="shared" si="102"/>
        <v>0</v>
      </c>
      <c r="CN67" s="425">
        <f t="shared" si="102"/>
        <v>0</v>
      </c>
      <c r="CO67" s="425">
        <f t="shared" si="102"/>
        <v>0</v>
      </c>
      <c r="CP67" s="426">
        <f t="shared" si="103"/>
        <v>4.4234400000000003</v>
      </c>
      <c r="CT67" s="447">
        <f t="shared" si="55"/>
        <v>4.4234400000000003</v>
      </c>
      <c r="CU67" s="447">
        <f t="shared" si="55"/>
        <v>0</v>
      </c>
      <c r="CV67" s="447">
        <f t="shared" si="55"/>
        <v>0</v>
      </c>
      <c r="CW67" s="447">
        <f t="shared" si="55"/>
        <v>0</v>
      </c>
      <c r="CX67" s="447">
        <f t="shared" si="55"/>
        <v>0</v>
      </c>
      <c r="CY67" s="447">
        <f t="shared" si="55"/>
        <v>0</v>
      </c>
      <c r="CZ67" s="448">
        <f t="shared" si="56"/>
        <v>4.4234400000000003</v>
      </c>
      <c r="DA67" s="413"/>
    </row>
    <row r="68" spans="1:105">
      <c r="B68" s="291" t="str">
        <f>'[50]Productwise sales'!A65</f>
        <v>Residue</v>
      </c>
      <c r="C68" s="302"/>
      <c r="D68" s="302"/>
      <c r="E68" s="302"/>
      <c r="F68" s="302"/>
      <c r="I68" s="302"/>
      <c r="J68" s="302"/>
      <c r="L68" s="302"/>
      <c r="S68" s="266"/>
      <c r="T68" s="302">
        <f>[50]Europe!B65</f>
        <v>0</v>
      </c>
      <c r="U68" s="302">
        <f>'[50]Asia-Pacific'!B65</f>
        <v>0</v>
      </c>
      <c r="V68" s="302">
        <f>'[50]Rest of world'!B65</f>
        <v>0</v>
      </c>
      <c r="W68" s="302">
        <f>'[50]North America'!B65</f>
        <v>0</v>
      </c>
      <c r="X68" s="302">
        <f>'[50]Latin America'!B65</f>
        <v>0</v>
      </c>
      <c r="Z68" s="266"/>
      <c r="AA68" s="302">
        <f>[50]Europe!C65</f>
        <v>0</v>
      </c>
      <c r="AB68" s="302">
        <f>'[50]Asia-Pacific'!C65</f>
        <v>0</v>
      </c>
      <c r="AC68" s="302">
        <f>'[50]Rest of world'!C65</f>
        <v>0</v>
      </c>
      <c r="AD68" s="302">
        <f>'[50]North America'!C65</f>
        <v>0</v>
      </c>
      <c r="AE68" s="302">
        <f>'[50]Latin America'!C65</f>
        <v>0</v>
      </c>
      <c r="AG68" s="302">
        <f t="shared" si="99"/>
        <v>0</v>
      </c>
      <c r="AH68" s="302">
        <f t="shared" si="99"/>
        <v>0</v>
      </c>
      <c r="AI68" s="302">
        <f t="shared" si="98"/>
        <v>0</v>
      </c>
      <c r="AJ68" s="302">
        <f t="shared" si="98"/>
        <v>0</v>
      </c>
      <c r="AK68" s="302">
        <f t="shared" si="98"/>
        <v>0</v>
      </c>
      <c r="AL68" s="302">
        <f t="shared" si="98"/>
        <v>0</v>
      </c>
      <c r="AN68" s="302">
        <f t="shared" ref="AN68:AS83" si="105">AG68*70/10</f>
        <v>0</v>
      </c>
      <c r="AO68" s="302">
        <f t="shared" si="105"/>
        <v>0</v>
      </c>
      <c r="AP68" s="302">
        <f t="shared" si="105"/>
        <v>0</v>
      </c>
      <c r="AQ68" s="302">
        <f t="shared" si="105"/>
        <v>0</v>
      </c>
      <c r="AR68" s="302">
        <f t="shared" si="105"/>
        <v>0</v>
      </c>
      <c r="AS68" s="302">
        <f t="shared" si="105"/>
        <v>0</v>
      </c>
      <c r="AT68" s="404"/>
      <c r="AU68" s="302"/>
      <c r="AV68" s="302"/>
      <c r="AW68" s="302"/>
      <c r="AX68" s="302"/>
      <c r="AY68" s="302"/>
      <c r="AZ68" s="302"/>
      <c r="BB68" s="302"/>
      <c r="BC68" s="302"/>
      <c r="BD68" s="302"/>
      <c r="BE68" s="302"/>
      <c r="BF68" s="302"/>
      <c r="BG68" s="302"/>
      <c r="BK68" s="429">
        <f t="shared" si="90"/>
        <v>0</v>
      </c>
      <c r="BL68" s="428">
        <f t="shared" si="90"/>
        <v>0</v>
      </c>
      <c r="BM68" s="428">
        <f t="shared" si="90"/>
        <v>0</v>
      </c>
      <c r="BN68" s="428">
        <f t="shared" si="90"/>
        <v>0</v>
      </c>
      <c r="BO68" s="428">
        <f t="shared" si="90"/>
        <v>0</v>
      </c>
      <c r="BP68" s="428">
        <f t="shared" si="90"/>
        <v>0</v>
      </c>
      <c r="BQ68" s="436">
        <f t="shared" si="48"/>
        <v>0</v>
      </c>
      <c r="BX68" s="561"/>
      <c r="BY68" s="561"/>
      <c r="CA68" s="302"/>
      <c r="CB68" s="302"/>
      <c r="CC68" s="302"/>
      <c r="CD68" s="302"/>
      <c r="CE68" s="302"/>
      <c r="CF68" s="302"/>
      <c r="CJ68" s="429"/>
      <c r="CK68" s="428"/>
      <c r="CL68" s="428"/>
      <c r="CM68" s="428"/>
      <c r="CN68" s="428"/>
      <c r="CO68" s="428"/>
      <c r="CP68" s="426"/>
      <c r="CT68" s="451">
        <f t="shared" si="55"/>
        <v>0</v>
      </c>
      <c r="CU68" s="450">
        <f t="shared" si="55"/>
        <v>0</v>
      </c>
      <c r="CV68" s="450">
        <f t="shared" si="55"/>
        <v>0</v>
      </c>
      <c r="CW68" s="450">
        <f t="shared" si="55"/>
        <v>0</v>
      </c>
      <c r="CX68" s="450">
        <f t="shared" si="55"/>
        <v>0</v>
      </c>
      <c r="CY68" s="450">
        <f t="shared" si="55"/>
        <v>0</v>
      </c>
      <c r="CZ68" s="448">
        <f t="shared" si="56"/>
        <v>0</v>
      </c>
    </row>
    <row r="69" spans="1:105">
      <c r="B69" s="291">
        <f>'[50]Productwise sales'!A66</f>
        <v>0</v>
      </c>
      <c r="C69" s="266"/>
      <c r="D69" s="266"/>
      <c r="E69" s="266"/>
      <c r="F69" s="302"/>
      <c r="I69" s="302"/>
      <c r="J69" s="302"/>
      <c r="L69" s="302"/>
      <c r="S69" s="302">
        <f>[50]Domestic!J66</f>
        <v>0</v>
      </c>
      <c r="T69" s="302">
        <f>[50]Europe!B66</f>
        <v>0</v>
      </c>
      <c r="U69" s="302">
        <f>'[50]Asia-Pacific'!B66</f>
        <v>0</v>
      </c>
      <c r="V69" s="302">
        <f>'[50]Rest of world'!B66</f>
        <v>0</v>
      </c>
      <c r="W69" s="302">
        <f>'[50]North America'!B66</f>
        <v>0</v>
      </c>
      <c r="X69" s="302">
        <f>'[50]Latin America'!B66</f>
        <v>0</v>
      </c>
      <c r="Z69" s="302">
        <f>[50]Domestic!K66</f>
        <v>0</v>
      </c>
      <c r="AA69" s="302">
        <f>[50]Europe!C66</f>
        <v>0</v>
      </c>
      <c r="AB69" s="302">
        <f>'[50]Asia-Pacific'!C66</f>
        <v>0</v>
      </c>
      <c r="AC69" s="302">
        <f>'[50]Rest of world'!C66</f>
        <v>0</v>
      </c>
      <c r="AD69" s="302">
        <f>'[50]North America'!C66</f>
        <v>0</v>
      </c>
      <c r="AE69" s="302">
        <f>'[50]Latin America'!C66</f>
        <v>0</v>
      </c>
      <c r="AG69" s="302">
        <f t="shared" si="99"/>
        <v>0</v>
      </c>
      <c r="AH69" s="302">
        <f t="shared" si="99"/>
        <v>0</v>
      </c>
      <c r="AI69" s="302">
        <f t="shared" si="98"/>
        <v>0</v>
      </c>
      <c r="AJ69" s="302">
        <f t="shared" si="98"/>
        <v>0</v>
      </c>
      <c r="AK69" s="302">
        <f t="shared" si="98"/>
        <v>0</v>
      </c>
      <c r="AL69" s="302">
        <f t="shared" si="98"/>
        <v>0</v>
      </c>
      <c r="AN69" s="302">
        <f t="shared" si="105"/>
        <v>0</v>
      </c>
      <c r="AO69" s="302">
        <f t="shared" si="105"/>
        <v>0</v>
      </c>
      <c r="AP69" s="302">
        <f t="shared" si="105"/>
        <v>0</v>
      </c>
      <c r="AQ69" s="302">
        <f t="shared" si="105"/>
        <v>0</v>
      </c>
      <c r="AR69" s="302">
        <f t="shared" si="105"/>
        <v>0</v>
      </c>
      <c r="AS69" s="302">
        <f t="shared" si="105"/>
        <v>0</v>
      </c>
      <c r="AT69" s="404"/>
      <c r="AU69" s="302"/>
      <c r="AV69" s="302"/>
      <c r="AW69" s="302"/>
      <c r="AX69" s="302"/>
      <c r="AY69" s="302"/>
      <c r="AZ69" s="302"/>
      <c r="BB69" s="302"/>
      <c r="BC69" s="302"/>
      <c r="BD69" s="302"/>
      <c r="BE69" s="302"/>
      <c r="BF69" s="302"/>
      <c r="BG69" s="302"/>
      <c r="BK69" s="428">
        <f t="shared" si="90"/>
        <v>0</v>
      </c>
      <c r="BL69" s="428">
        <f t="shared" si="90"/>
        <v>0</v>
      </c>
      <c r="BM69" s="428">
        <f t="shared" si="90"/>
        <v>0</v>
      </c>
      <c r="BN69" s="428">
        <f t="shared" si="90"/>
        <v>0</v>
      </c>
      <c r="BO69" s="428">
        <f t="shared" si="90"/>
        <v>0</v>
      </c>
      <c r="BP69" s="428">
        <f t="shared" si="90"/>
        <v>0</v>
      </c>
      <c r="BQ69" s="436">
        <f t="shared" si="48"/>
        <v>0</v>
      </c>
      <c r="BX69" s="561"/>
      <c r="BY69" s="561"/>
      <c r="CA69" s="302"/>
      <c r="CB69" s="302"/>
      <c r="CC69" s="302"/>
      <c r="CD69" s="302"/>
      <c r="CE69" s="302"/>
      <c r="CF69" s="302"/>
      <c r="CJ69" s="428"/>
      <c r="CK69" s="428"/>
      <c r="CL69" s="428"/>
      <c r="CM69" s="428"/>
      <c r="CN69" s="428"/>
      <c r="CO69" s="428"/>
      <c r="CP69" s="426"/>
      <c r="CT69" s="450">
        <f t="shared" si="55"/>
        <v>0</v>
      </c>
      <c r="CU69" s="450">
        <f t="shared" si="55"/>
        <v>0</v>
      </c>
      <c r="CV69" s="450">
        <f t="shared" si="55"/>
        <v>0</v>
      </c>
      <c r="CW69" s="450">
        <f t="shared" si="55"/>
        <v>0</v>
      </c>
      <c r="CX69" s="450">
        <f t="shared" si="55"/>
        <v>0</v>
      </c>
      <c r="CY69" s="450">
        <f t="shared" si="55"/>
        <v>0</v>
      </c>
      <c r="CZ69" s="448">
        <f t="shared" si="56"/>
        <v>0</v>
      </c>
    </row>
    <row r="70" spans="1:105">
      <c r="B70" s="291" t="str">
        <f>'[50]Productwise sales'!A67</f>
        <v>Sub Total</v>
      </c>
      <c r="C70" s="266"/>
      <c r="D70" s="266"/>
      <c r="E70" s="266"/>
      <c r="F70" s="302"/>
      <c r="I70" s="302"/>
      <c r="J70" s="302"/>
      <c r="L70" s="302"/>
      <c r="S70" s="302"/>
      <c r="T70" s="302"/>
      <c r="U70" s="302"/>
      <c r="V70" s="302"/>
      <c r="W70" s="302"/>
      <c r="X70" s="302"/>
      <c r="Z70" s="302"/>
      <c r="AA70" s="302"/>
      <c r="AB70" s="302"/>
      <c r="AC70" s="302"/>
      <c r="AD70" s="302"/>
      <c r="AE70" s="302"/>
      <c r="AG70" s="302">
        <f t="shared" si="99"/>
        <v>0</v>
      </c>
      <c r="AH70" s="302">
        <f t="shared" si="99"/>
        <v>0</v>
      </c>
      <c r="AI70" s="302">
        <f t="shared" si="98"/>
        <v>0</v>
      </c>
      <c r="AJ70" s="302">
        <f t="shared" si="98"/>
        <v>0</v>
      </c>
      <c r="AK70" s="302">
        <f t="shared" si="98"/>
        <v>0</v>
      </c>
      <c r="AL70" s="302">
        <f t="shared" si="98"/>
        <v>0</v>
      </c>
      <c r="AN70" s="302">
        <f t="shared" si="105"/>
        <v>0</v>
      </c>
      <c r="AO70" s="302">
        <f t="shared" si="105"/>
        <v>0</v>
      </c>
      <c r="AP70" s="302">
        <f t="shared" si="105"/>
        <v>0</v>
      </c>
      <c r="AQ70" s="302">
        <f t="shared" si="105"/>
        <v>0</v>
      </c>
      <c r="AR70" s="302">
        <f t="shared" si="105"/>
        <v>0</v>
      </c>
      <c r="AS70" s="302">
        <f t="shared" si="105"/>
        <v>0</v>
      </c>
      <c r="AT70" s="404"/>
      <c r="AU70" s="302"/>
      <c r="AV70" s="302"/>
      <c r="AW70" s="302"/>
      <c r="AX70" s="302"/>
      <c r="AY70" s="302"/>
      <c r="AZ70" s="302"/>
      <c r="BB70" s="302"/>
      <c r="BC70" s="302"/>
      <c r="BD70" s="302"/>
      <c r="BE70" s="302"/>
      <c r="BF70" s="302"/>
      <c r="BG70" s="302"/>
      <c r="BK70" s="428">
        <f t="shared" si="90"/>
        <v>0</v>
      </c>
      <c r="BL70" s="428">
        <f t="shared" si="90"/>
        <v>0</v>
      </c>
      <c r="BM70" s="428">
        <f t="shared" si="90"/>
        <v>0</v>
      </c>
      <c r="BN70" s="428">
        <f t="shared" si="90"/>
        <v>0</v>
      </c>
      <c r="BO70" s="428">
        <f t="shared" si="90"/>
        <v>0</v>
      </c>
      <c r="BP70" s="428">
        <f t="shared" si="90"/>
        <v>0</v>
      </c>
      <c r="BQ70" s="436">
        <f t="shared" si="48"/>
        <v>0</v>
      </c>
      <c r="BX70" s="561"/>
      <c r="BY70" s="561"/>
      <c r="CA70" s="302"/>
      <c r="CB70" s="302"/>
      <c r="CC70" s="302"/>
      <c r="CD70" s="302"/>
      <c r="CE70" s="302"/>
      <c r="CF70" s="302"/>
      <c r="CJ70" s="428"/>
      <c r="CK70" s="428"/>
      <c r="CL70" s="428"/>
      <c r="CM70" s="428"/>
      <c r="CN70" s="428"/>
      <c r="CO70" s="428"/>
      <c r="CP70" s="426"/>
      <c r="CT70" s="450">
        <f t="shared" si="55"/>
        <v>0</v>
      </c>
      <c r="CU70" s="450">
        <f t="shared" si="55"/>
        <v>0</v>
      </c>
      <c r="CV70" s="450">
        <f t="shared" si="55"/>
        <v>0</v>
      </c>
      <c r="CW70" s="450">
        <f t="shared" si="55"/>
        <v>0</v>
      </c>
      <c r="CX70" s="450">
        <f t="shared" si="55"/>
        <v>0</v>
      </c>
      <c r="CY70" s="450">
        <f t="shared" si="55"/>
        <v>0</v>
      </c>
      <c r="CZ70" s="448">
        <f t="shared" si="56"/>
        <v>0</v>
      </c>
    </row>
    <row r="71" spans="1:105">
      <c r="B71" s="291">
        <f>'[50]Productwise sales'!A68</f>
        <v>0</v>
      </c>
      <c r="C71" s="266"/>
      <c r="D71" s="266"/>
      <c r="E71" s="266"/>
      <c r="F71" s="302"/>
      <c r="I71" s="302"/>
      <c r="J71" s="302"/>
      <c r="L71" s="302"/>
      <c r="S71" s="302">
        <f>[50]Domestic!J68</f>
        <v>0</v>
      </c>
      <c r="T71" s="302">
        <f>[50]Europe!B68</f>
        <v>0</v>
      </c>
      <c r="U71" s="302">
        <f>'[50]Asia-Pacific'!B68</f>
        <v>0</v>
      </c>
      <c r="V71" s="302">
        <f>'[50]Rest of world'!B68</f>
        <v>0</v>
      </c>
      <c r="W71" s="302">
        <f>'[50]North America'!B68</f>
        <v>0</v>
      </c>
      <c r="X71" s="302">
        <f>'[50]Latin America'!B68</f>
        <v>0</v>
      </c>
      <c r="Z71" s="302">
        <f>[50]Domestic!K68</f>
        <v>0</v>
      </c>
      <c r="AA71" s="302">
        <f>[50]Europe!C68</f>
        <v>0</v>
      </c>
      <c r="AB71" s="302">
        <f>'[50]Asia-Pacific'!C68</f>
        <v>0</v>
      </c>
      <c r="AC71" s="302">
        <f>'[50]Rest of world'!C68</f>
        <v>0</v>
      </c>
      <c r="AD71" s="302">
        <f>'[50]North America'!C68</f>
        <v>0</v>
      </c>
      <c r="AE71" s="302">
        <f>'[50]Latin America'!C68</f>
        <v>0</v>
      </c>
      <c r="AG71" s="302">
        <f t="shared" si="99"/>
        <v>0</v>
      </c>
      <c r="AH71" s="302">
        <f t="shared" si="99"/>
        <v>0</v>
      </c>
      <c r="AI71" s="302">
        <f t="shared" si="98"/>
        <v>0</v>
      </c>
      <c r="AJ71" s="302">
        <f t="shared" si="98"/>
        <v>0</v>
      </c>
      <c r="AK71" s="302">
        <f t="shared" si="98"/>
        <v>0</v>
      </c>
      <c r="AL71" s="302">
        <f t="shared" si="98"/>
        <v>0</v>
      </c>
      <c r="AN71" s="302">
        <f t="shared" si="105"/>
        <v>0</v>
      </c>
      <c r="AO71" s="302">
        <f t="shared" si="105"/>
        <v>0</v>
      </c>
      <c r="AP71" s="302">
        <f t="shared" si="105"/>
        <v>0</v>
      </c>
      <c r="AQ71" s="302">
        <f t="shared" si="105"/>
        <v>0</v>
      </c>
      <c r="AR71" s="302">
        <f t="shared" si="105"/>
        <v>0</v>
      </c>
      <c r="AS71" s="302">
        <f t="shared" si="105"/>
        <v>0</v>
      </c>
      <c r="AT71" s="404"/>
      <c r="AU71" s="302"/>
      <c r="AV71" s="302"/>
      <c r="AW71" s="302"/>
      <c r="AX71" s="302"/>
      <c r="AY71" s="302"/>
      <c r="AZ71" s="302"/>
      <c r="BB71" s="302"/>
      <c r="BC71" s="302"/>
      <c r="BD71" s="302"/>
      <c r="BE71" s="302"/>
      <c r="BF71" s="302"/>
      <c r="BG71" s="302"/>
      <c r="BK71" s="428">
        <f t="shared" si="90"/>
        <v>0</v>
      </c>
      <c r="BL71" s="428">
        <f t="shared" si="90"/>
        <v>0</v>
      </c>
      <c r="BM71" s="428">
        <f t="shared" si="90"/>
        <v>0</v>
      </c>
      <c r="BN71" s="428">
        <f t="shared" si="90"/>
        <v>0</v>
      </c>
      <c r="BO71" s="428">
        <f t="shared" si="90"/>
        <v>0</v>
      </c>
      <c r="BP71" s="428">
        <f t="shared" si="90"/>
        <v>0</v>
      </c>
      <c r="BQ71" s="436">
        <f t="shared" si="48"/>
        <v>0</v>
      </c>
      <c r="BX71" s="561"/>
      <c r="BY71" s="561"/>
      <c r="CA71" s="302"/>
      <c r="CB71" s="302"/>
      <c r="CC71" s="302"/>
      <c r="CD71" s="302"/>
      <c r="CE71" s="302"/>
      <c r="CF71" s="302"/>
      <c r="CJ71" s="428"/>
      <c r="CK71" s="428"/>
      <c r="CL71" s="428"/>
      <c r="CM71" s="428"/>
      <c r="CN71" s="428"/>
      <c r="CO71" s="428"/>
      <c r="CP71" s="426"/>
      <c r="CT71" s="450">
        <f t="shared" si="55"/>
        <v>0</v>
      </c>
      <c r="CU71" s="450">
        <f t="shared" si="55"/>
        <v>0</v>
      </c>
      <c r="CV71" s="450">
        <f t="shared" si="55"/>
        <v>0</v>
      </c>
      <c r="CW71" s="450">
        <f t="shared" si="55"/>
        <v>0</v>
      </c>
      <c r="CX71" s="450">
        <f t="shared" si="55"/>
        <v>0</v>
      </c>
      <c r="CY71" s="450">
        <f t="shared" si="55"/>
        <v>0</v>
      </c>
      <c r="CZ71" s="448">
        <f t="shared" si="56"/>
        <v>0</v>
      </c>
    </row>
    <row r="72" spans="1:105">
      <c r="B72" s="291" t="str">
        <f>'[50]Productwise sales'!A69</f>
        <v>Hydrogen Gas</v>
      </c>
      <c r="C72" s="266"/>
      <c r="D72" s="266"/>
      <c r="E72" s="266"/>
      <c r="F72" s="302"/>
      <c r="I72" s="302"/>
      <c r="J72" s="302"/>
      <c r="L72" s="302"/>
      <c r="S72" s="302">
        <f>[50]Domestic!J69</f>
        <v>0</v>
      </c>
      <c r="T72" s="302">
        <f>[50]Europe!B69</f>
        <v>0</v>
      </c>
      <c r="U72" s="302">
        <f>'[50]Asia-Pacific'!B69</f>
        <v>0</v>
      </c>
      <c r="V72" s="302">
        <f>'[50]Rest of world'!B69</f>
        <v>0</v>
      </c>
      <c r="W72" s="302">
        <f>'[50]North America'!B69</f>
        <v>0</v>
      </c>
      <c r="X72" s="302">
        <f>'[50]Latin America'!B69</f>
        <v>0</v>
      </c>
      <c r="Z72" s="302">
        <f>[50]Domestic!K69</f>
        <v>0</v>
      </c>
      <c r="AA72" s="302">
        <f>[50]Europe!C69</f>
        <v>0</v>
      </c>
      <c r="AB72" s="302">
        <f>'[50]Asia-Pacific'!C69</f>
        <v>0</v>
      </c>
      <c r="AC72" s="302">
        <f>'[50]Rest of world'!C69</f>
        <v>0</v>
      </c>
      <c r="AD72" s="302">
        <f>'[50]North America'!C69</f>
        <v>0</v>
      </c>
      <c r="AE72" s="302">
        <f>'[50]Latin America'!C69</f>
        <v>0</v>
      </c>
      <c r="AG72" s="302">
        <f t="shared" si="99"/>
        <v>0</v>
      </c>
      <c r="AH72" s="302">
        <f t="shared" si="99"/>
        <v>0</v>
      </c>
      <c r="AI72" s="302">
        <f t="shared" si="98"/>
        <v>0</v>
      </c>
      <c r="AJ72" s="302">
        <f t="shared" si="98"/>
        <v>0</v>
      </c>
      <c r="AK72" s="302">
        <f t="shared" si="98"/>
        <v>0</v>
      </c>
      <c r="AL72" s="302">
        <f t="shared" si="98"/>
        <v>0</v>
      </c>
      <c r="AN72" s="302">
        <f t="shared" si="105"/>
        <v>0</v>
      </c>
      <c r="AO72" s="302">
        <f t="shared" si="105"/>
        <v>0</v>
      </c>
      <c r="AP72" s="302">
        <f t="shared" si="105"/>
        <v>0</v>
      </c>
      <c r="AQ72" s="302">
        <f t="shared" si="105"/>
        <v>0</v>
      </c>
      <c r="AR72" s="302">
        <f t="shared" si="105"/>
        <v>0</v>
      </c>
      <c r="AS72" s="302">
        <f t="shared" si="105"/>
        <v>0</v>
      </c>
      <c r="AT72" s="404"/>
      <c r="AU72" s="302"/>
      <c r="AV72" s="302"/>
      <c r="AW72" s="302"/>
      <c r="AX72" s="302"/>
      <c r="AY72" s="302"/>
      <c r="AZ72" s="302"/>
      <c r="BB72" s="302"/>
      <c r="BC72" s="302"/>
      <c r="BD72" s="302"/>
      <c r="BE72" s="302"/>
      <c r="BF72" s="302"/>
      <c r="BG72" s="302"/>
      <c r="BK72" s="428">
        <f t="shared" si="90"/>
        <v>0</v>
      </c>
      <c r="BL72" s="428">
        <f t="shared" si="90"/>
        <v>0</v>
      </c>
      <c r="BM72" s="428">
        <f t="shared" si="90"/>
        <v>0</v>
      </c>
      <c r="BN72" s="428">
        <f t="shared" si="90"/>
        <v>0</v>
      </c>
      <c r="BO72" s="428">
        <f t="shared" si="90"/>
        <v>0</v>
      </c>
      <c r="BP72" s="428">
        <f t="shared" si="90"/>
        <v>0</v>
      </c>
      <c r="BQ72" s="436">
        <f t="shared" si="48"/>
        <v>0</v>
      </c>
      <c r="BX72" s="561"/>
      <c r="BY72" s="561"/>
      <c r="CA72" s="302"/>
      <c r="CB72" s="302"/>
      <c r="CC72" s="302"/>
      <c r="CD72" s="302"/>
      <c r="CE72" s="302"/>
      <c r="CF72" s="302"/>
      <c r="CJ72" s="428"/>
      <c r="CK72" s="428"/>
      <c r="CL72" s="428"/>
      <c r="CM72" s="428"/>
      <c r="CN72" s="428"/>
      <c r="CO72" s="428"/>
      <c r="CP72" s="426"/>
      <c r="CT72" s="450">
        <f t="shared" si="55"/>
        <v>0</v>
      </c>
      <c r="CU72" s="450">
        <f t="shared" si="55"/>
        <v>0</v>
      </c>
      <c r="CV72" s="450">
        <f t="shared" si="55"/>
        <v>0</v>
      </c>
      <c r="CW72" s="450">
        <f t="shared" si="55"/>
        <v>0</v>
      </c>
      <c r="CX72" s="450">
        <f t="shared" si="55"/>
        <v>0</v>
      </c>
      <c r="CY72" s="450">
        <f t="shared" si="55"/>
        <v>0</v>
      </c>
      <c r="CZ72" s="448">
        <f t="shared" si="56"/>
        <v>0</v>
      </c>
    </row>
    <row r="73" spans="1:105">
      <c r="B73" s="291">
        <f>'[50]Productwise sales'!A70</f>
        <v>0</v>
      </c>
      <c r="C73" s="266"/>
      <c r="D73" s="266"/>
      <c r="E73" s="266"/>
      <c r="F73" s="302"/>
      <c r="I73" s="302"/>
      <c r="J73" s="302"/>
      <c r="L73" s="302"/>
      <c r="S73" s="302">
        <f>[50]Domestic!J70</f>
        <v>0</v>
      </c>
      <c r="T73" s="302">
        <f>[50]Europe!B70</f>
        <v>0</v>
      </c>
      <c r="U73" s="302">
        <f>'[50]Asia-Pacific'!B70</f>
        <v>0</v>
      </c>
      <c r="V73" s="302">
        <f>'[50]Rest of world'!B70</f>
        <v>0</v>
      </c>
      <c r="W73" s="302">
        <f>'[50]North America'!B70</f>
        <v>0</v>
      </c>
      <c r="X73" s="302">
        <f>'[50]Latin America'!B70</f>
        <v>0</v>
      </c>
      <c r="Z73" s="302">
        <f>[50]Domestic!K70</f>
        <v>0</v>
      </c>
      <c r="AA73" s="302">
        <f>[50]Europe!C70</f>
        <v>0</v>
      </c>
      <c r="AB73" s="302">
        <f>'[50]Asia-Pacific'!C70</f>
        <v>0</v>
      </c>
      <c r="AC73" s="302">
        <f>'[50]Rest of world'!C70</f>
        <v>0</v>
      </c>
      <c r="AD73" s="302">
        <f>'[50]North America'!C70</f>
        <v>0</v>
      </c>
      <c r="AE73" s="302">
        <f>'[50]Latin America'!C70</f>
        <v>0</v>
      </c>
      <c r="AG73" s="302">
        <f t="shared" si="99"/>
        <v>0</v>
      </c>
      <c r="AH73" s="302">
        <f t="shared" si="99"/>
        <v>0</v>
      </c>
      <c r="AI73" s="302">
        <f t="shared" si="98"/>
        <v>0</v>
      </c>
      <c r="AJ73" s="302">
        <f t="shared" si="98"/>
        <v>0</v>
      </c>
      <c r="AK73" s="302">
        <f t="shared" si="98"/>
        <v>0</v>
      </c>
      <c r="AL73" s="302">
        <f t="shared" si="98"/>
        <v>0</v>
      </c>
      <c r="AN73" s="302">
        <f t="shared" si="105"/>
        <v>0</v>
      </c>
      <c r="AO73" s="302">
        <f t="shared" si="105"/>
        <v>0</v>
      </c>
      <c r="AP73" s="302">
        <f t="shared" si="105"/>
        <v>0</v>
      </c>
      <c r="AQ73" s="302">
        <f t="shared" si="105"/>
        <v>0</v>
      </c>
      <c r="AR73" s="302">
        <f t="shared" si="105"/>
        <v>0</v>
      </c>
      <c r="AS73" s="302">
        <f t="shared" si="105"/>
        <v>0</v>
      </c>
      <c r="AT73" s="404"/>
      <c r="AU73" s="302"/>
      <c r="AV73" s="302"/>
      <c r="AW73" s="302"/>
      <c r="AX73" s="302"/>
      <c r="AY73" s="302"/>
      <c r="AZ73" s="302"/>
      <c r="BB73" s="302"/>
      <c r="BC73" s="302"/>
      <c r="BD73" s="302"/>
      <c r="BE73" s="302"/>
      <c r="BF73" s="302"/>
      <c r="BG73" s="302"/>
      <c r="BK73" s="428">
        <f t="shared" si="90"/>
        <v>0</v>
      </c>
      <c r="BL73" s="428">
        <f t="shared" si="90"/>
        <v>0</v>
      </c>
      <c r="BM73" s="428">
        <f t="shared" si="90"/>
        <v>0</v>
      </c>
      <c r="BN73" s="428">
        <f t="shared" si="90"/>
        <v>0</v>
      </c>
      <c r="BO73" s="428">
        <f t="shared" si="90"/>
        <v>0</v>
      </c>
      <c r="BP73" s="428">
        <f t="shared" si="90"/>
        <v>0</v>
      </c>
      <c r="BQ73" s="436">
        <f t="shared" si="48"/>
        <v>0</v>
      </c>
      <c r="BX73" s="561"/>
      <c r="BY73" s="561"/>
      <c r="CA73" s="302"/>
      <c r="CB73" s="302"/>
      <c r="CC73" s="302"/>
      <c r="CD73" s="302"/>
      <c r="CE73" s="302"/>
      <c r="CF73" s="302"/>
      <c r="CJ73" s="428"/>
      <c r="CK73" s="428"/>
      <c r="CL73" s="428"/>
      <c r="CM73" s="428"/>
      <c r="CN73" s="428"/>
      <c r="CO73" s="428"/>
      <c r="CP73" s="426"/>
      <c r="CT73" s="450">
        <f t="shared" si="55"/>
        <v>0</v>
      </c>
      <c r="CU73" s="450">
        <f t="shared" si="55"/>
        <v>0</v>
      </c>
      <c r="CV73" s="450">
        <f t="shared" si="55"/>
        <v>0</v>
      </c>
      <c r="CW73" s="450">
        <f t="shared" si="55"/>
        <v>0</v>
      </c>
      <c r="CX73" s="450">
        <f t="shared" si="55"/>
        <v>0</v>
      </c>
      <c r="CY73" s="450">
        <f t="shared" si="55"/>
        <v>0</v>
      </c>
      <c r="CZ73" s="448">
        <f t="shared" si="56"/>
        <v>0</v>
      </c>
    </row>
    <row r="74" spans="1:105">
      <c r="B74" s="291">
        <f>'[50]Productwise sales'!A71</f>
        <v>0</v>
      </c>
      <c r="C74" s="266"/>
      <c r="D74" s="266"/>
      <c r="E74" s="266"/>
      <c r="F74" s="302"/>
      <c r="I74" s="302"/>
      <c r="J74" s="302"/>
      <c r="L74" s="302"/>
      <c r="S74" s="302"/>
      <c r="T74" s="302"/>
      <c r="U74" s="302"/>
      <c r="V74" s="302"/>
      <c r="W74" s="302"/>
      <c r="X74" s="302"/>
      <c r="Z74" s="302"/>
      <c r="AA74" s="302"/>
      <c r="AB74" s="302"/>
      <c r="AC74" s="302"/>
      <c r="AD74" s="302"/>
      <c r="AE74" s="302"/>
      <c r="AG74" s="302">
        <f t="shared" si="99"/>
        <v>0</v>
      </c>
      <c r="AH74" s="302">
        <f t="shared" si="99"/>
        <v>0</v>
      </c>
      <c r="AI74" s="302">
        <f t="shared" si="98"/>
        <v>0</v>
      </c>
      <c r="AJ74" s="302">
        <f t="shared" si="98"/>
        <v>0</v>
      </c>
      <c r="AK74" s="302">
        <f t="shared" si="98"/>
        <v>0</v>
      </c>
      <c r="AL74" s="302">
        <f t="shared" si="98"/>
        <v>0</v>
      </c>
      <c r="AN74" s="302">
        <f t="shared" si="105"/>
        <v>0</v>
      </c>
      <c r="AO74" s="302">
        <f t="shared" si="105"/>
        <v>0</v>
      </c>
      <c r="AP74" s="302">
        <f t="shared" si="105"/>
        <v>0</v>
      </c>
      <c r="AQ74" s="302">
        <f t="shared" si="105"/>
        <v>0</v>
      </c>
      <c r="AR74" s="302">
        <f t="shared" si="105"/>
        <v>0</v>
      </c>
      <c r="AS74" s="302">
        <f t="shared" si="105"/>
        <v>0</v>
      </c>
      <c r="AT74" s="404"/>
      <c r="AU74" s="302"/>
      <c r="AV74" s="302"/>
      <c r="AW74" s="302"/>
      <c r="AX74" s="302"/>
      <c r="AY74" s="302"/>
      <c r="AZ74" s="302"/>
      <c r="BB74" s="302"/>
      <c r="BC74" s="302"/>
      <c r="BD74" s="302"/>
      <c r="BE74" s="302"/>
      <c r="BF74" s="302"/>
      <c r="BG74" s="302"/>
      <c r="BK74" s="428">
        <f t="shared" si="90"/>
        <v>0</v>
      </c>
      <c r="BL74" s="428">
        <f t="shared" si="90"/>
        <v>0</v>
      </c>
      <c r="BM74" s="428">
        <f t="shared" si="90"/>
        <v>0</v>
      </c>
      <c r="BN74" s="428">
        <f t="shared" si="90"/>
        <v>0</v>
      </c>
      <c r="BO74" s="428">
        <f t="shared" si="90"/>
        <v>0</v>
      </c>
      <c r="BP74" s="428">
        <f t="shared" si="90"/>
        <v>0</v>
      </c>
      <c r="BQ74" s="436">
        <f t="shared" si="48"/>
        <v>0</v>
      </c>
      <c r="BX74" s="561"/>
      <c r="BY74" s="561"/>
      <c r="CA74" s="302"/>
      <c r="CB74" s="302"/>
      <c r="CC74" s="302"/>
      <c r="CD74" s="302"/>
      <c r="CE74" s="302"/>
      <c r="CF74" s="302"/>
      <c r="CJ74" s="428"/>
      <c r="CK74" s="428"/>
      <c r="CL74" s="428"/>
      <c r="CM74" s="428"/>
      <c r="CN74" s="428"/>
      <c r="CO74" s="428"/>
      <c r="CP74" s="426"/>
      <c r="CT74" s="450">
        <f t="shared" si="55"/>
        <v>0</v>
      </c>
      <c r="CU74" s="450">
        <f t="shared" si="55"/>
        <v>0</v>
      </c>
      <c r="CV74" s="450">
        <f t="shared" si="55"/>
        <v>0</v>
      </c>
      <c r="CW74" s="450">
        <f t="shared" ref="CW74:CY81" si="106">BN74+CM74</f>
        <v>0</v>
      </c>
      <c r="CX74" s="450">
        <f t="shared" si="106"/>
        <v>0</v>
      </c>
      <c r="CY74" s="450">
        <f t="shared" si="106"/>
        <v>0</v>
      </c>
      <c r="CZ74" s="448">
        <f t="shared" si="56"/>
        <v>0</v>
      </c>
    </row>
    <row r="75" spans="1:105">
      <c r="B75" s="291">
        <f>'[50]Productwise sales'!A72</f>
        <v>0</v>
      </c>
      <c r="C75" s="266"/>
      <c r="D75" s="266"/>
      <c r="E75" s="266"/>
      <c r="F75" s="302"/>
      <c r="I75" s="302"/>
      <c r="J75" s="302"/>
      <c r="L75" s="302"/>
      <c r="S75" s="302">
        <f>[50]Domestic!J72</f>
        <v>0</v>
      </c>
      <c r="T75" s="302">
        <f>[50]Europe!B72</f>
        <v>0</v>
      </c>
      <c r="U75" s="302">
        <f>'[50]Asia-Pacific'!B72</f>
        <v>0</v>
      </c>
      <c r="V75" s="302">
        <f>'[50]Rest of world'!B72</f>
        <v>0</v>
      </c>
      <c r="W75" s="302">
        <f>'[50]North America'!B72</f>
        <v>0</v>
      </c>
      <c r="X75" s="302">
        <f>'[50]Latin America'!B72</f>
        <v>0</v>
      </c>
      <c r="Z75" s="302">
        <f>[50]Domestic!K72</f>
        <v>0</v>
      </c>
      <c r="AA75" s="302">
        <f>[50]Europe!C72</f>
        <v>0</v>
      </c>
      <c r="AB75" s="302">
        <f>'[50]Asia-Pacific'!C72</f>
        <v>0</v>
      </c>
      <c r="AC75" s="302">
        <f>'[50]Rest of world'!C72</f>
        <v>0</v>
      </c>
      <c r="AD75" s="302">
        <f>'[50]North America'!C72</f>
        <v>0</v>
      </c>
      <c r="AE75" s="302">
        <f>'[50]Latin America'!C72</f>
        <v>0</v>
      </c>
      <c r="AG75" s="302">
        <f t="shared" si="99"/>
        <v>0</v>
      </c>
      <c r="AH75" s="302">
        <f t="shared" si="99"/>
        <v>0</v>
      </c>
      <c r="AI75" s="302">
        <f t="shared" si="98"/>
        <v>0</v>
      </c>
      <c r="AJ75" s="302">
        <f t="shared" si="98"/>
        <v>0</v>
      </c>
      <c r="AK75" s="302">
        <f t="shared" si="98"/>
        <v>0</v>
      </c>
      <c r="AL75" s="302">
        <f t="shared" si="98"/>
        <v>0</v>
      </c>
      <c r="AN75" s="302">
        <f t="shared" si="105"/>
        <v>0</v>
      </c>
      <c r="AO75" s="302">
        <f t="shared" si="105"/>
        <v>0</v>
      </c>
      <c r="AP75" s="302">
        <f t="shared" si="105"/>
        <v>0</v>
      </c>
      <c r="AQ75" s="302">
        <f t="shared" si="105"/>
        <v>0</v>
      </c>
      <c r="AR75" s="302">
        <f t="shared" si="105"/>
        <v>0</v>
      </c>
      <c r="AS75" s="302">
        <f t="shared" si="105"/>
        <v>0</v>
      </c>
      <c r="AT75" s="404"/>
      <c r="AU75" s="302"/>
      <c r="AV75" s="302"/>
      <c r="AW75" s="302"/>
      <c r="AX75" s="302"/>
      <c r="AY75" s="302"/>
      <c r="AZ75" s="302"/>
      <c r="BB75" s="302"/>
      <c r="BC75" s="302"/>
      <c r="BD75" s="302"/>
      <c r="BE75" s="302"/>
      <c r="BF75" s="302"/>
      <c r="BG75" s="302"/>
      <c r="BK75" s="428">
        <f t="shared" si="90"/>
        <v>0</v>
      </c>
      <c r="BL75" s="428">
        <f t="shared" si="90"/>
        <v>0</v>
      </c>
      <c r="BM75" s="428">
        <f t="shared" si="90"/>
        <v>0</v>
      </c>
      <c r="BN75" s="428">
        <f t="shared" si="90"/>
        <v>0</v>
      </c>
      <c r="BO75" s="428">
        <f t="shared" si="90"/>
        <v>0</v>
      </c>
      <c r="BP75" s="428">
        <f t="shared" si="90"/>
        <v>0</v>
      </c>
      <c r="BQ75" s="436">
        <f t="shared" si="48"/>
        <v>0</v>
      </c>
      <c r="BX75" s="561"/>
      <c r="BY75" s="561"/>
      <c r="CA75" s="302"/>
      <c r="CB75" s="302"/>
      <c r="CC75" s="302"/>
      <c r="CD75" s="302"/>
      <c r="CE75" s="302"/>
      <c r="CF75" s="302"/>
      <c r="CJ75" s="428"/>
      <c r="CK75" s="428"/>
      <c r="CL75" s="428"/>
      <c r="CM75" s="428"/>
      <c r="CN75" s="428"/>
      <c r="CO75" s="428"/>
      <c r="CP75" s="426"/>
      <c r="CT75" s="450">
        <f t="shared" ref="CT75:CV81" si="107">BK75+CJ75</f>
        <v>0</v>
      </c>
      <c r="CU75" s="450">
        <f t="shared" si="107"/>
        <v>0</v>
      </c>
      <c r="CV75" s="450">
        <f t="shared" si="107"/>
        <v>0</v>
      </c>
      <c r="CW75" s="450">
        <f t="shared" si="106"/>
        <v>0</v>
      </c>
      <c r="CX75" s="450">
        <f t="shared" si="106"/>
        <v>0</v>
      </c>
      <c r="CY75" s="450">
        <f t="shared" si="106"/>
        <v>0</v>
      </c>
      <c r="CZ75" s="448">
        <f t="shared" si="56"/>
        <v>0</v>
      </c>
      <c r="DA75" s="413"/>
    </row>
    <row r="76" spans="1:105">
      <c r="B76" s="292" t="str">
        <f>'[50]Productwise sales'!A73</f>
        <v xml:space="preserve">Vegarol EW100 </v>
      </c>
      <c r="C76" s="295">
        <f>'[50]Productwise sales'!I73</f>
        <v>120</v>
      </c>
      <c r="D76" s="295">
        <f>'[50]Productwise sales'!J73</f>
        <v>1597.4999999999995</v>
      </c>
      <c r="E76" s="295"/>
      <c r="F76" s="302">
        <f>'[50]Revised GC'!Z26</f>
        <v>120</v>
      </c>
      <c r="G76" s="290">
        <f>'[50]Revised GC'!AA26</f>
        <v>100</v>
      </c>
      <c r="I76" s="384">
        <f t="shared" ref="I76:I78" si="108">F76*G76/C76</f>
        <v>100</v>
      </c>
      <c r="J76" s="384">
        <f>D76-I76</f>
        <v>1497.4999999999995</v>
      </c>
      <c r="L76" s="302"/>
      <c r="S76" s="295">
        <f>[50]Domestic!J73</f>
        <v>60</v>
      </c>
      <c r="T76" s="295">
        <f>[50]Europe!B73</f>
        <v>0</v>
      </c>
      <c r="U76" s="295">
        <f>'[50]Asia-Pacific'!B73</f>
        <v>0</v>
      </c>
      <c r="V76" s="295">
        <f>'[50]Rest of world'!B73</f>
        <v>60</v>
      </c>
      <c r="W76" s="295">
        <f>'[50]North America'!B73</f>
        <v>0</v>
      </c>
      <c r="X76" s="295">
        <f>'[50]Latin America'!B73</f>
        <v>0</v>
      </c>
      <c r="Z76" s="295">
        <f>[50]Domestic!K73</f>
        <v>1597.4999999999995</v>
      </c>
      <c r="AA76" s="295">
        <f>[50]Europe!C73</f>
        <v>0</v>
      </c>
      <c r="AB76" s="295">
        <f>'[50]Asia-Pacific'!C73</f>
        <v>0</v>
      </c>
      <c r="AC76" s="295">
        <f>'[50]Rest of world'!C73</f>
        <v>1597.4999999999995</v>
      </c>
      <c r="AD76" s="295">
        <f>'[50]North America'!C73</f>
        <v>0</v>
      </c>
      <c r="AE76" s="295">
        <f>'[50]Latin America'!C73</f>
        <v>0</v>
      </c>
      <c r="AG76" s="302">
        <f t="shared" si="99"/>
        <v>9.5849999999999977E-2</v>
      </c>
      <c r="AH76" s="302">
        <f t="shared" si="99"/>
        <v>0</v>
      </c>
      <c r="AI76" s="302">
        <f t="shared" si="98"/>
        <v>0</v>
      </c>
      <c r="AJ76" s="302">
        <f t="shared" si="98"/>
        <v>9.5849999999999977E-2</v>
      </c>
      <c r="AK76" s="302">
        <f t="shared" si="98"/>
        <v>0</v>
      </c>
      <c r="AL76" s="302">
        <f t="shared" si="98"/>
        <v>0</v>
      </c>
      <c r="AN76" s="302">
        <f t="shared" si="105"/>
        <v>0.67094999999999982</v>
      </c>
      <c r="AO76" s="302">
        <f t="shared" si="105"/>
        <v>0</v>
      </c>
      <c r="AP76" s="302">
        <f t="shared" si="105"/>
        <v>0</v>
      </c>
      <c r="AQ76" s="302">
        <f t="shared" si="105"/>
        <v>0.67094999999999982</v>
      </c>
      <c r="AR76" s="302">
        <f t="shared" si="105"/>
        <v>0</v>
      </c>
      <c r="AS76" s="302">
        <f t="shared" si="105"/>
        <v>0</v>
      </c>
      <c r="AT76" s="404"/>
      <c r="AU76" s="302">
        <f>J76</f>
        <v>1497.4999999999995</v>
      </c>
      <c r="AV76" s="302">
        <f t="shared" ref="AV76:AZ78" si="109">AU76</f>
        <v>1497.4999999999995</v>
      </c>
      <c r="AW76" s="302">
        <f t="shared" si="109"/>
        <v>1497.4999999999995</v>
      </c>
      <c r="AX76" s="302">
        <f t="shared" si="109"/>
        <v>1497.4999999999995</v>
      </c>
      <c r="AY76" s="302">
        <f t="shared" si="109"/>
        <v>1497.4999999999995</v>
      </c>
      <c r="AZ76" s="302">
        <f t="shared" si="109"/>
        <v>1497.4999999999995</v>
      </c>
      <c r="BB76" s="302">
        <f t="shared" ref="BB76:BG78" si="110">IF(Z76=0,0,Z76-AU76)</f>
        <v>100</v>
      </c>
      <c r="BC76" s="302">
        <f t="shared" si="110"/>
        <v>0</v>
      </c>
      <c r="BD76" s="302">
        <f t="shared" si="110"/>
        <v>0</v>
      </c>
      <c r="BE76" s="302">
        <f t="shared" si="110"/>
        <v>100</v>
      </c>
      <c r="BF76" s="302">
        <f t="shared" si="110"/>
        <v>0</v>
      </c>
      <c r="BG76" s="302">
        <f t="shared" si="110"/>
        <v>0</v>
      </c>
      <c r="BH76" s="408">
        <f>SUMPRODUCT(S76:X76,BB76:BG76)/C76</f>
        <v>100</v>
      </c>
      <c r="BI76" s="409">
        <f t="shared" ref="BI76:BI78" si="111">BH76-I76</f>
        <v>0</v>
      </c>
      <c r="BK76" s="425">
        <f t="shared" si="90"/>
        <v>4.2000000000000003E-2</v>
      </c>
      <c r="BL76" s="425">
        <f t="shared" si="90"/>
        <v>0</v>
      </c>
      <c r="BM76" s="425">
        <f t="shared" si="90"/>
        <v>0</v>
      </c>
      <c r="BN76" s="425">
        <f t="shared" si="90"/>
        <v>4.2000000000000003E-2</v>
      </c>
      <c r="BO76" s="425">
        <f t="shared" si="90"/>
        <v>0</v>
      </c>
      <c r="BP76" s="425">
        <f t="shared" si="90"/>
        <v>0</v>
      </c>
      <c r="BQ76" s="436">
        <f t="shared" si="48"/>
        <v>8.4000000000000005E-2</v>
      </c>
      <c r="BX76" s="561"/>
      <c r="BY76" s="561"/>
      <c r="CA76" s="381">
        <f>IF(Z76=0,0,Z76-$O$67)</f>
        <v>1597.4999999999995</v>
      </c>
      <c r="CB76" s="302"/>
      <c r="CC76" s="302"/>
      <c r="CD76" s="302"/>
      <c r="CE76" s="302"/>
      <c r="CF76" s="302"/>
      <c r="CG76" s="408"/>
      <c r="CH76" s="409"/>
      <c r="CJ76" s="425"/>
      <c r="CK76" s="425"/>
      <c r="CL76" s="425"/>
      <c r="CM76" s="425"/>
      <c r="CN76" s="425"/>
      <c r="CO76" s="425"/>
      <c r="CP76" s="426"/>
      <c r="CT76" s="447">
        <f t="shared" si="107"/>
        <v>4.2000000000000003E-2</v>
      </c>
      <c r="CU76" s="447">
        <f t="shared" si="107"/>
        <v>0</v>
      </c>
      <c r="CV76" s="447">
        <f t="shared" si="107"/>
        <v>0</v>
      </c>
      <c r="CW76" s="447">
        <f t="shared" si="106"/>
        <v>4.2000000000000003E-2</v>
      </c>
      <c r="CX76" s="447">
        <f t="shared" si="106"/>
        <v>0</v>
      </c>
      <c r="CY76" s="447">
        <f t="shared" si="106"/>
        <v>0</v>
      </c>
      <c r="CZ76" s="448">
        <f t="shared" si="56"/>
        <v>8.4000000000000005E-2</v>
      </c>
      <c r="DA76" s="413"/>
    </row>
    <row r="77" spans="1:105">
      <c r="B77" s="292" t="str">
        <f>'[50]Productwise sales'!A74</f>
        <v>Vegarol EW 300</v>
      </c>
      <c r="C77" s="295">
        <f>'[50]Productwise sales'!I74</f>
        <v>60</v>
      </c>
      <c r="D77" s="295">
        <f>'[50]Productwise sales'!J74</f>
        <v>1500.0000000000005</v>
      </c>
      <c r="E77" s="295"/>
      <c r="F77" s="302">
        <f>'[50]Revised GC'!Z27</f>
        <v>60</v>
      </c>
      <c r="G77" s="290">
        <f>'[50]Revised GC'!AA27</f>
        <v>100</v>
      </c>
      <c r="I77" s="384">
        <f t="shared" si="108"/>
        <v>100</v>
      </c>
      <c r="J77" s="384">
        <f>D77-I77</f>
        <v>1400.0000000000005</v>
      </c>
      <c r="L77" s="302"/>
      <c r="S77" s="295">
        <f>[50]Domestic!J74</f>
        <v>0</v>
      </c>
      <c r="T77" s="295">
        <f>[50]Europe!B74</f>
        <v>0</v>
      </c>
      <c r="U77" s="295">
        <f>'[50]Asia-Pacific'!B74</f>
        <v>0</v>
      </c>
      <c r="V77" s="295">
        <f>'[50]Rest of world'!B74</f>
        <v>60</v>
      </c>
      <c r="W77" s="295">
        <f>'[50]North America'!B74</f>
        <v>0</v>
      </c>
      <c r="X77" s="295">
        <f>'[50]Latin America'!B74</f>
        <v>0</v>
      </c>
      <c r="Z77" s="295">
        <f>[50]Domestic!K74</f>
        <v>0</v>
      </c>
      <c r="AA77" s="295">
        <f>[50]Europe!C74</f>
        <v>0</v>
      </c>
      <c r="AB77" s="295">
        <f>'[50]Asia-Pacific'!C74</f>
        <v>0</v>
      </c>
      <c r="AC77" s="295">
        <f>'[50]Rest of world'!C74</f>
        <v>1500.0000000000005</v>
      </c>
      <c r="AD77" s="295">
        <f>'[50]North America'!C74</f>
        <v>0</v>
      </c>
      <c r="AE77" s="295">
        <f>'[50]Latin America'!C74</f>
        <v>0</v>
      </c>
      <c r="AG77" s="302">
        <f t="shared" si="99"/>
        <v>0</v>
      </c>
      <c r="AH77" s="302">
        <f t="shared" si="99"/>
        <v>0</v>
      </c>
      <c r="AI77" s="302">
        <f t="shared" si="98"/>
        <v>0</v>
      </c>
      <c r="AJ77" s="302">
        <f t="shared" si="98"/>
        <v>9.0000000000000024E-2</v>
      </c>
      <c r="AK77" s="302">
        <f t="shared" si="98"/>
        <v>0</v>
      </c>
      <c r="AL77" s="302">
        <f t="shared" si="98"/>
        <v>0</v>
      </c>
      <c r="AN77" s="302">
        <f t="shared" si="105"/>
        <v>0</v>
      </c>
      <c r="AO77" s="302">
        <f t="shared" si="105"/>
        <v>0</v>
      </c>
      <c r="AP77" s="302">
        <f t="shared" si="105"/>
        <v>0</v>
      </c>
      <c r="AQ77" s="302">
        <f t="shared" si="105"/>
        <v>0.63000000000000012</v>
      </c>
      <c r="AR77" s="302">
        <f t="shared" si="105"/>
        <v>0</v>
      </c>
      <c r="AS77" s="302">
        <f t="shared" si="105"/>
        <v>0</v>
      </c>
      <c r="AT77" s="404"/>
      <c r="AU77" s="302">
        <f>J77</f>
        <v>1400.0000000000005</v>
      </c>
      <c r="AV77" s="302">
        <f t="shared" si="109"/>
        <v>1400.0000000000005</v>
      </c>
      <c r="AW77" s="302">
        <f t="shared" si="109"/>
        <v>1400.0000000000005</v>
      </c>
      <c r="AX77" s="302">
        <f t="shared" si="109"/>
        <v>1400.0000000000005</v>
      </c>
      <c r="AY77" s="302">
        <f t="shared" si="109"/>
        <v>1400.0000000000005</v>
      </c>
      <c r="AZ77" s="302">
        <f t="shared" si="109"/>
        <v>1400.0000000000005</v>
      </c>
      <c r="BB77" s="302">
        <f t="shared" si="110"/>
        <v>0</v>
      </c>
      <c r="BC77" s="302">
        <f t="shared" si="110"/>
        <v>0</v>
      </c>
      <c r="BD77" s="302">
        <f t="shared" si="110"/>
        <v>0</v>
      </c>
      <c r="BE77" s="302">
        <f t="shared" si="110"/>
        <v>100</v>
      </c>
      <c r="BF77" s="302">
        <f t="shared" si="110"/>
        <v>0</v>
      </c>
      <c r="BG77" s="302">
        <f t="shared" si="110"/>
        <v>0</v>
      </c>
      <c r="BH77" s="408">
        <f>SUMPRODUCT(S77:X77,BB77:BG77)/C77</f>
        <v>100</v>
      </c>
      <c r="BI77" s="409">
        <f t="shared" si="111"/>
        <v>0</v>
      </c>
      <c r="BK77" s="425">
        <f t="shared" si="90"/>
        <v>0</v>
      </c>
      <c r="BL77" s="425">
        <f t="shared" si="90"/>
        <v>0</v>
      </c>
      <c r="BM77" s="425">
        <f t="shared" si="90"/>
        <v>0</v>
      </c>
      <c r="BN77" s="425">
        <f t="shared" si="90"/>
        <v>4.2000000000000003E-2</v>
      </c>
      <c r="BO77" s="425">
        <f t="shared" si="90"/>
        <v>0</v>
      </c>
      <c r="BP77" s="425">
        <f t="shared" si="90"/>
        <v>0</v>
      </c>
      <c r="BQ77" s="436">
        <f t="shared" si="48"/>
        <v>4.2000000000000003E-2</v>
      </c>
      <c r="BX77" s="561"/>
      <c r="BY77" s="561"/>
      <c r="CA77" s="302"/>
      <c r="CB77" s="302"/>
      <c r="CC77" s="302"/>
      <c r="CD77" s="302"/>
      <c r="CE77" s="302"/>
      <c r="CF77" s="302"/>
      <c r="CG77" s="408"/>
      <c r="CH77" s="409"/>
      <c r="CJ77" s="425"/>
      <c r="CK77" s="425"/>
      <c r="CL77" s="425"/>
      <c r="CM77" s="425"/>
      <c r="CN77" s="425"/>
      <c r="CO77" s="425"/>
      <c r="CP77" s="426"/>
      <c r="CT77" s="447">
        <f t="shared" si="107"/>
        <v>0</v>
      </c>
      <c r="CU77" s="447">
        <f t="shared" si="107"/>
        <v>0</v>
      </c>
      <c r="CV77" s="447">
        <f t="shared" si="107"/>
        <v>0</v>
      </c>
      <c r="CW77" s="447">
        <f t="shared" si="106"/>
        <v>4.2000000000000003E-2</v>
      </c>
      <c r="CX77" s="447">
        <f t="shared" si="106"/>
        <v>0</v>
      </c>
      <c r="CY77" s="447">
        <f t="shared" si="106"/>
        <v>0</v>
      </c>
      <c r="CZ77" s="448">
        <f t="shared" si="56"/>
        <v>4.2000000000000003E-2</v>
      </c>
      <c r="DA77" s="413"/>
    </row>
    <row r="78" spans="1:105">
      <c r="B78" s="292" t="str">
        <f>'[50]Productwise sales'!A75</f>
        <v>Vega E TS</v>
      </c>
      <c r="C78" s="295">
        <f>'[50]Productwise sales'!I75</f>
        <v>300</v>
      </c>
      <c r="D78" s="295">
        <f>'[50]Productwise sales'!J75</f>
        <v>2143.0000000000009</v>
      </c>
      <c r="E78" s="295"/>
      <c r="F78" s="302">
        <f>'[50]Revised GC'!Z29</f>
        <v>300</v>
      </c>
      <c r="G78" s="290">
        <f>'[50]Revised GC'!AA29</f>
        <v>200</v>
      </c>
      <c r="I78" s="384">
        <f t="shared" si="108"/>
        <v>200</v>
      </c>
      <c r="J78" s="384">
        <f>D78-I78</f>
        <v>1943.0000000000009</v>
      </c>
      <c r="L78" s="302"/>
      <c r="S78" s="295">
        <f>[50]Domestic!J75</f>
        <v>50</v>
      </c>
      <c r="T78" s="295">
        <f>[50]Europe!B75</f>
        <v>0</v>
      </c>
      <c r="U78" s="295">
        <f>'[50]Asia-Pacific'!B75</f>
        <v>250</v>
      </c>
      <c r="V78" s="295">
        <f>'[50]Rest of world'!B75</f>
        <v>0</v>
      </c>
      <c r="W78" s="295">
        <f>'[50]North America'!B75</f>
        <v>0</v>
      </c>
      <c r="X78" s="295">
        <f>'[50]Latin America'!B75</f>
        <v>0</v>
      </c>
      <c r="Z78" s="295">
        <f>[50]Domestic!K75</f>
        <v>2143.0000000000005</v>
      </c>
      <c r="AA78" s="295">
        <f>[50]Europe!C75</f>
        <v>0</v>
      </c>
      <c r="AB78" s="295">
        <f>'[50]Asia-Pacific'!C75</f>
        <v>2143</v>
      </c>
      <c r="AC78" s="295">
        <f>'[50]Rest of world'!C75</f>
        <v>0</v>
      </c>
      <c r="AD78" s="295">
        <f>'[50]North America'!C75</f>
        <v>0</v>
      </c>
      <c r="AE78" s="295">
        <f>'[50]Latin America'!C75</f>
        <v>0</v>
      </c>
      <c r="AG78" s="302">
        <f t="shared" si="99"/>
        <v>0.10715000000000002</v>
      </c>
      <c r="AH78" s="302">
        <f t="shared" si="99"/>
        <v>0</v>
      </c>
      <c r="AI78" s="302">
        <f t="shared" si="98"/>
        <v>0.53574999999999995</v>
      </c>
      <c r="AJ78" s="302">
        <f t="shared" si="98"/>
        <v>0</v>
      </c>
      <c r="AK78" s="302">
        <f t="shared" si="98"/>
        <v>0</v>
      </c>
      <c r="AL78" s="302">
        <f t="shared" si="98"/>
        <v>0</v>
      </c>
      <c r="AN78" s="302">
        <f t="shared" si="105"/>
        <v>0.75005000000000011</v>
      </c>
      <c r="AO78" s="302">
        <f t="shared" si="105"/>
        <v>0</v>
      </c>
      <c r="AP78" s="302">
        <f t="shared" si="105"/>
        <v>3.7502499999999999</v>
      </c>
      <c r="AQ78" s="302">
        <f t="shared" si="105"/>
        <v>0</v>
      </c>
      <c r="AR78" s="302">
        <f t="shared" si="105"/>
        <v>0</v>
      </c>
      <c r="AS78" s="302">
        <f t="shared" si="105"/>
        <v>0</v>
      </c>
      <c r="AT78" s="404"/>
      <c r="AU78" s="302">
        <f>J78</f>
        <v>1943.0000000000009</v>
      </c>
      <c r="AV78" s="302">
        <f t="shared" si="109"/>
        <v>1943.0000000000009</v>
      </c>
      <c r="AW78" s="302">
        <f t="shared" si="109"/>
        <v>1943.0000000000009</v>
      </c>
      <c r="AX78" s="302">
        <f t="shared" si="109"/>
        <v>1943.0000000000009</v>
      </c>
      <c r="AY78" s="302">
        <f t="shared" si="109"/>
        <v>1943.0000000000009</v>
      </c>
      <c r="AZ78" s="302">
        <f t="shared" si="109"/>
        <v>1943.0000000000009</v>
      </c>
      <c r="BB78" s="302">
        <f t="shared" si="110"/>
        <v>199.99999999999955</v>
      </c>
      <c r="BC78" s="302">
        <f t="shared" si="110"/>
        <v>0</v>
      </c>
      <c r="BD78" s="302">
        <f t="shared" si="110"/>
        <v>199.99999999999909</v>
      </c>
      <c r="BE78" s="302">
        <f t="shared" si="110"/>
        <v>0</v>
      </c>
      <c r="BF78" s="302">
        <f t="shared" si="110"/>
        <v>0</v>
      </c>
      <c r="BG78" s="302">
        <f t="shared" si="110"/>
        <v>0</v>
      </c>
      <c r="BH78" s="408">
        <f>SUMPRODUCT(S78:X78,BB78:BG78)/C78</f>
        <v>199.99999999999918</v>
      </c>
      <c r="BI78" s="409">
        <f t="shared" si="111"/>
        <v>-8.2422957348171622E-13</v>
      </c>
      <c r="BK78" s="425">
        <f t="shared" si="90"/>
        <v>6.9999999999999854E-2</v>
      </c>
      <c r="BL78" s="425">
        <f t="shared" si="90"/>
        <v>0</v>
      </c>
      <c r="BM78" s="425">
        <f t="shared" si="90"/>
        <v>0.34999999999999842</v>
      </c>
      <c r="BN78" s="425">
        <f t="shared" si="90"/>
        <v>0</v>
      </c>
      <c r="BO78" s="425">
        <f t="shared" si="90"/>
        <v>0</v>
      </c>
      <c r="BP78" s="425">
        <f t="shared" si="90"/>
        <v>0</v>
      </c>
      <c r="BQ78" s="436">
        <f t="shared" si="48"/>
        <v>0.41999999999999826</v>
      </c>
      <c r="BX78" s="561"/>
      <c r="BY78" s="561"/>
      <c r="CA78" s="302"/>
      <c r="CB78" s="302"/>
      <c r="CC78" s="302"/>
      <c r="CD78" s="302"/>
      <c r="CE78" s="302"/>
      <c r="CF78" s="302"/>
      <c r="CG78" s="408"/>
      <c r="CH78" s="409"/>
      <c r="CJ78" s="425"/>
      <c r="CK78" s="425"/>
      <c r="CL78" s="425"/>
      <c r="CM78" s="425"/>
      <c r="CN78" s="425"/>
      <c r="CO78" s="425"/>
      <c r="CP78" s="426"/>
      <c r="CT78" s="447">
        <f t="shared" si="107"/>
        <v>6.9999999999999854E-2</v>
      </c>
      <c r="CU78" s="447">
        <f t="shared" si="107"/>
        <v>0</v>
      </c>
      <c r="CV78" s="447">
        <f t="shared" si="107"/>
        <v>0.34999999999999842</v>
      </c>
      <c r="CW78" s="447">
        <f t="shared" si="106"/>
        <v>0</v>
      </c>
      <c r="CX78" s="447">
        <f t="shared" si="106"/>
        <v>0</v>
      </c>
      <c r="CY78" s="447">
        <f t="shared" si="106"/>
        <v>0</v>
      </c>
      <c r="CZ78" s="448">
        <f t="shared" si="56"/>
        <v>0.41999999999999826</v>
      </c>
      <c r="DA78" s="413"/>
    </row>
    <row r="79" spans="1:105">
      <c r="B79" s="365" t="str">
        <f>'[50]Productwise sales'!A76</f>
        <v>Fatty Alc. Ethoxylate -7</v>
      </c>
      <c r="C79" s="295">
        <f>'[50]Productwise sales'!I76</f>
        <v>0</v>
      </c>
      <c r="D79" s="295">
        <f>'[50]Productwise sales'!J76</f>
        <v>0</v>
      </c>
      <c r="E79" s="295"/>
      <c r="F79" s="381"/>
      <c r="G79" s="366"/>
      <c r="I79" s="302"/>
      <c r="J79" s="302"/>
      <c r="L79" s="381"/>
      <c r="S79" s="295">
        <f>[50]Domestic!J76</f>
        <v>0</v>
      </c>
      <c r="T79" s="295">
        <f>[50]Europe!B76</f>
        <v>0</v>
      </c>
      <c r="U79" s="295">
        <f>'[50]Asia-Pacific'!B76</f>
        <v>0</v>
      </c>
      <c r="V79" s="295">
        <f>'[50]Rest of world'!B76</f>
        <v>0</v>
      </c>
      <c r="W79" s="295">
        <f>'[50]North America'!B76</f>
        <v>0</v>
      </c>
      <c r="X79" s="295">
        <f>'[50]Latin America'!B76</f>
        <v>0</v>
      </c>
      <c r="Z79" s="295">
        <f>[50]Domestic!K76</f>
        <v>0</v>
      </c>
      <c r="AA79" s="295">
        <f>[50]Europe!C76</f>
        <v>0</v>
      </c>
      <c r="AB79" s="295">
        <f>'[50]Asia-Pacific'!C76</f>
        <v>0</v>
      </c>
      <c r="AC79" s="295">
        <f>'[50]Rest of world'!C76</f>
        <v>0</v>
      </c>
      <c r="AD79" s="295">
        <f>'[50]North America'!C76</f>
        <v>0</v>
      </c>
      <c r="AE79" s="295">
        <f>'[50]Latin America'!C76</f>
        <v>0</v>
      </c>
      <c r="AG79" s="302">
        <f t="shared" si="99"/>
        <v>0</v>
      </c>
      <c r="AH79" s="302">
        <f t="shared" si="99"/>
        <v>0</v>
      </c>
      <c r="AI79" s="302">
        <f t="shared" si="98"/>
        <v>0</v>
      </c>
      <c r="AJ79" s="302">
        <f t="shared" si="98"/>
        <v>0</v>
      </c>
      <c r="AK79" s="302">
        <f t="shared" si="98"/>
        <v>0</v>
      </c>
      <c r="AL79" s="302">
        <f t="shared" si="98"/>
        <v>0</v>
      </c>
      <c r="AN79" s="302">
        <f t="shared" si="105"/>
        <v>0</v>
      </c>
      <c r="AO79" s="302">
        <f t="shared" si="105"/>
        <v>0</v>
      </c>
      <c r="AP79" s="302">
        <f t="shared" si="105"/>
        <v>0</v>
      </c>
      <c r="AQ79" s="302">
        <f t="shared" si="105"/>
        <v>0</v>
      </c>
      <c r="AR79" s="302">
        <f t="shared" si="105"/>
        <v>0</v>
      </c>
      <c r="AS79" s="302">
        <f t="shared" si="105"/>
        <v>0</v>
      </c>
      <c r="AT79" s="404"/>
      <c r="AU79" s="302"/>
      <c r="AV79" s="302"/>
      <c r="AW79" s="302"/>
      <c r="AX79" s="302"/>
      <c r="AY79" s="302"/>
      <c r="AZ79" s="302"/>
      <c r="BB79" s="302"/>
      <c r="BC79" s="302"/>
      <c r="BD79" s="302"/>
      <c r="BE79" s="302"/>
      <c r="BF79" s="302"/>
      <c r="BG79" s="302"/>
      <c r="BK79" s="425">
        <f t="shared" si="90"/>
        <v>0</v>
      </c>
      <c r="BL79" s="425">
        <f t="shared" si="90"/>
        <v>0</v>
      </c>
      <c r="BM79" s="425">
        <f t="shared" si="90"/>
        <v>0</v>
      </c>
      <c r="BN79" s="425">
        <f t="shared" si="90"/>
        <v>0</v>
      </c>
      <c r="BO79" s="425">
        <f t="shared" si="90"/>
        <v>0</v>
      </c>
      <c r="BP79" s="425">
        <f t="shared" si="90"/>
        <v>0</v>
      </c>
      <c r="BQ79" s="436">
        <f t="shared" si="48"/>
        <v>0</v>
      </c>
      <c r="BX79" s="561"/>
      <c r="BY79" s="561"/>
      <c r="CA79" s="302"/>
      <c r="CB79" s="302"/>
      <c r="CC79" s="302"/>
      <c r="CD79" s="302"/>
      <c r="CE79" s="302"/>
      <c r="CF79" s="302"/>
      <c r="CJ79" s="425"/>
      <c r="CK79" s="425"/>
      <c r="CL79" s="425"/>
      <c r="CM79" s="425"/>
      <c r="CN79" s="425"/>
      <c r="CO79" s="425"/>
      <c r="CP79" s="426"/>
      <c r="CT79" s="447">
        <f t="shared" si="107"/>
        <v>0</v>
      </c>
      <c r="CU79" s="447">
        <f t="shared" si="107"/>
        <v>0</v>
      </c>
      <c r="CV79" s="447">
        <f t="shared" si="107"/>
        <v>0</v>
      </c>
      <c r="CW79" s="447">
        <f t="shared" si="106"/>
        <v>0</v>
      </c>
      <c r="CX79" s="447">
        <f t="shared" si="106"/>
        <v>0</v>
      </c>
      <c r="CY79" s="447">
        <f t="shared" si="106"/>
        <v>0</v>
      </c>
      <c r="CZ79" s="448">
        <f t="shared" si="56"/>
        <v>0</v>
      </c>
    </row>
    <row r="80" spans="1:105">
      <c r="B80" s="365" t="str">
        <f>'[50]Productwise sales'!A77</f>
        <v>Arachidic acid</v>
      </c>
      <c r="C80" s="295">
        <f>'[50]Productwise sales'!I77</f>
        <v>0</v>
      </c>
      <c r="D80" s="295">
        <f>'[50]Productwise sales'!J77</f>
        <v>0</v>
      </c>
      <c r="E80" s="295"/>
      <c r="F80" s="381"/>
      <c r="G80" s="366"/>
      <c r="I80" s="302"/>
      <c r="J80" s="302"/>
      <c r="L80" s="381"/>
      <c r="S80" s="295">
        <f>[50]Domestic!J77</f>
        <v>0</v>
      </c>
      <c r="T80" s="295">
        <f>[50]Europe!B77</f>
        <v>0</v>
      </c>
      <c r="U80" s="295">
        <f>'[50]Asia-Pacific'!B77</f>
        <v>0</v>
      </c>
      <c r="V80" s="295">
        <f>'[50]Rest of world'!B77</f>
        <v>0</v>
      </c>
      <c r="W80" s="295">
        <f>'[50]North America'!B77</f>
        <v>0</v>
      </c>
      <c r="X80" s="295">
        <f>'[50]Latin America'!B77</f>
        <v>0</v>
      </c>
      <c r="Z80" s="295">
        <f>[50]Domestic!K77</f>
        <v>0</v>
      </c>
      <c r="AA80" s="295">
        <f>[50]Europe!C77</f>
        <v>0</v>
      </c>
      <c r="AB80" s="295">
        <f>'[50]Asia-Pacific'!C77</f>
        <v>0</v>
      </c>
      <c r="AC80" s="295">
        <f>'[50]Rest of world'!C77</f>
        <v>0</v>
      </c>
      <c r="AD80" s="295">
        <f>'[50]North America'!C77</f>
        <v>0</v>
      </c>
      <c r="AE80" s="295">
        <f>'[50]Latin America'!C77</f>
        <v>0</v>
      </c>
      <c r="AG80" s="302">
        <f t="shared" si="99"/>
        <v>0</v>
      </c>
      <c r="AH80" s="302">
        <f t="shared" si="99"/>
        <v>0</v>
      </c>
      <c r="AI80" s="302">
        <f t="shared" si="98"/>
        <v>0</v>
      </c>
      <c r="AJ80" s="302">
        <f t="shared" si="98"/>
        <v>0</v>
      </c>
      <c r="AK80" s="302">
        <f t="shared" si="98"/>
        <v>0</v>
      </c>
      <c r="AL80" s="302">
        <f t="shared" si="98"/>
        <v>0</v>
      </c>
      <c r="AN80" s="302">
        <f t="shared" si="105"/>
        <v>0</v>
      </c>
      <c r="AO80" s="302">
        <f t="shared" si="105"/>
        <v>0</v>
      </c>
      <c r="AP80" s="302">
        <f t="shared" si="105"/>
        <v>0</v>
      </c>
      <c r="AQ80" s="302">
        <f t="shared" si="105"/>
        <v>0</v>
      </c>
      <c r="AR80" s="302">
        <f t="shared" si="105"/>
        <v>0</v>
      </c>
      <c r="AS80" s="302">
        <f t="shared" si="105"/>
        <v>0</v>
      </c>
      <c r="AT80" s="404"/>
      <c r="AU80" s="302"/>
      <c r="AV80" s="302"/>
      <c r="AW80" s="302"/>
      <c r="AX80" s="302"/>
      <c r="AY80" s="302"/>
      <c r="AZ80" s="302"/>
      <c r="BB80" s="302"/>
      <c r="BC80" s="302"/>
      <c r="BD80" s="302"/>
      <c r="BE80" s="302"/>
      <c r="BF80" s="302"/>
      <c r="BG80" s="302"/>
      <c r="BK80" s="425">
        <f t="shared" si="90"/>
        <v>0</v>
      </c>
      <c r="BL80" s="425">
        <f t="shared" si="90"/>
        <v>0</v>
      </c>
      <c r="BM80" s="425">
        <f t="shared" si="90"/>
        <v>0</v>
      </c>
      <c r="BN80" s="425">
        <f t="shared" si="90"/>
        <v>0</v>
      </c>
      <c r="BO80" s="425">
        <f t="shared" si="90"/>
        <v>0</v>
      </c>
      <c r="BP80" s="425">
        <f t="shared" si="90"/>
        <v>0</v>
      </c>
      <c r="BQ80" s="436">
        <f t="shared" si="48"/>
        <v>0</v>
      </c>
      <c r="BX80" s="561"/>
      <c r="BY80" s="561"/>
      <c r="CA80" s="302"/>
      <c r="CB80" s="302"/>
      <c r="CC80" s="302"/>
      <c r="CD80" s="302"/>
      <c r="CE80" s="302"/>
      <c r="CF80" s="302"/>
      <c r="CJ80" s="425"/>
      <c r="CK80" s="425"/>
      <c r="CL80" s="425"/>
      <c r="CM80" s="425"/>
      <c r="CN80" s="425"/>
      <c r="CO80" s="425"/>
      <c r="CP80" s="426"/>
      <c r="CT80" s="447">
        <f t="shared" si="107"/>
        <v>0</v>
      </c>
      <c r="CU80" s="447">
        <f t="shared" si="107"/>
        <v>0</v>
      </c>
      <c r="CV80" s="447">
        <f t="shared" si="107"/>
        <v>0</v>
      </c>
      <c r="CW80" s="447">
        <f t="shared" si="106"/>
        <v>0</v>
      </c>
      <c r="CX80" s="447">
        <f t="shared" si="106"/>
        <v>0</v>
      </c>
      <c r="CY80" s="447">
        <f t="shared" si="106"/>
        <v>0</v>
      </c>
      <c r="CZ80" s="448">
        <f t="shared" si="56"/>
        <v>0</v>
      </c>
    </row>
    <row r="81" spans="2:106">
      <c r="B81" s="365" t="str">
        <f>'[50]Productwise sales'!A78</f>
        <v>Vegarol 2095</v>
      </c>
      <c r="C81" s="295">
        <f>'[50]Productwise sales'!I78</f>
        <v>0</v>
      </c>
      <c r="D81" s="295">
        <f>'[50]Productwise sales'!J78</f>
        <v>0</v>
      </c>
      <c r="E81" s="295"/>
      <c r="F81" s="381"/>
      <c r="G81" s="366"/>
      <c r="I81" s="302"/>
      <c r="J81" s="302"/>
      <c r="L81" s="381"/>
      <c r="S81" s="295">
        <f>[50]Domestic!J78</f>
        <v>0</v>
      </c>
      <c r="T81" s="295">
        <f>[50]Europe!B78</f>
        <v>0</v>
      </c>
      <c r="U81" s="295">
        <f>'[50]Asia-Pacific'!B78</f>
        <v>0</v>
      </c>
      <c r="V81" s="295">
        <f>'[50]Rest of world'!B78</f>
        <v>0</v>
      </c>
      <c r="W81" s="295">
        <f>'[50]North America'!B78</f>
        <v>0</v>
      </c>
      <c r="X81" s="295">
        <f>'[50]Latin America'!B78</f>
        <v>0</v>
      </c>
      <c r="Z81" s="295">
        <f>[50]Domestic!K78</f>
        <v>0</v>
      </c>
      <c r="AA81" s="295">
        <f>[50]Europe!C78</f>
        <v>0</v>
      </c>
      <c r="AB81" s="295">
        <f>'[50]Asia-Pacific'!C78</f>
        <v>0</v>
      </c>
      <c r="AC81" s="295">
        <f>'[50]Rest of world'!C78</f>
        <v>0</v>
      </c>
      <c r="AD81" s="295">
        <f>'[50]North America'!C78</f>
        <v>0</v>
      </c>
      <c r="AE81" s="295">
        <f>'[50]Latin America'!C78</f>
        <v>0</v>
      </c>
      <c r="AG81" s="302">
        <f t="shared" si="99"/>
        <v>0</v>
      </c>
      <c r="AH81" s="302">
        <f t="shared" si="99"/>
        <v>0</v>
      </c>
      <c r="AI81" s="302">
        <f t="shared" si="98"/>
        <v>0</v>
      </c>
      <c r="AJ81" s="302">
        <f t="shared" si="98"/>
        <v>0</v>
      </c>
      <c r="AK81" s="302">
        <f t="shared" si="98"/>
        <v>0</v>
      </c>
      <c r="AL81" s="302">
        <f t="shared" si="98"/>
        <v>0</v>
      </c>
      <c r="AN81" s="302">
        <f t="shared" si="105"/>
        <v>0</v>
      </c>
      <c r="AO81" s="302">
        <f t="shared" si="105"/>
        <v>0</v>
      </c>
      <c r="AP81" s="302">
        <f t="shared" si="105"/>
        <v>0</v>
      </c>
      <c r="AQ81" s="302">
        <f t="shared" si="105"/>
        <v>0</v>
      </c>
      <c r="AR81" s="302">
        <f t="shared" si="105"/>
        <v>0</v>
      </c>
      <c r="AS81" s="302">
        <f t="shared" si="105"/>
        <v>0</v>
      </c>
      <c r="AT81" s="404"/>
      <c r="AU81" s="302"/>
      <c r="AV81" s="302"/>
      <c r="AW81" s="302"/>
      <c r="AX81" s="302"/>
      <c r="AY81" s="302"/>
      <c r="AZ81" s="302"/>
      <c r="BB81" s="302"/>
      <c r="BC81" s="302"/>
      <c r="BD81" s="302"/>
      <c r="BE81" s="302"/>
      <c r="BF81" s="302"/>
      <c r="BG81" s="302"/>
      <c r="BK81" s="425">
        <f t="shared" si="90"/>
        <v>0</v>
      </c>
      <c r="BL81" s="425">
        <f t="shared" si="90"/>
        <v>0</v>
      </c>
      <c r="BM81" s="425">
        <f t="shared" si="90"/>
        <v>0</v>
      </c>
      <c r="BN81" s="425">
        <f t="shared" si="90"/>
        <v>0</v>
      </c>
      <c r="BO81" s="425">
        <f t="shared" si="90"/>
        <v>0</v>
      </c>
      <c r="BP81" s="425">
        <f t="shared" si="90"/>
        <v>0</v>
      </c>
      <c r="BQ81" s="436">
        <f t="shared" si="48"/>
        <v>0</v>
      </c>
      <c r="BX81" s="561"/>
      <c r="BY81" s="561"/>
      <c r="CA81" s="302"/>
      <c r="CB81" s="302"/>
      <c r="CC81" s="302"/>
      <c r="CD81" s="302"/>
      <c r="CE81" s="302"/>
      <c r="CF81" s="302"/>
      <c r="CJ81" s="425"/>
      <c r="CK81" s="425"/>
      <c r="CL81" s="425"/>
      <c r="CM81" s="425"/>
      <c r="CN81" s="425"/>
      <c r="CO81" s="425"/>
      <c r="CP81" s="426"/>
      <c r="CT81" s="447">
        <f t="shared" si="107"/>
        <v>0</v>
      </c>
      <c r="CU81" s="447">
        <f t="shared" si="107"/>
        <v>0</v>
      </c>
      <c r="CV81" s="447">
        <f t="shared" si="107"/>
        <v>0</v>
      </c>
      <c r="CW81" s="447">
        <f t="shared" si="106"/>
        <v>0</v>
      </c>
      <c r="CX81" s="447">
        <f t="shared" si="106"/>
        <v>0</v>
      </c>
      <c r="CY81" s="447">
        <f t="shared" si="106"/>
        <v>0</v>
      </c>
      <c r="CZ81" s="448">
        <f t="shared" si="56"/>
        <v>0</v>
      </c>
    </row>
    <row r="82" spans="2:106">
      <c r="B82" s="291" t="str">
        <f>'[50]Productwise sales'!A79</f>
        <v>New Product</v>
      </c>
      <c r="C82" s="266"/>
      <c r="D82" s="266"/>
      <c r="E82" s="266"/>
      <c r="F82" s="302"/>
      <c r="I82" s="302"/>
      <c r="J82" s="302"/>
      <c r="L82" s="302"/>
      <c r="S82" s="302"/>
      <c r="T82" s="302"/>
      <c r="U82" s="302"/>
      <c r="V82" s="302"/>
      <c r="W82" s="302">
        <f>'[50]North America'!B79</f>
        <v>0</v>
      </c>
      <c r="X82" s="302">
        <f>'[50]Latin America'!B79</f>
        <v>0</v>
      </c>
      <c r="Z82" s="302"/>
      <c r="AA82" s="302"/>
      <c r="AB82" s="302"/>
      <c r="AC82" s="302"/>
      <c r="AD82" s="302">
        <f>'[50]North America'!C79</f>
        <v>0</v>
      </c>
      <c r="AE82" s="302">
        <f>'[50]Latin America'!C79</f>
        <v>0</v>
      </c>
      <c r="AG82" s="302">
        <f t="shared" si="99"/>
        <v>0</v>
      </c>
      <c r="AH82" s="302">
        <f t="shared" si="99"/>
        <v>0</v>
      </c>
      <c r="AI82" s="302">
        <f t="shared" si="98"/>
        <v>0</v>
      </c>
      <c r="AJ82" s="302">
        <f t="shared" si="98"/>
        <v>0</v>
      </c>
      <c r="AK82" s="302">
        <f t="shared" si="98"/>
        <v>0</v>
      </c>
      <c r="AL82" s="302">
        <f t="shared" si="98"/>
        <v>0</v>
      </c>
      <c r="AN82" s="302">
        <f t="shared" si="105"/>
        <v>0</v>
      </c>
      <c r="AO82" s="302">
        <f t="shared" si="105"/>
        <v>0</v>
      </c>
      <c r="AP82" s="302">
        <f t="shared" si="105"/>
        <v>0</v>
      </c>
      <c r="AQ82" s="302">
        <f t="shared" si="105"/>
        <v>0</v>
      </c>
      <c r="AR82" s="302">
        <f t="shared" si="105"/>
        <v>0</v>
      </c>
      <c r="AS82" s="302">
        <f t="shared" si="105"/>
        <v>0</v>
      </c>
      <c r="AT82" s="404"/>
      <c r="AU82" s="302"/>
      <c r="AV82" s="302"/>
      <c r="AW82" s="302"/>
      <c r="AX82" s="302"/>
      <c r="AY82" s="302"/>
      <c r="AZ82" s="302"/>
      <c r="BB82" s="302"/>
      <c r="BC82" s="302"/>
      <c r="BD82" s="302"/>
      <c r="BE82" s="302"/>
      <c r="BF82" s="302"/>
      <c r="BG82" s="302"/>
      <c r="BK82" s="428"/>
      <c r="BL82" s="428"/>
      <c r="BM82" s="428"/>
      <c r="BN82" s="428"/>
      <c r="BO82" s="428"/>
      <c r="BP82" s="428"/>
      <c r="BX82" s="561"/>
      <c r="BY82" s="561"/>
      <c r="CA82" s="302"/>
      <c r="CB82" s="302"/>
      <c r="CC82" s="302"/>
      <c r="CD82" s="302"/>
      <c r="CE82" s="302"/>
      <c r="CF82" s="302"/>
      <c r="CJ82" s="428"/>
      <c r="CK82" s="428"/>
      <c r="CL82" s="428"/>
      <c r="CM82" s="428"/>
      <c r="CN82" s="428"/>
      <c r="CO82" s="428"/>
      <c r="CT82" s="450"/>
      <c r="CU82" s="450"/>
      <c r="CV82" s="450"/>
      <c r="CW82" s="450"/>
      <c r="CX82" s="450"/>
      <c r="CY82" s="450"/>
      <c r="CZ82" s="448"/>
    </row>
    <row r="83" spans="2:106">
      <c r="B83" s="291"/>
      <c r="C83" s="295"/>
      <c r="D83" s="295"/>
      <c r="E83" s="295"/>
      <c r="F83" s="302"/>
      <c r="I83" s="302"/>
      <c r="J83" s="302"/>
      <c r="L83" s="302"/>
      <c r="S83" s="302"/>
      <c r="T83" s="302"/>
      <c r="U83" s="302"/>
      <c r="V83" s="302"/>
      <c r="W83" s="302">
        <f>'[50]North America'!B80</f>
        <v>0</v>
      </c>
      <c r="X83" s="302">
        <f>'[50]Latin America'!B80</f>
        <v>0</v>
      </c>
      <c r="Z83" s="302"/>
      <c r="AA83" s="302"/>
      <c r="AB83" s="302"/>
      <c r="AC83" s="302"/>
      <c r="AD83" s="302">
        <f>'[50]North America'!C80</f>
        <v>0</v>
      </c>
      <c r="AE83" s="302">
        <f>'[50]Latin America'!C80</f>
        <v>0</v>
      </c>
      <c r="AG83" s="302">
        <f t="shared" si="99"/>
        <v>0</v>
      </c>
      <c r="AH83" s="302">
        <f t="shared" si="99"/>
        <v>0</v>
      </c>
      <c r="AI83" s="302">
        <f t="shared" si="98"/>
        <v>0</v>
      </c>
      <c r="AJ83" s="302">
        <f t="shared" si="98"/>
        <v>0</v>
      </c>
      <c r="AK83" s="302">
        <f t="shared" si="98"/>
        <v>0</v>
      </c>
      <c r="AL83" s="302">
        <f t="shared" si="98"/>
        <v>0</v>
      </c>
      <c r="AN83" s="302">
        <f t="shared" si="105"/>
        <v>0</v>
      </c>
      <c r="AO83" s="302">
        <f t="shared" si="105"/>
        <v>0</v>
      </c>
      <c r="AP83" s="302">
        <f t="shared" si="105"/>
        <v>0</v>
      </c>
      <c r="AQ83" s="302">
        <f t="shared" si="105"/>
        <v>0</v>
      </c>
      <c r="AR83" s="302">
        <f t="shared" si="105"/>
        <v>0</v>
      </c>
      <c r="AS83" s="302">
        <f t="shared" si="105"/>
        <v>0</v>
      </c>
      <c r="AT83" s="404"/>
      <c r="AU83" s="302"/>
      <c r="AV83" s="302"/>
      <c r="AW83" s="302"/>
      <c r="AX83" s="302"/>
      <c r="AY83" s="302"/>
      <c r="AZ83" s="302"/>
      <c r="BB83" s="302"/>
      <c r="BC83" s="302"/>
      <c r="BD83" s="302"/>
      <c r="BE83" s="302"/>
      <c r="BF83" s="302"/>
      <c r="BG83" s="302"/>
      <c r="BK83" s="428"/>
      <c r="BL83" s="428"/>
      <c r="BM83" s="428"/>
      <c r="BN83" s="428"/>
      <c r="BO83" s="428"/>
      <c r="BP83" s="428"/>
      <c r="BX83" s="561"/>
      <c r="BY83" s="561"/>
      <c r="CA83" s="302"/>
      <c r="CB83" s="302"/>
      <c r="CC83" s="302"/>
      <c r="CD83" s="302"/>
      <c r="CE83" s="302"/>
      <c r="CF83" s="302"/>
      <c r="CJ83" s="428"/>
      <c r="CK83" s="428"/>
      <c r="CL83" s="428"/>
      <c r="CM83" s="428"/>
      <c r="CN83" s="428"/>
      <c r="CO83" s="428"/>
      <c r="CT83" s="450"/>
      <c r="CU83" s="450"/>
      <c r="CV83" s="450"/>
      <c r="CW83" s="450"/>
      <c r="CX83" s="450"/>
      <c r="CY83" s="450"/>
      <c r="CZ83" s="448"/>
    </row>
    <row r="84" spans="2:106" ht="13.5" thickBot="1">
      <c r="B84" s="291" t="s">
        <v>89</v>
      </c>
      <c r="C84" s="300">
        <f>C3+C8+C16+SUM(C27:C82)</f>
        <v>167104</v>
      </c>
      <c r="D84" s="300"/>
      <c r="E84" s="300"/>
      <c r="F84" s="300">
        <f>F3+F8+F16+SUM(F27:F82)</f>
        <v>94473</v>
      </c>
      <c r="I84" s="302"/>
      <c r="J84" s="302"/>
      <c r="L84" s="302"/>
      <c r="S84" s="300">
        <f t="shared" ref="S84:X84" si="112">S3+S8+S16+SUM(S27:S82)</f>
        <v>101702</v>
      </c>
      <c r="T84" s="300">
        <f t="shared" si="112"/>
        <v>14122</v>
      </c>
      <c r="U84" s="300">
        <f t="shared" si="112"/>
        <v>11811</v>
      </c>
      <c r="V84" s="300">
        <f t="shared" si="112"/>
        <v>17820</v>
      </c>
      <c r="W84" s="300">
        <f t="shared" si="112"/>
        <v>16375</v>
      </c>
      <c r="X84" s="300">
        <f t="shared" si="112"/>
        <v>5274</v>
      </c>
      <c r="Z84" s="300">
        <f t="shared" ref="Z84:AE84" si="113">Z3+Z8+Z16+SUM(Z27:Z82)</f>
        <v>23081.725345399358</v>
      </c>
      <c r="AA84" s="300">
        <f t="shared" si="113"/>
        <v>12020.049374246617</v>
      </c>
      <c r="AB84" s="300">
        <f t="shared" si="113"/>
        <v>9908.0378135529754</v>
      </c>
      <c r="AC84" s="300">
        <f t="shared" si="113"/>
        <v>6988.8450893449444</v>
      </c>
      <c r="AD84" s="300">
        <f t="shared" si="113"/>
        <v>8214.4923590075214</v>
      </c>
      <c r="AE84" s="300">
        <f t="shared" si="113"/>
        <v>5424.3120087766665</v>
      </c>
      <c r="AG84" s="300">
        <f t="shared" ref="AG84:AL84" si="114">AG3+AG8+AG16+SUM(AG27:AG82)</f>
        <v>105.12830851714492</v>
      </c>
      <c r="AH84" s="300">
        <f t="shared" si="114"/>
        <v>22.029650729901338</v>
      </c>
      <c r="AI84" s="300">
        <f t="shared" si="114"/>
        <v>22.868805376263577</v>
      </c>
      <c r="AJ84" s="300">
        <f t="shared" si="114"/>
        <v>22.975179229679846</v>
      </c>
      <c r="AK84" s="300">
        <f t="shared" si="114"/>
        <v>21.10146886401942</v>
      </c>
      <c r="AL84" s="300">
        <f t="shared" si="114"/>
        <v>6.8879100061874023</v>
      </c>
      <c r="AN84" s="300">
        <f t="shared" ref="AN84:AZ84" si="115">AN3+AN8+AN16+SUM(AN27:AN82)</f>
        <v>735.89815962001467</v>
      </c>
      <c r="AO84" s="300">
        <f t="shared" si="115"/>
        <v>154.20755510930937</v>
      </c>
      <c r="AP84" s="300">
        <f t="shared" si="115"/>
        <v>160.08163763384499</v>
      </c>
      <c r="AQ84" s="300">
        <f t="shared" si="115"/>
        <v>160.82625460775893</v>
      </c>
      <c r="AR84" s="300">
        <f t="shared" si="115"/>
        <v>147.71028204813592</v>
      </c>
      <c r="AS84" s="300">
        <f t="shared" si="115"/>
        <v>48.215370043311815</v>
      </c>
      <c r="AT84" s="404"/>
      <c r="AU84" s="300">
        <f t="shared" si="115"/>
        <v>13066.77181818182</v>
      </c>
      <c r="AV84" s="300">
        <f t="shared" si="115"/>
        <v>13066.77181818182</v>
      </c>
      <c r="AW84" s="300">
        <f t="shared" si="115"/>
        <v>13066.77181818182</v>
      </c>
      <c r="AX84" s="300">
        <f t="shared" si="115"/>
        <v>13066.77181818182</v>
      </c>
      <c r="AY84" s="300">
        <f t="shared" si="115"/>
        <v>13066.77181818182</v>
      </c>
      <c r="AZ84" s="300">
        <f t="shared" si="115"/>
        <v>13066.77181818182</v>
      </c>
      <c r="BB84" s="300">
        <f t="shared" ref="BB84:BG84" si="116">BB3+BB8+BB16+SUM(BB27:BB82)</f>
        <v>1775.9099999999989</v>
      </c>
      <c r="BC84" s="300">
        <f t="shared" si="116"/>
        <v>0</v>
      </c>
      <c r="BD84" s="300">
        <f t="shared" si="116"/>
        <v>2138.909999999998</v>
      </c>
      <c r="BE84" s="300">
        <f t="shared" si="116"/>
        <v>421.00000000000057</v>
      </c>
      <c r="BF84" s="300">
        <f t="shared" si="116"/>
        <v>1728.9099999999996</v>
      </c>
      <c r="BG84" s="300">
        <f t="shared" si="116"/>
        <v>1062</v>
      </c>
      <c r="BK84" s="438">
        <f t="shared" ref="BK84:BQ84" si="117">BK3+BK8+BK16+SUM(BK27:BK82)</f>
        <v>95.16362159216574</v>
      </c>
      <c r="BL84" s="438">
        <f t="shared" si="117"/>
        <v>7.6402436474329889</v>
      </c>
      <c r="BM84" s="438">
        <f t="shared" si="117"/>
        <v>44.321597726423178</v>
      </c>
      <c r="BN84" s="438">
        <f t="shared" si="117"/>
        <v>20.238500567311171</v>
      </c>
      <c r="BO84" s="438">
        <f t="shared" si="117"/>
        <v>27.045948785017735</v>
      </c>
      <c r="BP84" s="438">
        <f t="shared" si="117"/>
        <v>10.537538903374671</v>
      </c>
      <c r="BQ84" s="438">
        <f t="shared" si="117"/>
        <v>204.94745122172546</v>
      </c>
      <c r="BX84" s="561"/>
      <c r="BY84" s="561"/>
      <c r="CA84" s="300">
        <f t="shared" ref="CA84:CF84" si="118">CA3+CA8+CA16+SUM(CA27:CA82)</f>
        <v>13041.657812931824</v>
      </c>
      <c r="CB84" s="300">
        <f t="shared" si="118"/>
        <v>11819.563659960904</v>
      </c>
      <c r="CC84" s="300">
        <f t="shared" si="118"/>
        <v>1829.852099267262</v>
      </c>
      <c r="CD84" s="300">
        <f t="shared" si="118"/>
        <v>2232.2321023319573</v>
      </c>
      <c r="CE84" s="300">
        <f t="shared" si="118"/>
        <v>1493.4235278386907</v>
      </c>
      <c r="CF84" s="300">
        <f t="shared" si="118"/>
        <v>2202.9262944909528</v>
      </c>
      <c r="CJ84" s="439">
        <f t="shared" ref="CJ84:CP84" si="119">CJ3+CJ8+CJ16+SUM(CJ27:CJ82)</f>
        <v>242.46566784728728</v>
      </c>
      <c r="CK84" s="439">
        <f t="shared" si="119"/>
        <v>105.00832390930935</v>
      </c>
      <c r="CL84" s="439">
        <f t="shared" si="119"/>
        <v>11.890738633845004</v>
      </c>
      <c r="CM84" s="439">
        <f t="shared" si="119"/>
        <v>17.057851698668021</v>
      </c>
      <c r="CN84" s="439">
        <f t="shared" si="119"/>
        <v>30.37871026769</v>
      </c>
      <c r="CO84" s="439">
        <f t="shared" si="119"/>
        <v>12.90657604331181</v>
      </c>
      <c r="CP84" s="439">
        <f t="shared" si="119"/>
        <v>419.70786840011147</v>
      </c>
      <c r="CT84" s="454">
        <f t="shared" ref="CT84:CZ84" si="120">CT3+CT8+CT16+SUM(CT27:CT82)</f>
        <v>337.62928943945303</v>
      </c>
      <c r="CU84" s="454">
        <f t="shared" si="120"/>
        <v>112.64856755674235</v>
      </c>
      <c r="CV84" s="454">
        <f t="shared" si="120"/>
        <v>56.212336360268189</v>
      </c>
      <c r="CW84" s="454">
        <f t="shared" si="120"/>
        <v>37.296352265979195</v>
      </c>
      <c r="CX84" s="454">
        <f t="shared" si="120"/>
        <v>57.424659052707739</v>
      </c>
      <c r="CY84" s="454">
        <f t="shared" si="120"/>
        <v>23.444114946686483</v>
      </c>
      <c r="CZ84" s="455">
        <f t="shared" si="120"/>
        <v>624.65531962183695</v>
      </c>
      <c r="DB84" s="413"/>
    </row>
    <row r="85" spans="2:106" ht="13.5" thickTop="1">
      <c r="F85" s="302">
        <f>'[50]Revised GC'!Z30</f>
        <v>4520</v>
      </c>
      <c r="I85" s="302"/>
      <c r="J85" s="302"/>
      <c r="L85" s="302"/>
      <c r="AT85" s="404"/>
      <c r="BQ85" s="437">
        <f>'[50]Revised GC'!AC30</f>
        <v>3.1640000000000001</v>
      </c>
      <c r="CP85" s="433"/>
      <c r="CT85" s="414"/>
      <c r="CU85" s="414"/>
      <c r="CV85" s="414"/>
      <c r="CW85" s="414"/>
      <c r="CX85" s="414"/>
      <c r="CY85" s="414"/>
      <c r="CZ85" s="415"/>
    </row>
    <row r="86" spans="2:106">
      <c r="F86" s="302">
        <f>F84+F85</f>
        <v>98993</v>
      </c>
      <c r="I86" s="302"/>
      <c r="J86" s="302"/>
      <c r="L86" s="302"/>
      <c r="AT86" s="404"/>
      <c r="BQ86" s="430">
        <f>BQ84+BQ85</f>
        <v>208.11145122172545</v>
      </c>
      <c r="CP86" s="434"/>
      <c r="CT86" s="389"/>
      <c r="CU86" s="389"/>
      <c r="CV86" s="389"/>
      <c r="CW86" s="389"/>
      <c r="CX86" s="389"/>
      <c r="CY86" s="389"/>
      <c r="CZ86" s="410"/>
    </row>
    <row r="87" spans="2:106">
      <c r="F87" s="302"/>
      <c r="I87" s="302"/>
      <c r="J87" s="302"/>
      <c r="L87" s="302"/>
      <c r="AT87" s="404"/>
      <c r="CT87" s="389"/>
      <c r="CU87" s="389"/>
      <c r="CV87" s="389"/>
      <c r="CW87" s="389"/>
      <c r="CX87" s="389"/>
      <c r="CY87" s="389"/>
    </row>
    <row r="88" spans="2:106">
      <c r="F88" s="302"/>
      <c r="I88" s="302"/>
      <c r="J88" s="302"/>
      <c r="L88" s="302"/>
      <c r="AT88" s="404"/>
    </row>
    <row r="89" spans="2:106">
      <c r="F89" s="302"/>
      <c r="I89" s="302"/>
      <c r="J89" s="302"/>
      <c r="L89" s="302"/>
      <c r="AT89" s="404"/>
    </row>
    <row r="90" spans="2:106">
      <c r="F90" s="302"/>
      <c r="I90" s="302"/>
      <c r="J90" s="302"/>
      <c r="AT90" s="404"/>
    </row>
    <row r="91" spans="2:106">
      <c r="F91" s="302"/>
      <c r="I91" s="302"/>
      <c r="J91" s="302"/>
      <c r="AT91" s="404"/>
    </row>
    <row r="92" spans="2:106">
      <c r="F92" s="302"/>
      <c r="I92" s="302"/>
      <c r="J92" s="302"/>
      <c r="AT92" s="404"/>
    </row>
    <row r="93" spans="2:106">
      <c r="F93" s="302"/>
      <c r="I93" s="302"/>
      <c r="J93" s="302"/>
      <c r="AT93" s="404"/>
    </row>
    <row r="94" spans="2:106">
      <c r="F94" s="302"/>
      <c r="I94" s="302"/>
      <c r="J94" s="302"/>
      <c r="AT94" s="404"/>
    </row>
    <row r="95" spans="2:106">
      <c r="F95" s="302"/>
      <c r="I95" s="302"/>
      <c r="J95" s="302"/>
      <c r="AT95" s="404"/>
    </row>
    <row r="96" spans="2:106">
      <c r="F96" s="302"/>
      <c r="I96" s="302"/>
      <c r="J96" s="302"/>
      <c r="AT96" s="404"/>
    </row>
    <row r="97" spans="6:46">
      <c r="F97" s="302"/>
      <c r="I97" s="302"/>
      <c r="J97" s="302"/>
      <c r="AT97" s="404"/>
    </row>
    <row r="98" spans="6:46">
      <c r="F98" s="302"/>
      <c r="I98" s="302"/>
      <c r="J98" s="302"/>
      <c r="AT98" s="404"/>
    </row>
    <row r="99" spans="6:46">
      <c r="F99" s="302"/>
      <c r="AT99" s="404"/>
    </row>
    <row r="100" spans="6:46">
      <c r="AT100" s="404"/>
    </row>
    <row r="101" spans="6:46">
      <c r="AT101" s="404"/>
    </row>
    <row r="102" spans="6:46">
      <c r="AT102" s="404"/>
    </row>
    <row r="103" spans="6:46">
      <c r="AT103" s="404"/>
    </row>
    <row r="104" spans="6:46">
      <c r="AT104" s="404"/>
    </row>
    <row r="105" spans="6:46">
      <c r="AT105" s="404"/>
    </row>
    <row r="106" spans="6:46">
      <c r="AT106" s="404"/>
    </row>
    <row r="107" spans="6:46">
      <c r="AT107" s="404"/>
    </row>
    <row r="108" spans="6:46">
      <c r="AT108" s="404"/>
    </row>
    <row r="109" spans="6:46">
      <c r="AT109" s="404"/>
    </row>
    <row r="110" spans="6:46">
      <c r="AT110" s="404"/>
    </row>
    <row r="111" spans="6:46">
      <c r="AT111" s="404"/>
    </row>
    <row r="112" spans="6:46">
      <c r="AT112" s="404"/>
    </row>
    <row r="113" spans="46:46">
      <c r="AT113" s="404"/>
    </row>
    <row r="114" spans="46:46">
      <c r="AT114" s="404"/>
    </row>
    <row r="115" spans="46:46">
      <c r="AT115" s="404"/>
    </row>
    <row r="116" spans="46:46">
      <c r="AT116" s="404"/>
    </row>
    <row r="117" spans="46:46">
      <c r="AT117" s="404"/>
    </row>
    <row r="118" spans="46:46">
      <c r="AT118" s="404"/>
    </row>
  </sheetData>
  <mergeCells count="12">
    <mergeCell ref="CJ1:CO1"/>
    <mergeCell ref="CT1:CZ1"/>
    <mergeCell ref="AU1:AZ1"/>
    <mergeCell ref="BB1:BG1"/>
    <mergeCell ref="BK1:BP1"/>
    <mergeCell ref="BX1:BY84"/>
    <mergeCell ref="CA1:CF1"/>
    <mergeCell ref="C1:D1"/>
    <mergeCell ref="S1:X1"/>
    <mergeCell ref="Z1:AE1"/>
    <mergeCell ref="AG1:AL1"/>
    <mergeCell ref="AN1:AS1"/>
  </mergeCells>
  <printOptions horizontalCentered="1" verticalCentered="1"/>
  <pageMargins left="0.18" right="0.18" top="0.26" bottom="0.22" header="0.18" footer="0.18"/>
  <pageSetup paperSize="9" scale="28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AQ48"/>
  <sheetViews>
    <sheetView showGridLines="0" workbookViewId="0">
      <pane xSplit="2" ySplit="8" topLeftCell="Z33" activePane="bottomRight" state="frozen"/>
      <selection pane="topRight" activeCell="C1" sqref="C1"/>
      <selection pane="bottomLeft" activeCell="A9" sqref="A9"/>
      <selection pane="bottomRight" activeCell="AR33" sqref="AR33"/>
    </sheetView>
  </sheetViews>
  <sheetFormatPr defaultRowHeight="12.75"/>
  <cols>
    <col min="1" max="1" width="9.140625" style="317"/>
    <col min="2" max="2" width="26.5703125" style="317" customWidth="1"/>
    <col min="3" max="3" width="12.5703125" style="317" hidden="1" customWidth="1"/>
    <col min="4" max="4" width="7.85546875" style="317" hidden="1" customWidth="1"/>
    <col min="5" max="5" width="9" style="317" hidden="1" customWidth="1"/>
    <col min="6" max="6" width="0" style="317" hidden="1" customWidth="1"/>
    <col min="7" max="7" width="9.7109375" style="317" hidden="1" customWidth="1"/>
    <col min="8" max="8" width="11.28515625" style="317" hidden="1" customWidth="1"/>
    <col min="9" max="9" width="8.42578125" style="317" hidden="1" customWidth="1"/>
    <col min="10" max="11" width="9" style="317" hidden="1" customWidth="1"/>
    <col min="12" max="12" width="10.42578125" style="317" hidden="1" customWidth="1"/>
    <col min="13" max="13" width="13.140625" style="317" hidden="1" customWidth="1"/>
    <col min="14" max="15" width="8.140625" style="317" hidden="1" customWidth="1"/>
    <col min="16" max="16" width="10" style="317" hidden="1" customWidth="1"/>
    <col min="17" max="20" width="9.140625" style="317" hidden="1" customWidth="1"/>
    <col min="21" max="21" width="13.42578125" style="317" hidden="1" customWidth="1"/>
    <col min="22" max="25" width="9.140625" style="317" hidden="1" customWidth="1"/>
    <col min="26" max="27" width="9.140625" style="317"/>
    <col min="28" max="28" width="9.140625" style="317" customWidth="1"/>
    <col min="29" max="29" width="9.140625" style="317"/>
    <col min="30" max="31" width="0" style="317" hidden="1" customWidth="1"/>
    <col min="32" max="32" width="9.140625" style="317"/>
    <col min="33" max="42" width="0" style="317" hidden="1" customWidth="1"/>
    <col min="43" max="16384" width="9.140625" style="317"/>
  </cols>
  <sheetData>
    <row r="4" spans="2:42" ht="13.5" thickBot="1"/>
    <row r="5" spans="2:42" ht="15" customHeight="1">
      <c r="B5" s="318"/>
      <c r="C5" s="564" t="s">
        <v>166</v>
      </c>
      <c r="D5" s="565"/>
      <c r="E5" s="566"/>
      <c r="F5" s="564" t="s">
        <v>167</v>
      </c>
      <c r="G5" s="565"/>
      <c r="H5" s="566"/>
      <c r="I5" s="567" t="s">
        <v>168</v>
      </c>
      <c r="J5" s="568"/>
      <c r="K5" s="568"/>
      <c r="L5" s="569"/>
      <c r="M5" s="570" t="s">
        <v>169</v>
      </c>
      <c r="N5" s="571"/>
      <c r="O5" s="571"/>
      <c r="P5" s="572"/>
      <c r="R5" s="562" t="s">
        <v>170</v>
      </c>
      <c r="S5" s="563"/>
      <c r="T5" s="563"/>
      <c r="U5" s="573"/>
      <c r="V5" s="562" t="s">
        <v>171</v>
      </c>
      <c r="W5" s="563"/>
      <c r="X5" s="563"/>
      <c r="Y5" s="573"/>
      <c r="Z5" s="562" t="s">
        <v>172</v>
      </c>
      <c r="AA5" s="563"/>
      <c r="AB5" s="563"/>
      <c r="AC5" s="563"/>
      <c r="AG5" s="317" t="s">
        <v>173</v>
      </c>
    </row>
    <row r="6" spans="2:42">
      <c r="B6" s="319" t="s">
        <v>10</v>
      </c>
      <c r="C6" s="320" t="s">
        <v>174</v>
      </c>
      <c r="D6" s="321" t="s">
        <v>175</v>
      </c>
      <c r="E6" s="322" t="s">
        <v>176</v>
      </c>
      <c r="F6" s="320" t="s">
        <v>174</v>
      </c>
      <c r="G6" s="321" t="s">
        <v>175</v>
      </c>
      <c r="H6" s="322" t="s">
        <v>176</v>
      </c>
      <c r="I6" s="320" t="s">
        <v>174</v>
      </c>
      <c r="J6" s="321" t="s">
        <v>175</v>
      </c>
      <c r="K6" s="322" t="s">
        <v>175</v>
      </c>
      <c r="L6" s="319" t="s">
        <v>176</v>
      </c>
      <c r="M6" s="320" t="s">
        <v>174</v>
      </c>
      <c r="N6" s="321" t="s">
        <v>175</v>
      </c>
      <c r="O6" s="323" t="s">
        <v>175</v>
      </c>
      <c r="P6" s="324" t="s">
        <v>176</v>
      </c>
      <c r="R6" s="320" t="s">
        <v>174</v>
      </c>
      <c r="S6" s="321" t="s">
        <v>175</v>
      </c>
      <c r="T6" s="323" t="s">
        <v>175</v>
      </c>
      <c r="U6" s="324" t="s">
        <v>176</v>
      </c>
      <c r="V6" s="320" t="s">
        <v>174</v>
      </c>
      <c r="W6" s="321" t="s">
        <v>175</v>
      </c>
      <c r="X6" s="323" t="s">
        <v>175</v>
      </c>
      <c r="Y6" s="324" t="s">
        <v>176</v>
      </c>
      <c r="Z6" s="320" t="s">
        <v>174</v>
      </c>
      <c r="AA6" s="321" t="s">
        <v>175</v>
      </c>
      <c r="AB6" s="323" t="s">
        <v>175</v>
      </c>
      <c r="AC6" s="323" t="s">
        <v>176</v>
      </c>
    </row>
    <row r="7" spans="2:42">
      <c r="B7" s="325"/>
      <c r="C7" s="326" t="s">
        <v>177</v>
      </c>
      <c r="D7" s="327" t="s">
        <v>178</v>
      </c>
      <c r="E7" s="328" t="s">
        <v>179</v>
      </c>
      <c r="F7" s="326" t="s">
        <v>177</v>
      </c>
      <c r="G7" s="327" t="s">
        <v>178</v>
      </c>
      <c r="H7" s="328" t="s">
        <v>179</v>
      </c>
      <c r="I7" s="326" t="s">
        <v>177</v>
      </c>
      <c r="J7" s="327" t="s">
        <v>178</v>
      </c>
      <c r="K7" s="328" t="s">
        <v>180</v>
      </c>
      <c r="L7" s="329" t="s">
        <v>179</v>
      </c>
      <c r="M7" s="326" t="s">
        <v>177</v>
      </c>
      <c r="N7" s="327" t="s">
        <v>178</v>
      </c>
      <c r="O7" s="330" t="s">
        <v>180</v>
      </c>
      <c r="P7" s="331" t="s">
        <v>179</v>
      </c>
      <c r="R7" s="326" t="s">
        <v>177</v>
      </c>
      <c r="S7" s="327" t="s">
        <v>178</v>
      </c>
      <c r="T7" s="330" t="s">
        <v>180</v>
      </c>
      <c r="U7" s="331" t="s">
        <v>179</v>
      </c>
      <c r="V7" s="326" t="s">
        <v>177</v>
      </c>
      <c r="W7" s="327" t="s">
        <v>178</v>
      </c>
      <c r="X7" s="330" t="s">
        <v>180</v>
      </c>
      <c r="Y7" s="331" t="s">
        <v>179</v>
      </c>
      <c r="Z7" s="326" t="s">
        <v>177</v>
      </c>
      <c r="AA7" s="327" t="s">
        <v>178</v>
      </c>
      <c r="AB7" s="330" t="s">
        <v>180</v>
      </c>
      <c r="AC7" s="330" t="s">
        <v>179</v>
      </c>
    </row>
    <row r="8" spans="2:42">
      <c r="B8" s="332"/>
      <c r="C8" s="333"/>
      <c r="D8" s="334"/>
      <c r="E8" s="335"/>
      <c r="F8" s="333"/>
      <c r="G8" s="334"/>
      <c r="H8" s="335"/>
      <c r="I8" s="333"/>
      <c r="J8" s="334"/>
      <c r="K8" s="335"/>
      <c r="L8" s="332"/>
      <c r="M8" s="333"/>
      <c r="N8" s="334"/>
      <c r="O8" s="336"/>
      <c r="P8" s="337"/>
      <c r="R8" s="333"/>
      <c r="S8" s="334"/>
      <c r="T8" s="336"/>
      <c r="U8" s="337"/>
      <c r="V8" s="333"/>
      <c r="W8" s="334"/>
      <c r="X8" s="336"/>
      <c r="Y8" s="337"/>
      <c r="Z8" s="333"/>
      <c r="AA8" s="334"/>
      <c r="AB8" s="336"/>
      <c r="AC8" s="338"/>
    </row>
    <row r="9" spans="2:42">
      <c r="B9" s="367" t="s">
        <v>152</v>
      </c>
      <c r="C9" s="333">
        <v>48273</v>
      </c>
      <c r="D9" s="334">
        <v>288</v>
      </c>
      <c r="E9" s="339">
        <v>74</v>
      </c>
      <c r="F9" s="333">
        <v>64162</v>
      </c>
      <c r="G9" s="334">
        <v>327</v>
      </c>
      <c r="H9" s="339">
        <v>127</v>
      </c>
      <c r="I9" s="333">
        <v>34478</v>
      </c>
      <c r="J9" s="340">
        <f>L9*10^7/I9/61.12</f>
        <v>-48.403276510797234</v>
      </c>
      <c r="K9" s="339">
        <f>L9*10^7/I9</f>
        <v>-2958.408260339927</v>
      </c>
      <c r="L9" s="341">
        <v>-10.199999999999999</v>
      </c>
      <c r="M9" s="306">
        <v>19898</v>
      </c>
      <c r="N9" s="306">
        <f>P9*10^7/M9/65.01</f>
        <v>134.58887982919936</v>
      </c>
      <c r="O9" s="307">
        <f>P9*10^7/M9</f>
        <v>8749.6230776962511</v>
      </c>
      <c r="P9" s="308">
        <f>0.26+17.15</f>
        <v>17.41</v>
      </c>
      <c r="R9" s="309">
        <v>2151</v>
      </c>
      <c r="S9" s="310">
        <f>U9*10^7/R9/66.62</f>
        <v>193.12836475072299</v>
      </c>
      <c r="T9" s="307">
        <f>U9*10^7/R9</f>
        <v>12866.211659693166</v>
      </c>
      <c r="U9" s="308">
        <f>-0.802477872+3.57</f>
        <v>2.767522128</v>
      </c>
      <c r="V9" s="309">
        <v>2557</v>
      </c>
      <c r="W9" s="310">
        <f>Y9*10^7/V9/67.25</f>
        <v>128.16994945546804</v>
      </c>
      <c r="X9" s="307">
        <f>Y9*10^7/V9</f>
        <v>8619.4291008802265</v>
      </c>
      <c r="Y9" s="308">
        <f>-0.146011978904926+2.35</f>
        <v>2.203988021095074</v>
      </c>
      <c r="Z9" s="306">
        <v>23317</v>
      </c>
      <c r="AA9" s="306">
        <v>83</v>
      </c>
      <c r="AB9" s="307">
        <f>AA9*70</f>
        <v>5810</v>
      </c>
      <c r="AC9" s="311">
        <f>AB9*Z9/10^7</f>
        <v>13.547177</v>
      </c>
      <c r="AD9" s="342" t="e">
        <f>AA9+#REF!</f>
        <v>#REF!</v>
      </c>
      <c r="AE9" s="342">
        <f>N9</f>
        <v>134.58887982919936</v>
      </c>
      <c r="AF9" s="342"/>
      <c r="AH9" s="343"/>
      <c r="AI9" s="342"/>
      <c r="AK9" s="343"/>
      <c r="AM9" s="342"/>
      <c r="AO9" s="342"/>
      <c r="AP9" s="342"/>
    </row>
    <row r="10" spans="2:42">
      <c r="B10" s="367" t="s">
        <v>153</v>
      </c>
      <c r="C10" s="333"/>
      <c r="D10" s="334"/>
      <c r="E10" s="339"/>
      <c r="F10" s="333"/>
      <c r="G10" s="334"/>
      <c r="H10" s="339"/>
      <c r="I10" s="333"/>
      <c r="J10" s="340"/>
      <c r="K10" s="339"/>
      <c r="L10" s="341"/>
      <c r="M10" s="310">
        <v>4256</v>
      </c>
      <c r="N10" s="310">
        <f>P10*10^7/M10/65.01</f>
        <v>113.84888154858766</v>
      </c>
      <c r="O10" s="307">
        <f>P10*10^7/M10</f>
        <v>7401.3157894736842</v>
      </c>
      <c r="P10" s="308">
        <v>3.15</v>
      </c>
      <c r="R10" s="309">
        <v>397</v>
      </c>
      <c r="S10" s="310">
        <f t="shared" ref="S10:S21" si="0">U10*10^7/R10/66.62</f>
        <v>275</v>
      </c>
      <c r="T10" s="307">
        <f>U10*10^7/R10</f>
        <v>18320.5</v>
      </c>
      <c r="U10" s="308">
        <v>0.72732384999999999</v>
      </c>
      <c r="V10" s="309">
        <v>860.31999999999982</v>
      </c>
      <c r="W10" s="310">
        <f t="shared" ref="W10:W21" si="1">Y10*10^7/V10/67.25</f>
        <v>125.6260172316572</v>
      </c>
      <c r="X10" s="307">
        <f>Y10*10^7/V10</f>
        <v>8448.3496588289472</v>
      </c>
      <c r="Y10" s="308">
        <v>0.72682841784837193</v>
      </c>
      <c r="Z10" s="310">
        <v>12240</v>
      </c>
      <c r="AA10" s="310">
        <v>171</v>
      </c>
      <c r="AB10" s="307">
        <f t="shared" ref="AB10:AB31" si="2">AA10*70</f>
        <v>11970</v>
      </c>
      <c r="AC10" s="311">
        <f t="shared" ref="AC10:AC31" si="3">AB10*Z10/10^7</f>
        <v>14.65128</v>
      </c>
      <c r="AD10" s="342" t="e">
        <f>AA10+#REF!</f>
        <v>#REF!</v>
      </c>
      <c r="AE10" s="342">
        <f t="shared" ref="AE10:AE21" si="4">N10</f>
        <v>113.84888154858766</v>
      </c>
      <c r="AF10" s="342"/>
      <c r="AK10" s="343"/>
      <c r="AL10" s="317">
        <v>9180</v>
      </c>
      <c r="AM10" s="342">
        <f t="shared" ref="AM10:AM31" si="5">Z10-AL10</f>
        <v>3060</v>
      </c>
      <c r="AO10" s="342">
        <v>10.795680000000001</v>
      </c>
      <c r="AP10" s="342">
        <f t="shared" ref="AP10:AP31" si="6">AC10-AO10</f>
        <v>3.855599999999999</v>
      </c>
    </row>
    <row r="11" spans="2:42">
      <c r="B11" s="367" t="s">
        <v>154</v>
      </c>
      <c r="C11" s="333">
        <v>342</v>
      </c>
      <c r="D11" s="334">
        <v>419</v>
      </c>
      <c r="E11" s="339">
        <v>0.77</v>
      </c>
      <c r="F11" s="333">
        <v>6435</v>
      </c>
      <c r="G11" s="334">
        <v>235</v>
      </c>
      <c r="H11" s="339">
        <v>3.9</v>
      </c>
      <c r="I11" s="333">
        <v>6215</v>
      </c>
      <c r="J11" s="340">
        <f t="shared" ref="J11:J21" si="7">L11*10^7/I11/61.12</f>
        <v>252.72415579601793</v>
      </c>
      <c r="K11" s="339">
        <f t="shared" ref="K11:K21" si="8">L11*10^7/I11</f>
        <v>15446.500402252615</v>
      </c>
      <c r="L11" s="341">
        <v>9.6</v>
      </c>
      <c r="M11" s="310">
        <v>6394</v>
      </c>
      <c r="N11" s="310">
        <f t="shared" ref="N11:N21" si="9">P11*10^7/M11/65.01</f>
        <v>515.06717019594726</v>
      </c>
      <c r="O11" s="307">
        <f t="shared" ref="O11:O21" si="10">P11*10^7/M11</f>
        <v>33484.516734438534</v>
      </c>
      <c r="P11" s="308">
        <v>21.41</v>
      </c>
      <c r="R11" s="309">
        <v>887</v>
      </c>
      <c r="S11" s="310">
        <f t="shared" si="0"/>
        <v>600</v>
      </c>
      <c r="T11" s="307">
        <f t="shared" ref="T11:T21" si="11">U11*10^7/R11</f>
        <v>39972</v>
      </c>
      <c r="U11" s="308">
        <v>3.5455163999999999</v>
      </c>
      <c r="V11" s="309">
        <v>744</v>
      </c>
      <c r="W11" s="310">
        <f t="shared" si="1"/>
        <v>551.62489507135138</v>
      </c>
      <c r="X11" s="307">
        <f t="shared" ref="X11:X21" si="12">Y11*10^7/V11</f>
        <v>37096.774193548379</v>
      </c>
      <c r="Y11" s="308">
        <v>2.76</v>
      </c>
      <c r="Z11" s="310">
        <v>21014</v>
      </c>
      <c r="AA11" s="310">
        <v>434</v>
      </c>
      <c r="AB11" s="307">
        <f t="shared" si="2"/>
        <v>30380</v>
      </c>
      <c r="AC11" s="391">
        <f t="shared" si="3"/>
        <v>63.840532000000003</v>
      </c>
      <c r="AD11" s="342" t="e">
        <f>AA11+#REF!</f>
        <v>#REF!</v>
      </c>
      <c r="AE11" s="342">
        <f t="shared" si="4"/>
        <v>515.06717019594726</v>
      </c>
      <c r="AF11" s="342"/>
      <c r="AK11" s="343">
        <f>(30*Z11)*70/10^7</f>
        <v>4.4129399999999999</v>
      </c>
      <c r="AL11" s="317">
        <v>18847</v>
      </c>
      <c r="AM11" s="342">
        <f t="shared" si="5"/>
        <v>2167</v>
      </c>
      <c r="AO11" s="342">
        <v>57.257185999999997</v>
      </c>
      <c r="AP11" s="342">
        <f t="shared" si="6"/>
        <v>6.5833460000000059</v>
      </c>
    </row>
    <row r="12" spans="2:42">
      <c r="B12" s="367" t="s">
        <v>155</v>
      </c>
      <c r="C12" s="333"/>
      <c r="D12" s="334"/>
      <c r="E12" s="339"/>
      <c r="F12" s="333"/>
      <c r="G12" s="334"/>
      <c r="H12" s="339"/>
      <c r="I12" s="333"/>
      <c r="J12" s="340"/>
      <c r="K12" s="339"/>
      <c r="L12" s="341"/>
      <c r="M12" s="310"/>
      <c r="N12" s="310"/>
      <c r="O12" s="307"/>
      <c r="P12" s="308"/>
      <c r="R12" s="309"/>
      <c r="S12" s="310"/>
      <c r="T12" s="307"/>
      <c r="U12" s="308"/>
      <c r="V12" s="309"/>
      <c r="W12" s="310"/>
      <c r="X12" s="307"/>
      <c r="Y12" s="308"/>
      <c r="Z12" s="310">
        <v>1200</v>
      </c>
      <c r="AA12" s="310">
        <v>448</v>
      </c>
      <c r="AB12" s="307">
        <f t="shared" si="2"/>
        <v>31360</v>
      </c>
      <c r="AC12" s="311">
        <f t="shared" si="3"/>
        <v>3.7631999999999999</v>
      </c>
      <c r="AD12" s="342"/>
      <c r="AE12" s="342"/>
      <c r="AF12" s="342"/>
      <c r="AK12" s="343">
        <f>30*1200*70/10^7</f>
        <v>0.252</v>
      </c>
      <c r="AL12" s="317">
        <v>1200</v>
      </c>
      <c r="AM12" s="342">
        <f t="shared" si="5"/>
        <v>0</v>
      </c>
      <c r="AO12" s="342">
        <v>3.6456</v>
      </c>
      <c r="AP12" s="342">
        <f t="shared" si="6"/>
        <v>0.11759999999999993</v>
      </c>
    </row>
    <row r="13" spans="2:42">
      <c r="B13" s="367" t="s">
        <v>156</v>
      </c>
      <c r="C13" s="333"/>
      <c r="D13" s="334"/>
      <c r="E13" s="339"/>
      <c r="F13" s="333"/>
      <c r="G13" s="334"/>
      <c r="H13" s="339"/>
      <c r="I13" s="333"/>
      <c r="J13" s="340"/>
      <c r="K13" s="339"/>
      <c r="L13" s="341"/>
      <c r="M13" s="310">
        <v>3497</v>
      </c>
      <c r="N13" s="310">
        <f t="shared" si="9"/>
        <v>91.9328000263218</v>
      </c>
      <c r="O13" s="307">
        <f t="shared" si="10"/>
        <v>5976.5513297111811</v>
      </c>
      <c r="P13" s="308">
        <v>2.09</v>
      </c>
      <c r="R13" s="309">
        <v>1217</v>
      </c>
      <c r="S13" s="310">
        <f t="shared" si="0"/>
        <v>138</v>
      </c>
      <c r="T13" s="307">
        <f t="shared" si="11"/>
        <v>9193.5600000000013</v>
      </c>
      <c r="U13" s="308">
        <v>1.1188562520000001</v>
      </c>
      <c r="V13" s="309">
        <v>1312.84</v>
      </c>
      <c r="W13" s="310">
        <f t="shared" si="1"/>
        <v>90.347948561621365</v>
      </c>
      <c r="X13" s="307">
        <f t="shared" si="12"/>
        <v>6075.8995407690372</v>
      </c>
      <c r="Y13" s="308">
        <v>0.79766839531032219</v>
      </c>
      <c r="Z13" s="310">
        <v>7000</v>
      </c>
      <c r="AA13" s="310">
        <v>146</v>
      </c>
      <c r="AB13" s="307">
        <f t="shared" si="2"/>
        <v>10220</v>
      </c>
      <c r="AC13" s="311">
        <f t="shared" si="3"/>
        <v>7.1539999999999999</v>
      </c>
      <c r="AD13" s="342" t="e">
        <f>AA13+#REF!</f>
        <v>#REF!</v>
      </c>
      <c r="AE13" s="342">
        <f t="shared" si="4"/>
        <v>91.9328000263218</v>
      </c>
      <c r="AF13" s="342"/>
      <c r="AK13" s="343"/>
      <c r="AL13" s="317">
        <v>7000</v>
      </c>
      <c r="AM13" s="342">
        <f t="shared" si="5"/>
        <v>0</v>
      </c>
      <c r="AO13" s="342">
        <v>7.0069999999999997</v>
      </c>
      <c r="AP13" s="342">
        <f t="shared" si="6"/>
        <v>0.14700000000000024</v>
      </c>
    </row>
    <row r="14" spans="2:42">
      <c r="B14" s="367" t="s">
        <v>157</v>
      </c>
      <c r="C14" s="333">
        <v>2968</v>
      </c>
      <c r="D14" s="334">
        <v>262</v>
      </c>
      <c r="E14" s="339">
        <v>4.16</v>
      </c>
      <c r="F14" s="333">
        <v>0</v>
      </c>
      <c r="G14" s="334">
        <v>0</v>
      </c>
      <c r="H14" s="339">
        <v>0</v>
      </c>
      <c r="I14" s="333">
        <v>1681</v>
      </c>
      <c r="J14" s="340">
        <f t="shared" si="7"/>
        <v>428.25418676865866</v>
      </c>
      <c r="K14" s="339">
        <f t="shared" si="8"/>
        <v>26174.895895300415</v>
      </c>
      <c r="L14" s="341">
        <v>4.4000000000000004</v>
      </c>
      <c r="M14" s="310">
        <v>2113</v>
      </c>
      <c r="N14" s="310">
        <f t="shared" si="9"/>
        <v>448</v>
      </c>
      <c r="O14" s="307">
        <f t="shared" si="10"/>
        <v>29124.480000000003</v>
      </c>
      <c r="P14" s="308">
        <v>6.1540026240000012</v>
      </c>
      <c r="R14" s="309">
        <v>238</v>
      </c>
      <c r="S14" s="310">
        <f t="shared" si="0"/>
        <v>658</v>
      </c>
      <c r="T14" s="307">
        <f t="shared" si="11"/>
        <v>43835.960000000006</v>
      </c>
      <c r="U14" s="308">
        <v>1.0432958480000003</v>
      </c>
      <c r="V14" s="309">
        <v>196.44</v>
      </c>
      <c r="W14" s="310">
        <f t="shared" si="1"/>
        <v>572.84630285878882</v>
      </c>
      <c r="X14" s="307">
        <f t="shared" si="12"/>
        <v>38523.913867253548</v>
      </c>
      <c r="Y14" s="308">
        <v>0.75676376400832868</v>
      </c>
      <c r="Z14" s="310">
        <v>2850</v>
      </c>
      <c r="AA14" s="310">
        <v>447</v>
      </c>
      <c r="AB14" s="307">
        <f t="shared" si="2"/>
        <v>31290</v>
      </c>
      <c r="AC14" s="311">
        <f t="shared" si="3"/>
        <v>8.9176500000000001</v>
      </c>
      <c r="AD14" s="342" t="e">
        <f>AA14+#REF!</f>
        <v>#REF!</v>
      </c>
      <c r="AE14" s="342">
        <f t="shared" si="4"/>
        <v>448</v>
      </c>
      <c r="AF14" s="342"/>
      <c r="AG14" s="342"/>
      <c r="AK14" s="343">
        <f>(146*Z14)*70/10^7</f>
        <v>2.9127000000000001</v>
      </c>
      <c r="AL14" s="317">
        <v>3510</v>
      </c>
      <c r="AM14" s="342">
        <f t="shared" si="5"/>
        <v>-660</v>
      </c>
      <c r="AO14" s="342">
        <v>10.98279</v>
      </c>
      <c r="AP14" s="342">
        <f t="shared" si="6"/>
        <v>-2.0651399999999995</v>
      </c>
    </row>
    <row r="15" spans="2:42">
      <c r="B15" s="367" t="s">
        <v>107</v>
      </c>
      <c r="C15" s="333">
        <v>0</v>
      </c>
      <c r="D15" s="334">
        <v>0</v>
      </c>
      <c r="E15" s="339">
        <v>0</v>
      </c>
      <c r="F15" s="333">
        <v>0</v>
      </c>
      <c r="G15" s="334">
        <v>0</v>
      </c>
      <c r="H15" s="339">
        <v>0</v>
      </c>
      <c r="I15" s="333">
        <v>1899</v>
      </c>
      <c r="J15" s="340">
        <f t="shared" si="7"/>
        <v>749.5678353721579</v>
      </c>
      <c r="K15" s="344">
        <f t="shared" si="8"/>
        <v>45813.586097946289</v>
      </c>
      <c r="L15" s="345">
        <v>8.6999999999999993</v>
      </c>
      <c r="M15" s="310">
        <v>2923</v>
      </c>
      <c r="N15" s="310">
        <f t="shared" si="9"/>
        <v>724</v>
      </c>
      <c r="O15" s="307">
        <f t="shared" si="10"/>
        <v>47067.240000000005</v>
      </c>
      <c r="P15" s="308">
        <v>13.757754252000002</v>
      </c>
      <c r="R15" s="309">
        <v>385</v>
      </c>
      <c r="S15" s="310">
        <f t="shared" si="0"/>
        <v>727</v>
      </c>
      <c r="T15" s="307">
        <f t="shared" si="11"/>
        <v>48432.740000000005</v>
      </c>
      <c r="U15" s="308">
        <v>1.8646604900000001</v>
      </c>
      <c r="V15" s="309">
        <v>264</v>
      </c>
      <c r="W15" s="310">
        <f t="shared" si="1"/>
        <v>660.79118930601601</v>
      </c>
      <c r="X15" s="307">
        <f t="shared" si="12"/>
        <v>44438.207480829573</v>
      </c>
      <c r="Y15" s="308">
        <v>1.1731686774939007</v>
      </c>
      <c r="Z15" s="310">
        <v>4800</v>
      </c>
      <c r="AA15" s="310">
        <v>679</v>
      </c>
      <c r="AB15" s="307">
        <f t="shared" si="2"/>
        <v>47530</v>
      </c>
      <c r="AC15" s="311">
        <f t="shared" si="3"/>
        <v>22.814399999999999</v>
      </c>
      <c r="AD15" s="342" t="e">
        <f>AA15+#REF!</f>
        <v>#REF!</v>
      </c>
      <c r="AE15" s="342">
        <f t="shared" si="4"/>
        <v>724</v>
      </c>
      <c r="AF15" s="342"/>
      <c r="AL15" s="317">
        <v>4800</v>
      </c>
      <c r="AM15" s="342">
        <f t="shared" si="5"/>
        <v>0</v>
      </c>
      <c r="AO15" s="342">
        <v>22.780799999999999</v>
      </c>
      <c r="AP15" s="342">
        <f t="shared" si="6"/>
        <v>3.3599999999999852E-2</v>
      </c>
    </row>
    <row r="16" spans="2:42">
      <c r="B16" s="367" t="s">
        <v>54</v>
      </c>
      <c r="C16" s="333">
        <v>899</v>
      </c>
      <c r="D16" s="334">
        <v>1015</v>
      </c>
      <c r="E16" s="339">
        <v>4.8899999999999997</v>
      </c>
      <c r="F16" s="333">
        <v>1035</v>
      </c>
      <c r="G16" s="334">
        <v>1889</v>
      </c>
      <c r="H16" s="339">
        <v>11.81</v>
      </c>
      <c r="I16" s="333">
        <v>1143</v>
      </c>
      <c r="J16" s="340">
        <f t="shared" si="7"/>
        <v>1617.5170512062957</v>
      </c>
      <c r="K16" s="339">
        <f t="shared" si="8"/>
        <v>98862.642169728788</v>
      </c>
      <c r="L16" s="341">
        <v>11.3</v>
      </c>
      <c r="M16" s="310">
        <v>840</v>
      </c>
      <c r="N16" s="310">
        <f t="shared" si="9"/>
        <v>707</v>
      </c>
      <c r="O16" s="307">
        <f t="shared" si="10"/>
        <v>45962.070000000007</v>
      </c>
      <c r="P16" s="308">
        <v>3.8608138800000003</v>
      </c>
      <c r="R16" s="309">
        <v>81</v>
      </c>
      <c r="S16" s="310">
        <f t="shared" si="0"/>
        <v>547</v>
      </c>
      <c r="T16" s="307">
        <f t="shared" si="11"/>
        <v>36441.14</v>
      </c>
      <c r="U16" s="308">
        <v>0.29517323400000001</v>
      </c>
      <c r="V16" s="309">
        <v>141</v>
      </c>
      <c r="W16" s="310">
        <f t="shared" si="1"/>
        <v>697.95955452961357</v>
      </c>
      <c r="X16" s="307">
        <f t="shared" si="12"/>
        <v>46937.780042116516</v>
      </c>
      <c r="Y16" s="308">
        <v>0.66182269859384291</v>
      </c>
      <c r="Z16" s="310">
        <v>1310</v>
      </c>
      <c r="AA16" s="310">
        <v>908</v>
      </c>
      <c r="AB16" s="307">
        <f t="shared" si="2"/>
        <v>63560</v>
      </c>
      <c r="AC16" s="311">
        <f t="shared" si="3"/>
        <v>8.3263599999999993</v>
      </c>
      <c r="AD16" s="342" t="e">
        <f>AA16+#REF!</f>
        <v>#REF!</v>
      </c>
      <c r="AE16" s="342">
        <f t="shared" si="4"/>
        <v>707</v>
      </c>
      <c r="AF16" s="342"/>
      <c r="AL16" s="317">
        <v>1080</v>
      </c>
      <c r="AM16" s="342">
        <f t="shared" si="5"/>
        <v>230</v>
      </c>
      <c r="AO16" s="342">
        <v>6.8266799999999996</v>
      </c>
      <c r="AP16" s="342">
        <f t="shared" si="6"/>
        <v>1.4996799999999997</v>
      </c>
    </row>
    <row r="17" spans="2:43">
      <c r="B17" s="367" t="s">
        <v>55</v>
      </c>
      <c r="C17" s="333">
        <v>184</v>
      </c>
      <c r="D17" s="334">
        <v>985</v>
      </c>
      <c r="E17" s="339">
        <v>0.97</v>
      </c>
      <c r="F17" s="333">
        <v>1279</v>
      </c>
      <c r="G17" s="334">
        <v>1588</v>
      </c>
      <c r="H17" s="339">
        <v>12.28</v>
      </c>
      <c r="I17" s="333">
        <v>1628</v>
      </c>
      <c r="J17" s="340">
        <f t="shared" si="7"/>
        <v>1366.7880160026757</v>
      </c>
      <c r="K17" s="339">
        <f t="shared" si="8"/>
        <v>83538.083538083534</v>
      </c>
      <c r="L17" s="341">
        <v>13.6</v>
      </c>
      <c r="M17" s="310">
        <v>482</v>
      </c>
      <c r="N17" s="310">
        <f t="shared" si="9"/>
        <v>871</v>
      </c>
      <c r="O17" s="307">
        <f t="shared" si="10"/>
        <v>56623.710000000006</v>
      </c>
      <c r="P17" s="308">
        <v>2.7292628220000004</v>
      </c>
      <c r="R17" s="309">
        <v>48</v>
      </c>
      <c r="S17" s="310">
        <f t="shared" si="0"/>
        <v>739</v>
      </c>
      <c r="T17" s="307">
        <f t="shared" si="11"/>
        <v>49232.18</v>
      </c>
      <c r="U17" s="308">
        <v>0.236314464</v>
      </c>
      <c r="V17" s="309">
        <v>52</v>
      </c>
      <c r="W17" s="310">
        <f t="shared" si="1"/>
        <v>686.30254503860453</v>
      </c>
      <c r="X17" s="307">
        <f t="shared" si="12"/>
        <v>46153.846153846156</v>
      </c>
      <c r="Y17" s="308">
        <v>0.24</v>
      </c>
      <c r="Z17" s="310">
        <v>1066</v>
      </c>
      <c r="AA17" s="310">
        <v>1008</v>
      </c>
      <c r="AB17" s="307">
        <f t="shared" si="2"/>
        <v>70560</v>
      </c>
      <c r="AC17" s="311">
        <f t="shared" si="3"/>
        <v>7.5216960000000004</v>
      </c>
      <c r="AD17" s="342" t="e">
        <f>AA17+#REF!</f>
        <v>#REF!</v>
      </c>
      <c r="AE17" s="342">
        <f t="shared" si="4"/>
        <v>871</v>
      </c>
      <c r="AF17" s="342"/>
      <c r="AL17" s="317">
        <v>1066</v>
      </c>
      <c r="AM17" s="342">
        <f t="shared" si="5"/>
        <v>0</v>
      </c>
      <c r="AO17" s="342">
        <v>7.4843859999999998</v>
      </c>
      <c r="AP17" s="342">
        <f t="shared" si="6"/>
        <v>3.731000000000062E-2</v>
      </c>
    </row>
    <row r="18" spans="2:43">
      <c r="B18" s="367" t="s">
        <v>84</v>
      </c>
      <c r="C18" s="333"/>
      <c r="D18" s="334"/>
      <c r="E18" s="339"/>
      <c r="F18" s="333"/>
      <c r="G18" s="334"/>
      <c r="H18" s="339"/>
      <c r="I18" s="333"/>
      <c r="J18" s="340"/>
      <c r="K18" s="339"/>
      <c r="L18" s="341"/>
      <c r="M18" s="310"/>
      <c r="N18" s="310"/>
      <c r="O18" s="307"/>
      <c r="P18" s="308"/>
      <c r="R18" s="309"/>
      <c r="S18" s="310"/>
      <c r="T18" s="307"/>
      <c r="U18" s="308"/>
      <c r="V18" s="309"/>
      <c r="W18" s="310"/>
      <c r="X18" s="307"/>
      <c r="Y18" s="308"/>
      <c r="Z18" s="310">
        <v>300</v>
      </c>
      <c r="AA18" s="310">
        <v>1066</v>
      </c>
      <c r="AB18" s="307">
        <f t="shared" si="2"/>
        <v>74620</v>
      </c>
      <c r="AC18" s="311">
        <f t="shared" si="3"/>
        <v>2.2385999999999999</v>
      </c>
      <c r="AD18" s="342"/>
      <c r="AE18" s="342"/>
      <c r="AF18" s="342"/>
      <c r="AL18" s="317">
        <v>300</v>
      </c>
      <c r="AM18" s="342">
        <f t="shared" si="5"/>
        <v>0</v>
      </c>
      <c r="AO18" s="342">
        <v>2.226</v>
      </c>
      <c r="AP18" s="342">
        <f t="shared" si="6"/>
        <v>1.2599999999999945E-2</v>
      </c>
    </row>
    <row r="19" spans="2:43">
      <c r="B19" s="367" t="s">
        <v>50</v>
      </c>
      <c r="C19" s="333">
        <v>859</v>
      </c>
      <c r="D19" s="334">
        <v>1432</v>
      </c>
      <c r="E19" s="339">
        <v>6.59</v>
      </c>
      <c r="F19" s="333">
        <v>749</v>
      </c>
      <c r="G19" s="334">
        <v>1524</v>
      </c>
      <c r="H19" s="339">
        <v>6.9</v>
      </c>
      <c r="I19" s="333">
        <v>797</v>
      </c>
      <c r="J19" s="340">
        <f t="shared" si="7"/>
        <v>1272.7702707141309</v>
      </c>
      <c r="K19" s="339">
        <f t="shared" si="8"/>
        <v>77791.71894604768</v>
      </c>
      <c r="L19" s="341">
        <v>6.2</v>
      </c>
      <c r="M19" s="310">
        <v>615</v>
      </c>
      <c r="N19" s="310">
        <f t="shared" si="9"/>
        <v>958</v>
      </c>
      <c r="O19" s="307">
        <f t="shared" si="10"/>
        <v>62279.58</v>
      </c>
      <c r="P19" s="308">
        <v>3.8301941700000004</v>
      </c>
      <c r="R19" s="309">
        <v>23</v>
      </c>
      <c r="S19" s="310">
        <f t="shared" si="0"/>
        <v>1010.0000000000001</v>
      </c>
      <c r="T19" s="307">
        <f t="shared" si="11"/>
        <v>67286.200000000012</v>
      </c>
      <c r="U19" s="308">
        <v>0.15475826000000004</v>
      </c>
      <c r="V19" s="309">
        <v>23</v>
      </c>
      <c r="W19" s="310">
        <f t="shared" si="1"/>
        <v>1163.7304024567643</v>
      </c>
      <c r="X19" s="307">
        <f t="shared" si="12"/>
        <v>78260.869565217392</v>
      </c>
      <c r="Y19" s="308">
        <v>0.18</v>
      </c>
      <c r="Z19" s="310">
        <v>1014</v>
      </c>
      <c r="AA19" s="310">
        <v>1063</v>
      </c>
      <c r="AB19" s="307">
        <f t="shared" si="2"/>
        <v>74410</v>
      </c>
      <c r="AC19" s="311">
        <f t="shared" si="3"/>
        <v>7.5451740000000003</v>
      </c>
      <c r="AD19" s="342" t="e">
        <f>AA19+#REF!</f>
        <v>#REF!</v>
      </c>
      <c r="AE19" s="342">
        <f t="shared" si="4"/>
        <v>958</v>
      </c>
      <c r="AF19" s="342"/>
      <c r="AL19" s="317">
        <v>954</v>
      </c>
      <c r="AM19" s="342">
        <f t="shared" si="5"/>
        <v>60</v>
      </c>
      <c r="AO19" s="342">
        <v>7.0786800000000003</v>
      </c>
      <c r="AP19" s="342">
        <f t="shared" si="6"/>
        <v>0.46649399999999996</v>
      </c>
    </row>
    <row r="20" spans="2:43">
      <c r="B20" s="367" t="s">
        <v>158</v>
      </c>
      <c r="C20" s="333">
        <v>5208</v>
      </c>
      <c r="D20" s="334">
        <v>726</v>
      </c>
      <c r="E20" s="339">
        <v>20.260000000000002</v>
      </c>
      <c r="F20" s="333">
        <v>5709</v>
      </c>
      <c r="G20" s="334">
        <v>968</v>
      </c>
      <c r="H20" s="339">
        <v>33.409999999999997</v>
      </c>
      <c r="I20" s="333">
        <v>4545</v>
      </c>
      <c r="J20" s="340">
        <f t="shared" si="7"/>
        <v>687.56875687568754</v>
      </c>
      <c r="K20" s="339">
        <f t="shared" si="8"/>
        <v>42024.202420242022</v>
      </c>
      <c r="L20" s="341">
        <v>19.100000000000001</v>
      </c>
      <c r="M20" s="310">
        <v>3312</v>
      </c>
      <c r="N20" s="310">
        <f t="shared" si="9"/>
        <v>122</v>
      </c>
      <c r="O20" s="307">
        <f t="shared" si="10"/>
        <v>7931.22</v>
      </c>
      <c r="P20" s="308">
        <v>2.6268200639999999</v>
      </c>
      <c r="R20" s="309"/>
      <c r="S20" s="310"/>
      <c r="T20" s="307"/>
      <c r="U20" s="308"/>
      <c r="V20" s="309">
        <v>122</v>
      </c>
      <c r="W20" s="310">
        <f t="shared" si="1"/>
        <v>255.95709671521729</v>
      </c>
      <c r="X20" s="307">
        <f t="shared" si="12"/>
        <v>17213.114754098362</v>
      </c>
      <c r="Y20" s="308">
        <v>0.21</v>
      </c>
      <c r="Z20" s="310">
        <v>6000</v>
      </c>
      <c r="AA20" s="310">
        <v>736</v>
      </c>
      <c r="AB20" s="307">
        <f t="shared" si="2"/>
        <v>51520</v>
      </c>
      <c r="AC20" s="311">
        <f t="shared" si="3"/>
        <v>30.911999999999999</v>
      </c>
      <c r="AD20" s="342" t="e">
        <f>AA20+#REF!</f>
        <v>#REF!</v>
      </c>
      <c r="AE20" s="342">
        <f t="shared" si="4"/>
        <v>122</v>
      </c>
      <c r="AF20" s="342"/>
      <c r="AL20" s="317">
        <v>5500</v>
      </c>
      <c r="AM20" s="342">
        <f t="shared" si="5"/>
        <v>500</v>
      </c>
      <c r="AO20" s="342">
        <v>28.259</v>
      </c>
      <c r="AP20" s="342">
        <f t="shared" si="6"/>
        <v>2.6529999999999987</v>
      </c>
    </row>
    <row r="21" spans="2:43">
      <c r="B21" s="367" t="s">
        <v>159</v>
      </c>
      <c r="C21" s="333">
        <v>225</v>
      </c>
      <c r="D21" s="334">
        <v>1727</v>
      </c>
      <c r="E21" s="339">
        <v>2.08</v>
      </c>
      <c r="F21" s="333">
        <v>128</v>
      </c>
      <c r="G21" s="334">
        <v>1577</v>
      </c>
      <c r="H21" s="339">
        <v>1.22</v>
      </c>
      <c r="I21" s="333">
        <v>500</v>
      </c>
      <c r="J21" s="340">
        <f t="shared" si="7"/>
        <v>1537.958115183246</v>
      </c>
      <c r="K21" s="339">
        <f t="shared" si="8"/>
        <v>94000</v>
      </c>
      <c r="L21" s="341">
        <v>4.7</v>
      </c>
      <c r="M21" s="310">
        <v>113</v>
      </c>
      <c r="N21" s="310">
        <f t="shared" si="9"/>
        <v>949.00000000000011</v>
      </c>
      <c r="O21" s="307">
        <f t="shared" si="10"/>
        <v>61694.490000000013</v>
      </c>
      <c r="P21" s="308">
        <v>0.6971477370000001</v>
      </c>
      <c r="R21" s="309">
        <v>27</v>
      </c>
      <c r="S21" s="310">
        <f t="shared" si="0"/>
        <v>733.41429000300218</v>
      </c>
      <c r="T21" s="307">
        <f t="shared" si="11"/>
        <v>48860.060000000005</v>
      </c>
      <c r="U21" s="308">
        <v>0.13192216200000001</v>
      </c>
      <c r="V21" s="309">
        <v>40</v>
      </c>
      <c r="W21" s="310">
        <f t="shared" si="1"/>
        <v>669.14498141263937</v>
      </c>
      <c r="X21" s="307">
        <f t="shared" si="12"/>
        <v>45000</v>
      </c>
      <c r="Y21" s="308">
        <v>0.18</v>
      </c>
      <c r="Z21" s="310">
        <v>504</v>
      </c>
      <c r="AA21" s="310">
        <v>1062</v>
      </c>
      <c r="AB21" s="307">
        <f t="shared" si="2"/>
        <v>74340</v>
      </c>
      <c r="AC21" s="311">
        <f t="shared" si="3"/>
        <v>3.7467359999999998</v>
      </c>
      <c r="AD21" s="342" t="e">
        <f>AA21+#REF!</f>
        <v>#REF!</v>
      </c>
      <c r="AE21" s="342">
        <f t="shared" si="4"/>
        <v>949.00000000000011</v>
      </c>
      <c r="AF21" s="342"/>
      <c r="AL21" s="317">
        <v>432</v>
      </c>
      <c r="AM21" s="342">
        <f t="shared" si="5"/>
        <v>72</v>
      </c>
      <c r="AO21" s="342">
        <v>3.2024159999999999</v>
      </c>
      <c r="AP21" s="342">
        <f t="shared" si="6"/>
        <v>0.54431999999999992</v>
      </c>
    </row>
    <row r="22" spans="2:43">
      <c r="B22" s="367" t="s">
        <v>39</v>
      </c>
      <c r="C22" s="333"/>
      <c r="D22" s="334"/>
      <c r="E22" s="339"/>
      <c r="F22" s="333"/>
      <c r="G22" s="334"/>
      <c r="H22" s="339"/>
      <c r="I22" s="333"/>
      <c r="J22" s="334"/>
      <c r="K22" s="339"/>
      <c r="L22" s="341"/>
      <c r="M22" s="310"/>
      <c r="N22" s="310"/>
      <c r="O22" s="307"/>
      <c r="P22" s="312"/>
      <c r="R22" s="313"/>
      <c r="S22" s="307"/>
      <c r="T22" s="307"/>
      <c r="U22" s="312"/>
      <c r="V22" s="313"/>
      <c r="W22" s="307"/>
      <c r="X22" s="307"/>
      <c r="Y22" s="312"/>
      <c r="Z22" s="310">
        <v>1160</v>
      </c>
      <c r="AA22" s="310">
        <v>120</v>
      </c>
      <c r="AB22" s="307">
        <f t="shared" si="2"/>
        <v>8400</v>
      </c>
      <c r="AC22" s="311">
        <f t="shared" si="3"/>
        <v>0.97440000000000004</v>
      </c>
      <c r="AL22" s="317">
        <v>1160</v>
      </c>
      <c r="AM22" s="342">
        <f t="shared" si="5"/>
        <v>0</v>
      </c>
      <c r="AO22" s="342">
        <v>0.96628000000000003</v>
      </c>
      <c r="AP22" s="342">
        <f t="shared" si="6"/>
        <v>8.1200000000000161E-3</v>
      </c>
    </row>
    <row r="23" spans="2:43">
      <c r="B23" s="367" t="s">
        <v>37</v>
      </c>
      <c r="C23" s="333"/>
      <c r="D23" s="334"/>
      <c r="E23" s="339"/>
      <c r="F23" s="333"/>
      <c r="G23" s="334"/>
      <c r="H23" s="339"/>
      <c r="I23" s="333"/>
      <c r="J23" s="334"/>
      <c r="K23" s="339"/>
      <c r="L23" s="341"/>
      <c r="M23" s="310"/>
      <c r="N23" s="310"/>
      <c r="O23" s="307"/>
      <c r="P23" s="312"/>
      <c r="R23" s="313"/>
      <c r="S23" s="307"/>
      <c r="T23" s="307"/>
      <c r="U23" s="312"/>
      <c r="V23" s="313"/>
      <c r="W23" s="307"/>
      <c r="X23" s="307"/>
      <c r="Y23" s="312"/>
      <c r="Z23" s="310">
        <v>1320</v>
      </c>
      <c r="AA23" s="310">
        <v>101</v>
      </c>
      <c r="AB23" s="307">
        <f t="shared" si="2"/>
        <v>7070</v>
      </c>
      <c r="AC23" s="311">
        <f t="shared" si="3"/>
        <v>0.93323999999999996</v>
      </c>
      <c r="AL23" s="317">
        <v>1320</v>
      </c>
      <c r="AM23" s="342">
        <f t="shared" si="5"/>
        <v>0</v>
      </c>
      <c r="AO23" s="342">
        <v>0.92400000000000004</v>
      </c>
      <c r="AP23" s="342">
        <f t="shared" si="6"/>
        <v>9.2399999999999149E-3</v>
      </c>
    </row>
    <row r="24" spans="2:43">
      <c r="B24" s="367" t="s">
        <v>160</v>
      </c>
      <c r="C24" s="333"/>
      <c r="D24" s="334"/>
      <c r="E24" s="339"/>
      <c r="F24" s="333"/>
      <c r="G24" s="334"/>
      <c r="H24" s="339"/>
      <c r="I24" s="333"/>
      <c r="J24" s="334"/>
      <c r="K24" s="339"/>
      <c r="L24" s="341"/>
      <c r="M24" s="310"/>
      <c r="N24" s="310"/>
      <c r="O24" s="307"/>
      <c r="P24" s="312"/>
      <c r="R24" s="313"/>
      <c r="S24" s="307"/>
      <c r="T24" s="307"/>
      <c r="U24" s="312"/>
      <c r="V24" s="313"/>
      <c r="W24" s="307"/>
      <c r="X24" s="307"/>
      <c r="Y24" s="312"/>
      <c r="Z24" s="310">
        <v>5158</v>
      </c>
      <c r="AA24" s="310">
        <v>169</v>
      </c>
      <c r="AB24" s="307">
        <f t="shared" si="2"/>
        <v>11830</v>
      </c>
      <c r="AC24" s="311">
        <f t="shared" si="3"/>
        <v>6.1019139999999998</v>
      </c>
      <c r="AL24" s="317">
        <v>2702</v>
      </c>
      <c r="AM24" s="342">
        <f t="shared" si="5"/>
        <v>2456</v>
      </c>
      <c r="AO24" s="342">
        <v>4.2745639999999998</v>
      </c>
      <c r="AP24" s="346">
        <f t="shared" si="6"/>
        <v>1.82735</v>
      </c>
    </row>
    <row r="25" spans="2:43">
      <c r="B25" s="367" t="s">
        <v>161</v>
      </c>
      <c r="C25" s="372"/>
      <c r="D25" s="373"/>
      <c r="E25" s="374"/>
      <c r="F25" s="372"/>
      <c r="G25" s="373"/>
      <c r="H25" s="374"/>
      <c r="I25" s="372"/>
      <c r="J25" s="373"/>
      <c r="K25" s="374"/>
      <c r="L25" s="375"/>
      <c r="M25" s="376"/>
      <c r="N25" s="376"/>
      <c r="O25" s="377"/>
      <c r="P25" s="378"/>
      <c r="R25" s="313"/>
      <c r="S25" s="307"/>
      <c r="T25" s="307"/>
      <c r="U25" s="312"/>
      <c r="V25" s="313"/>
      <c r="W25" s="307"/>
      <c r="X25" s="307"/>
      <c r="Y25" s="312"/>
      <c r="Z25" s="310">
        <v>1320</v>
      </c>
      <c r="AA25" s="310">
        <v>-69</v>
      </c>
      <c r="AB25" s="307">
        <f t="shared" si="2"/>
        <v>-4830</v>
      </c>
      <c r="AC25" s="311">
        <f t="shared" si="3"/>
        <v>-0.63756000000000002</v>
      </c>
      <c r="AG25" s="317">
        <v>270</v>
      </c>
      <c r="AH25" s="317">
        <f>(AG25*Z25)*70/10^7</f>
        <v>2.4948000000000001</v>
      </c>
      <c r="AI25" s="342">
        <f>AG25+AA25</f>
        <v>201</v>
      </c>
      <c r="AJ25" s="342">
        <f>AI25-362</f>
        <v>-161</v>
      </c>
      <c r="AL25" s="317">
        <v>1200</v>
      </c>
      <c r="AM25" s="342">
        <f t="shared" si="5"/>
        <v>120</v>
      </c>
      <c r="AO25" s="342">
        <v>-0.58799999999999997</v>
      </c>
      <c r="AP25" s="342">
        <f t="shared" si="6"/>
        <v>-4.9560000000000048E-2</v>
      </c>
    </row>
    <row r="26" spans="2:43">
      <c r="B26" s="367" t="s">
        <v>162</v>
      </c>
      <c r="C26" s="372"/>
      <c r="D26" s="373"/>
      <c r="E26" s="374"/>
      <c r="F26" s="372"/>
      <c r="G26" s="373"/>
      <c r="H26" s="374"/>
      <c r="I26" s="372"/>
      <c r="J26" s="373"/>
      <c r="K26" s="374"/>
      <c r="L26" s="375"/>
      <c r="M26" s="376"/>
      <c r="N26" s="376"/>
      <c r="O26" s="377"/>
      <c r="P26" s="378"/>
      <c r="R26" s="313"/>
      <c r="S26" s="307"/>
      <c r="T26" s="307"/>
      <c r="U26" s="312"/>
      <c r="V26" s="313"/>
      <c r="W26" s="307"/>
      <c r="X26" s="307"/>
      <c r="Y26" s="312"/>
      <c r="Z26" s="310">
        <v>120</v>
      </c>
      <c r="AA26" s="310">
        <v>100</v>
      </c>
      <c r="AB26" s="307">
        <f t="shared" si="2"/>
        <v>7000</v>
      </c>
      <c r="AC26" s="311">
        <f t="shared" si="3"/>
        <v>8.4000000000000005E-2</v>
      </c>
      <c r="AL26" s="317">
        <v>120</v>
      </c>
      <c r="AM26" s="342">
        <f t="shared" si="5"/>
        <v>0</v>
      </c>
      <c r="AO26" s="342">
        <v>8.4000000000000005E-2</v>
      </c>
      <c r="AP26" s="342">
        <f t="shared" si="6"/>
        <v>0</v>
      </c>
    </row>
    <row r="27" spans="2:43">
      <c r="B27" s="367" t="s">
        <v>163</v>
      </c>
      <c r="C27" s="372"/>
      <c r="D27" s="373"/>
      <c r="E27" s="374"/>
      <c r="F27" s="372"/>
      <c r="G27" s="373"/>
      <c r="H27" s="374"/>
      <c r="I27" s="372"/>
      <c r="J27" s="373"/>
      <c r="K27" s="374"/>
      <c r="L27" s="375"/>
      <c r="M27" s="376"/>
      <c r="N27" s="376"/>
      <c r="O27" s="377"/>
      <c r="P27" s="378"/>
      <c r="R27" s="313"/>
      <c r="S27" s="307"/>
      <c r="T27" s="307"/>
      <c r="U27" s="312"/>
      <c r="V27" s="313"/>
      <c r="W27" s="307"/>
      <c r="X27" s="307"/>
      <c r="Y27" s="312"/>
      <c r="Z27" s="310">
        <v>60</v>
      </c>
      <c r="AA27" s="310">
        <v>100</v>
      </c>
      <c r="AB27" s="307">
        <f t="shared" si="2"/>
        <v>7000</v>
      </c>
      <c r="AC27" s="311">
        <f t="shared" si="3"/>
        <v>4.2000000000000003E-2</v>
      </c>
      <c r="AL27" s="317">
        <v>60</v>
      </c>
      <c r="AM27" s="342">
        <f t="shared" si="5"/>
        <v>0</v>
      </c>
      <c r="AO27" s="342">
        <v>4.2000000000000003E-2</v>
      </c>
      <c r="AP27" s="342">
        <f t="shared" si="6"/>
        <v>0</v>
      </c>
    </row>
    <row r="28" spans="2:43">
      <c r="B28" s="367" t="s">
        <v>164</v>
      </c>
      <c r="C28" s="372"/>
      <c r="D28" s="373"/>
      <c r="E28" s="374"/>
      <c r="F28" s="372"/>
      <c r="G28" s="373"/>
      <c r="H28" s="374"/>
      <c r="I28" s="372"/>
      <c r="J28" s="373"/>
      <c r="K28" s="374"/>
      <c r="L28" s="375"/>
      <c r="M28" s="376"/>
      <c r="N28" s="376"/>
      <c r="O28" s="377"/>
      <c r="P28" s="378"/>
      <c r="R28" s="313"/>
      <c r="S28" s="307"/>
      <c r="T28" s="307"/>
      <c r="U28" s="312"/>
      <c r="V28" s="313"/>
      <c r="W28" s="307"/>
      <c r="X28" s="307"/>
      <c r="Y28" s="312"/>
      <c r="Z28" s="310">
        <v>420</v>
      </c>
      <c r="AA28" s="310">
        <v>325</v>
      </c>
      <c r="AB28" s="307">
        <f t="shared" si="2"/>
        <v>22750</v>
      </c>
      <c r="AC28" s="311">
        <f t="shared" si="3"/>
        <v>0.95550000000000002</v>
      </c>
      <c r="AL28" s="317">
        <v>480</v>
      </c>
      <c r="AM28" s="342">
        <f t="shared" si="5"/>
        <v>-60</v>
      </c>
      <c r="AO28" s="342">
        <v>1.0920000000000001</v>
      </c>
      <c r="AP28" s="342">
        <f t="shared" si="6"/>
        <v>-0.13650000000000007</v>
      </c>
    </row>
    <row r="29" spans="2:43">
      <c r="B29" s="367" t="s">
        <v>132</v>
      </c>
      <c r="C29" s="333"/>
      <c r="D29" s="334"/>
      <c r="E29" s="339"/>
      <c r="F29" s="333"/>
      <c r="G29" s="334"/>
      <c r="H29" s="339"/>
      <c r="I29" s="333"/>
      <c r="J29" s="334"/>
      <c r="K29" s="339"/>
      <c r="L29" s="341"/>
      <c r="M29" s="310"/>
      <c r="N29" s="310"/>
      <c r="O29" s="307"/>
      <c r="P29" s="312"/>
      <c r="R29" s="313"/>
      <c r="S29" s="307"/>
      <c r="T29" s="307"/>
      <c r="U29" s="312"/>
      <c r="V29" s="313"/>
      <c r="W29" s="307"/>
      <c r="X29" s="307"/>
      <c r="Y29" s="312"/>
      <c r="Z29" s="310">
        <v>300</v>
      </c>
      <c r="AA29" s="310">
        <v>200</v>
      </c>
      <c r="AB29" s="307">
        <f t="shared" si="2"/>
        <v>14000</v>
      </c>
      <c r="AC29" s="311">
        <f t="shared" si="3"/>
        <v>0.42</v>
      </c>
      <c r="AM29" s="342"/>
      <c r="AO29" s="342"/>
      <c r="AP29" s="342"/>
    </row>
    <row r="30" spans="2:43">
      <c r="B30" s="332" t="s">
        <v>165</v>
      </c>
      <c r="C30" s="333"/>
      <c r="D30" s="334"/>
      <c r="E30" s="339"/>
      <c r="F30" s="333"/>
      <c r="G30" s="334"/>
      <c r="H30" s="339"/>
      <c r="I30" s="333"/>
      <c r="J30" s="334"/>
      <c r="K30" s="339"/>
      <c r="L30" s="341"/>
      <c r="M30" s="310"/>
      <c r="N30" s="310"/>
      <c r="O30" s="307"/>
      <c r="P30" s="312"/>
      <c r="R30" s="313"/>
      <c r="S30" s="307"/>
      <c r="T30" s="307"/>
      <c r="U30" s="312"/>
      <c r="V30" s="313"/>
      <c r="W30" s="307"/>
      <c r="X30" s="307"/>
      <c r="Y30" s="312"/>
      <c r="Z30" s="310">
        <v>4520</v>
      </c>
      <c r="AA30" s="310">
        <v>100</v>
      </c>
      <c r="AB30" s="307">
        <f t="shared" si="2"/>
        <v>7000</v>
      </c>
      <c r="AC30" s="311">
        <f t="shared" si="3"/>
        <v>3.1640000000000001</v>
      </c>
      <c r="AL30" s="317">
        <v>4520</v>
      </c>
      <c r="AM30" s="342">
        <f t="shared" si="5"/>
        <v>0</v>
      </c>
      <c r="AO30" s="342">
        <v>3.1640000000000001</v>
      </c>
      <c r="AP30" s="342">
        <f t="shared" si="6"/>
        <v>0</v>
      </c>
      <c r="AQ30" s="379"/>
    </row>
    <row r="31" spans="2:43" ht="13.5" thickBot="1">
      <c r="B31" s="367" t="s">
        <v>35</v>
      </c>
      <c r="C31" s="333"/>
      <c r="D31" s="334"/>
      <c r="E31" s="339"/>
      <c r="F31" s="333"/>
      <c r="G31" s="334"/>
      <c r="H31" s="339"/>
      <c r="I31" s="333"/>
      <c r="J31" s="334"/>
      <c r="K31" s="339"/>
      <c r="L31" s="341"/>
      <c r="M31" s="310"/>
      <c r="N31" s="310"/>
      <c r="O31" s="307"/>
      <c r="P31" s="312"/>
      <c r="R31" s="313"/>
      <c r="S31" s="307"/>
      <c r="T31" s="307"/>
      <c r="U31" s="312"/>
      <c r="V31" s="313"/>
      <c r="W31" s="307"/>
      <c r="X31" s="307"/>
      <c r="Y31" s="312"/>
      <c r="Z31" s="310">
        <v>2000</v>
      </c>
      <c r="AA31" s="310">
        <v>78</v>
      </c>
      <c r="AB31" s="307">
        <f t="shared" si="2"/>
        <v>5460</v>
      </c>
      <c r="AC31" s="311">
        <f t="shared" si="3"/>
        <v>1.0920000000000001</v>
      </c>
      <c r="AG31" s="317">
        <v>123</v>
      </c>
      <c r="AH31" s="317">
        <f>(AG31*Z31)*70/10^7</f>
        <v>1.722</v>
      </c>
      <c r="AI31" s="342">
        <f>AG31+AA31</f>
        <v>201</v>
      </c>
      <c r="AL31" s="317">
        <v>2000</v>
      </c>
      <c r="AM31" s="342">
        <f t="shared" si="5"/>
        <v>0</v>
      </c>
      <c r="AO31" s="342">
        <v>1.0920000000000001</v>
      </c>
      <c r="AP31" s="342">
        <f t="shared" si="6"/>
        <v>0</v>
      </c>
    </row>
    <row r="32" spans="2:43" ht="13.5" thickBot="1">
      <c r="B32" s="347"/>
      <c r="C32" s="348"/>
      <c r="D32" s="348"/>
      <c r="E32" s="349"/>
      <c r="F32" s="348"/>
      <c r="G32" s="348"/>
      <c r="H32" s="349"/>
      <c r="I32" s="348"/>
      <c r="J32" s="348"/>
      <c r="K32" s="349"/>
      <c r="L32" s="347"/>
      <c r="M32" s="314"/>
      <c r="N32" s="314"/>
      <c r="O32" s="314"/>
      <c r="P32" s="314"/>
      <c r="Q32" s="348"/>
      <c r="R32" s="314"/>
      <c r="S32" s="314"/>
      <c r="T32" s="314"/>
      <c r="U32" s="314"/>
      <c r="V32" s="314"/>
      <c r="W32" s="314"/>
      <c r="X32" s="314"/>
      <c r="Y32" s="314"/>
      <c r="Z32" s="314"/>
      <c r="AA32" s="314"/>
      <c r="AB32" s="314"/>
      <c r="AC32" s="314">
        <f>SUM(AC9:AC31)</f>
        <v>208.10829899999996</v>
      </c>
      <c r="AJ32" s="317">
        <f>14.13</f>
        <v>14.13</v>
      </c>
    </row>
    <row r="33" spans="2:37" ht="13.5" thickBot="1">
      <c r="B33" s="350" t="s">
        <v>181</v>
      </c>
      <c r="C33" s="351"/>
      <c r="D33" s="351"/>
      <c r="E33" s="352"/>
      <c r="F33" s="351"/>
      <c r="G33" s="351"/>
      <c r="H33" s="352"/>
      <c r="I33" s="351"/>
      <c r="J33" s="351"/>
      <c r="K33" s="352"/>
      <c r="L33" s="350"/>
      <c r="M33" s="315"/>
      <c r="N33" s="315"/>
      <c r="O33" s="315"/>
      <c r="P33" s="315"/>
      <c r="R33" s="315"/>
      <c r="S33" s="315"/>
      <c r="T33" s="315"/>
      <c r="U33" s="315"/>
      <c r="V33" s="315"/>
      <c r="W33" s="315"/>
      <c r="X33" s="315"/>
      <c r="Y33" s="315"/>
      <c r="Z33" s="315"/>
      <c r="AA33" s="315"/>
      <c r="AB33" s="315"/>
      <c r="AC33" s="315"/>
      <c r="AJ33" s="317">
        <v>2.37</v>
      </c>
    </row>
    <row r="34" spans="2:37" ht="13.5" thickBot="1">
      <c r="B34" s="347" t="s">
        <v>182</v>
      </c>
      <c r="C34" s="315">
        <f>SUM(C9:C21)</f>
        <v>58958</v>
      </c>
      <c r="D34" s="351"/>
      <c r="E34" s="353">
        <f>SUM(E9:E21)</f>
        <v>113.72</v>
      </c>
      <c r="F34" s="314">
        <f>SUM(F9:F21)</f>
        <v>79497</v>
      </c>
      <c r="G34" s="348"/>
      <c r="H34" s="354">
        <f>SUM(H9:H21)</f>
        <v>196.52</v>
      </c>
      <c r="I34" s="315">
        <f>SUM(I9:I21)</f>
        <v>52886</v>
      </c>
      <c r="J34" s="315"/>
      <c r="K34" s="315"/>
      <c r="L34" s="353">
        <f>SUM(L9:L21)</f>
        <v>67.400000000000006</v>
      </c>
      <c r="M34" s="314">
        <f>SUM(M9:M21)</f>
        <v>44443</v>
      </c>
      <c r="N34" s="348"/>
      <c r="O34" s="348"/>
      <c r="P34" s="354">
        <f>SUM(P9:P21)</f>
        <v>77.715995548999985</v>
      </c>
      <c r="Q34" s="348"/>
      <c r="R34" s="314">
        <f>SUM(R9:R21)</f>
        <v>5454</v>
      </c>
      <c r="S34" s="348"/>
      <c r="T34" s="348"/>
      <c r="U34" s="355">
        <f>SUM(U9:U21)</f>
        <v>11.885343087999999</v>
      </c>
      <c r="V34" s="314">
        <f>SUM(V9:V21)</f>
        <v>6312.5999999999995</v>
      </c>
      <c r="W34" s="348"/>
      <c r="X34" s="348"/>
      <c r="Y34" s="355">
        <f>SUM(Y9:Y21)</f>
        <v>9.890239974349841</v>
      </c>
      <c r="Z34" s="314"/>
      <c r="AA34" s="348"/>
      <c r="AB34" s="348"/>
      <c r="AC34" s="354">
        <f>AC32+AC33</f>
        <v>208.10829899999996</v>
      </c>
      <c r="AH34" s="342"/>
      <c r="AJ34" s="317">
        <f>AJ32-AJ33</f>
        <v>11.760000000000002</v>
      </c>
    </row>
    <row r="35" spans="2:37" ht="13.5" hidden="1" thickBot="1">
      <c r="B35" s="317" t="s">
        <v>183</v>
      </c>
      <c r="E35" s="343">
        <f>SUM(E9:E21)</f>
        <v>113.72</v>
      </c>
      <c r="H35" s="343">
        <f>SUM(H9:H21)</f>
        <v>196.52</v>
      </c>
      <c r="L35" s="343">
        <f>SUM(L9:L21)</f>
        <v>67.400000000000006</v>
      </c>
      <c r="M35" s="343"/>
      <c r="N35" s="343"/>
      <c r="O35" s="343"/>
      <c r="P35" s="343">
        <f>SUM(P9:P21)</f>
        <v>77.715995548999985</v>
      </c>
      <c r="Q35" s="342"/>
      <c r="R35" s="343"/>
      <c r="S35" s="343"/>
      <c r="T35" s="343"/>
      <c r="U35" s="343">
        <f>SUM(U9:U21)</f>
        <v>11.885343087999999</v>
      </c>
      <c r="AC35" s="342"/>
    </row>
    <row r="36" spans="2:37" ht="13.5" hidden="1" thickBot="1">
      <c r="B36" s="317" t="s">
        <v>182</v>
      </c>
      <c r="E36" s="356">
        <v>127</v>
      </c>
      <c r="H36" s="317">
        <v>211</v>
      </c>
      <c r="L36" s="317">
        <v>69</v>
      </c>
      <c r="P36" s="343">
        <f>64.47+17.15</f>
        <v>81.62</v>
      </c>
      <c r="U36" s="343"/>
      <c r="AC36" s="342"/>
    </row>
    <row r="37" spans="2:37" ht="13.5" hidden="1" thickBot="1">
      <c r="E37" s="316">
        <f>E35/E36</f>
        <v>0.89543307086614177</v>
      </c>
      <c r="H37" s="316">
        <f>H35/H36</f>
        <v>0.93137440758293844</v>
      </c>
      <c r="L37" s="316">
        <f>L35/L36</f>
        <v>0.97681159420289865</v>
      </c>
      <c r="P37" s="316">
        <f>P35/P36</f>
        <v>0.95216853159764736</v>
      </c>
      <c r="U37" s="316"/>
      <c r="AC37" s="342"/>
    </row>
    <row r="38" spans="2:37">
      <c r="B38" s="357" t="s">
        <v>184</v>
      </c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9">
        <v>28.33</v>
      </c>
      <c r="AK38" s="316"/>
    </row>
    <row r="39" spans="2:37">
      <c r="B39" s="341" t="s">
        <v>185</v>
      </c>
      <c r="C39" s="336"/>
      <c r="D39" s="336"/>
      <c r="E39" s="336"/>
      <c r="F39" s="336"/>
      <c r="G39" s="336"/>
      <c r="H39" s="336"/>
      <c r="I39" s="336"/>
      <c r="J39" s="336"/>
      <c r="K39" s="336"/>
      <c r="L39" s="336"/>
      <c r="M39" s="336"/>
      <c r="N39" s="336"/>
      <c r="O39" s="336"/>
      <c r="P39" s="336"/>
      <c r="Q39" s="336"/>
      <c r="R39" s="336"/>
      <c r="S39" s="336"/>
      <c r="T39" s="336"/>
      <c r="U39" s="336"/>
      <c r="V39" s="336"/>
      <c r="W39" s="336"/>
      <c r="X39" s="336"/>
      <c r="Y39" s="336"/>
      <c r="Z39" s="336"/>
      <c r="AA39" s="336"/>
      <c r="AB39" s="336"/>
      <c r="AC39" s="339">
        <f>10.09+2.72+0.92</f>
        <v>13.73</v>
      </c>
    </row>
    <row r="40" spans="2:37">
      <c r="B40" s="341" t="s">
        <v>186</v>
      </c>
      <c r="C40" s="336"/>
      <c r="D40" s="336"/>
      <c r="E40" s="336"/>
      <c r="F40" s="336"/>
      <c r="G40" s="336"/>
      <c r="H40" s="336"/>
      <c r="I40" s="336"/>
      <c r="J40" s="336"/>
      <c r="K40" s="336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339">
        <v>129.86000000000001</v>
      </c>
    </row>
    <row r="41" spans="2:37" ht="13.5" thickBot="1">
      <c r="B41" s="350" t="s">
        <v>187</v>
      </c>
      <c r="C41" s="351"/>
      <c r="D41" s="351"/>
      <c r="E41" s="351"/>
      <c r="F41" s="351"/>
      <c r="G41" s="351"/>
      <c r="H41" s="351"/>
      <c r="I41" s="351"/>
      <c r="J41" s="351"/>
      <c r="K41" s="351"/>
      <c r="L41" s="351"/>
      <c r="M41" s="351"/>
      <c r="N41" s="351"/>
      <c r="O41" s="351"/>
      <c r="P41" s="351"/>
      <c r="Q41" s="351"/>
      <c r="R41" s="351"/>
      <c r="S41" s="351"/>
      <c r="T41" s="351"/>
      <c r="U41" s="351"/>
      <c r="V41" s="351"/>
      <c r="W41" s="351"/>
      <c r="X41" s="351"/>
      <c r="Y41" s="351"/>
      <c r="Z41" s="351"/>
      <c r="AA41" s="351"/>
      <c r="AB41" s="351"/>
      <c r="AC41" s="360">
        <f>AC34+AC38+AC39-AC40</f>
        <v>120.30829899999995</v>
      </c>
      <c r="AF41" s="346"/>
    </row>
    <row r="43" spans="2:37">
      <c r="AC43" s="343">
        <f>107.56</f>
        <v>107.56</v>
      </c>
      <c r="AF43" s="317" t="s">
        <v>188</v>
      </c>
    </row>
    <row r="44" spans="2:37">
      <c r="AC44" s="342">
        <f>AC41-AC43</f>
        <v>12.748298999999946</v>
      </c>
      <c r="AF44" s="317" t="s">
        <v>189</v>
      </c>
    </row>
    <row r="45" spans="2:37">
      <c r="AC45" s="343">
        <v>21.25</v>
      </c>
      <c r="AF45" s="317" t="s">
        <v>190</v>
      </c>
    </row>
    <row r="46" spans="2:37">
      <c r="AC46" s="342">
        <f>AC44-AC45</f>
        <v>-8.5017010000000539</v>
      </c>
      <c r="AF46" s="317" t="s">
        <v>191</v>
      </c>
    </row>
    <row r="47" spans="2:37">
      <c r="AC47" s="343">
        <f>1902000*70/10^7</f>
        <v>13.314</v>
      </c>
      <c r="AF47" s="317" t="s">
        <v>192</v>
      </c>
    </row>
    <row r="48" spans="2:37">
      <c r="AC48" s="342">
        <f>AC46+AC47</f>
        <v>4.8122989999999461</v>
      </c>
      <c r="AF48" s="317" t="s">
        <v>193</v>
      </c>
    </row>
  </sheetData>
  <mergeCells count="7">
    <mergeCell ref="Z5:AC5"/>
    <mergeCell ref="C5:E5"/>
    <mergeCell ref="F5:H5"/>
    <mergeCell ref="I5:L5"/>
    <mergeCell ref="M5:P5"/>
    <mergeCell ref="R5:U5"/>
    <mergeCell ref="V5:Y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3"/>
  <sheetViews>
    <sheetView workbookViewId="0">
      <pane xSplit="1" ySplit="1" topLeftCell="B55" activePane="bottomRight" state="frozen"/>
      <selection pane="topRight" activeCell="B1" sqref="B1"/>
      <selection pane="bottomLeft" activeCell="A2" sqref="A2"/>
      <selection pane="bottomRight" activeCell="C79" sqref="C79:H79"/>
    </sheetView>
  </sheetViews>
  <sheetFormatPr defaultRowHeight="12.75"/>
  <cols>
    <col min="1" max="1" width="25.42578125" customWidth="1"/>
    <col min="2" max="2" width="9.140625" style="417"/>
    <col min="3" max="3" width="10.28515625" style="417" customWidth="1"/>
    <col min="4" max="4" width="11.85546875" style="417" customWidth="1"/>
    <col min="5" max="5" width="9.140625" style="417"/>
    <col min="6" max="6" width="12.85546875" style="417" bestFit="1" customWidth="1"/>
    <col min="7" max="7" width="12.42578125" style="417" bestFit="1" customWidth="1"/>
    <col min="8" max="8" width="9.140625" style="417"/>
  </cols>
  <sheetData>
    <row r="1" spans="1:8">
      <c r="A1" t="s">
        <v>226</v>
      </c>
      <c r="B1" s="417" t="s">
        <v>3</v>
      </c>
      <c r="C1" s="417" t="s">
        <v>6</v>
      </c>
      <c r="D1" s="417" t="s">
        <v>145</v>
      </c>
      <c r="E1" s="417" t="s">
        <v>146</v>
      </c>
      <c r="F1" s="417" t="s">
        <v>147</v>
      </c>
      <c r="G1" s="417" t="s">
        <v>148</v>
      </c>
      <c r="H1" s="417" t="s">
        <v>89</v>
      </c>
    </row>
    <row r="2" spans="1:8" s="1" customFormat="1">
      <c r="A2" s="1" t="s">
        <v>141</v>
      </c>
      <c r="B2" s="419">
        <v>27.796903890340772</v>
      </c>
      <c r="C2" s="419">
        <v>0.12283134830301788</v>
      </c>
      <c r="D2" s="419">
        <v>-0.36299059550909463</v>
      </c>
      <c r="E2" s="419">
        <v>0.64486457859084378</v>
      </c>
      <c r="F2" s="419">
        <v>0</v>
      </c>
      <c r="G2" s="419">
        <v>0</v>
      </c>
      <c r="H2" s="419">
        <v>28.201609221725537</v>
      </c>
    </row>
    <row r="3" spans="1:8">
      <c r="A3" t="s">
        <v>43</v>
      </c>
      <c r="B3" s="418">
        <v>11.611781805379797</v>
      </c>
      <c r="C3" s="418">
        <v>0</v>
      </c>
      <c r="D3" s="418">
        <v>-0.36299059550909463</v>
      </c>
      <c r="E3" s="418">
        <v>0.64486457859084378</v>
      </c>
      <c r="F3" s="418">
        <v>0</v>
      </c>
      <c r="G3" s="418">
        <v>0</v>
      </c>
      <c r="H3" s="418">
        <v>11.893655788461547</v>
      </c>
    </row>
    <row r="4" spans="1:8">
      <c r="A4" t="s">
        <v>129</v>
      </c>
      <c r="B4" s="418">
        <v>14.65128</v>
      </c>
      <c r="C4" s="418">
        <v>0</v>
      </c>
      <c r="D4" s="418">
        <v>0</v>
      </c>
      <c r="E4" s="418">
        <v>0</v>
      </c>
      <c r="F4" s="418">
        <v>0</v>
      </c>
      <c r="G4" s="418">
        <v>0</v>
      </c>
      <c r="H4" s="418">
        <v>14.65128</v>
      </c>
    </row>
    <row r="5" spans="1:8">
      <c r="A5" t="s">
        <v>44</v>
      </c>
      <c r="B5" s="418">
        <v>0.52113420083559692</v>
      </c>
      <c r="C5" s="418">
        <v>0</v>
      </c>
      <c r="D5" s="418">
        <v>0</v>
      </c>
      <c r="E5" s="418">
        <v>0</v>
      </c>
      <c r="F5" s="418">
        <v>0</v>
      </c>
      <c r="G5" s="418">
        <v>0</v>
      </c>
      <c r="H5" s="418">
        <v>0.52113420083559692</v>
      </c>
    </row>
    <row r="6" spans="1:8">
      <c r="A6" t="s">
        <v>45</v>
      </c>
      <c r="B6" s="418">
        <v>1.0127078841253747</v>
      </c>
      <c r="C6" s="418">
        <v>0.12283134830301788</v>
      </c>
      <c r="D6" s="418">
        <v>0</v>
      </c>
      <c r="E6" s="418">
        <v>0</v>
      </c>
      <c r="F6" s="418">
        <v>0</v>
      </c>
      <c r="G6" s="418">
        <v>0</v>
      </c>
      <c r="H6" s="418">
        <v>1.1355392324283926</v>
      </c>
    </row>
    <row r="7" spans="1:8" s="1" customFormat="1">
      <c r="A7" s="1" t="s">
        <v>140</v>
      </c>
      <c r="B7" s="419">
        <v>59.703782784843852</v>
      </c>
      <c r="C7" s="419">
        <v>8.8663762991299695</v>
      </c>
      <c r="D7" s="419">
        <v>9.6146142389134219</v>
      </c>
      <c r="E7" s="419">
        <v>26.267875988720327</v>
      </c>
      <c r="F7" s="419">
        <v>43.00821158501774</v>
      </c>
      <c r="G7" s="419">
        <v>12.56689290337467</v>
      </c>
      <c r="H7" s="419">
        <v>160.02775379999997</v>
      </c>
    </row>
    <row r="8" spans="1:8">
      <c r="A8" t="s">
        <v>46</v>
      </c>
      <c r="B8" s="418">
        <v>14.883291595330743</v>
      </c>
      <c r="C8" s="418">
        <v>5.9321361867704203</v>
      </c>
      <c r="D8" s="418">
        <v>4.7356221789883275</v>
      </c>
      <c r="E8" s="418">
        <v>14.867417898832683</v>
      </c>
      <c r="F8" s="418">
        <v>15.074927953307371</v>
      </c>
      <c r="G8" s="418">
        <v>8.3471361867704257</v>
      </c>
      <c r="H8" s="418">
        <v>63.840531999999975</v>
      </c>
    </row>
    <row r="9" spans="1:8">
      <c r="A9" t="s">
        <v>130</v>
      </c>
      <c r="B9" s="418">
        <v>7.1539999999999999</v>
      </c>
      <c r="C9" s="418">
        <v>0</v>
      </c>
      <c r="D9" s="418">
        <v>0</v>
      </c>
      <c r="E9" s="418">
        <v>0</v>
      </c>
      <c r="F9" s="418">
        <v>0</v>
      </c>
      <c r="G9" s="418">
        <v>0</v>
      </c>
      <c r="H9" s="418">
        <v>7.1539999999999999</v>
      </c>
    </row>
    <row r="10" spans="1:8">
      <c r="A10" t="s">
        <v>131</v>
      </c>
      <c r="B10" s="418">
        <v>32.2269948</v>
      </c>
      <c r="C10" s="418">
        <v>0</v>
      </c>
      <c r="D10" s="418">
        <v>0</v>
      </c>
      <c r="E10" s="418">
        <v>0</v>
      </c>
      <c r="F10" s="418">
        <v>0</v>
      </c>
      <c r="G10" s="418">
        <v>0</v>
      </c>
      <c r="H10" s="418">
        <v>32.2269948</v>
      </c>
    </row>
    <row r="11" spans="1:8">
      <c r="A11" t="s">
        <v>48</v>
      </c>
      <c r="B11" s="418">
        <v>1.9782000000000008</v>
      </c>
      <c r="C11" s="418">
        <v>0.2746800000000002</v>
      </c>
      <c r="D11" s="418">
        <v>0</v>
      </c>
      <c r="E11" s="418">
        <v>3.6609300000000036</v>
      </c>
      <c r="F11" s="418">
        <v>2.6283600000000011</v>
      </c>
      <c r="G11" s="418">
        <v>0.37547999999999998</v>
      </c>
      <c r="H11" s="418">
        <v>8.9176500000000054</v>
      </c>
    </row>
    <row r="12" spans="1:8">
      <c r="A12" t="s">
        <v>49</v>
      </c>
      <c r="B12" s="418">
        <v>0</v>
      </c>
      <c r="C12" s="418">
        <v>0</v>
      </c>
      <c r="D12" s="418">
        <v>3.7631999999999999</v>
      </c>
      <c r="E12" s="418">
        <v>0</v>
      </c>
      <c r="F12" s="418">
        <v>0</v>
      </c>
      <c r="G12" s="418">
        <v>0</v>
      </c>
      <c r="H12" s="418">
        <v>3.7631999999999999</v>
      </c>
    </row>
    <row r="13" spans="1:8">
      <c r="A13" t="s">
        <v>47</v>
      </c>
      <c r="B13" s="418">
        <v>2.6124480000000001</v>
      </c>
      <c r="C13" s="418">
        <v>2.4146999999999994</v>
      </c>
      <c r="D13" s="418">
        <v>0.98520000000000019</v>
      </c>
      <c r="E13" s="418">
        <v>7.5436399999999999</v>
      </c>
      <c r="F13" s="418">
        <v>20.732024999999997</v>
      </c>
      <c r="G13" s="418">
        <v>3.7354500000000002</v>
      </c>
      <c r="H13" s="418">
        <v>38.023462999999992</v>
      </c>
    </row>
    <row r="14" spans="1:8">
      <c r="A14" t="s">
        <v>51</v>
      </c>
      <c r="B14" s="418">
        <v>0.84884838951310648</v>
      </c>
      <c r="C14" s="418">
        <v>0.24486011235955063</v>
      </c>
      <c r="D14" s="418">
        <v>0.13059205992509368</v>
      </c>
      <c r="E14" s="418">
        <v>0.1958880898876405</v>
      </c>
      <c r="F14" s="418">
        <v>4.5728986317103635</v>
      </c>
      <c r="G14" s="418">
        <v>0.10882671660424473</v>
      </c>
      <c r="H14" s="418">
        <v>6.1019139999999998</v>
      </c>
    </row>
    <row r="15" spans="1:8" s="1" customFormat="1">
      <c r="A15" s="1" t="s">
        <v>142</v>
      </c>
      <c r="B15" s="419">
        <v>6.8453787169811289</v>
      </c>
      <c r="C15" s="419">
        <v>1.0657359999999998</v>
      </c>
      <c r="D15" s="419">
        <v>14.032695283018869</v>
      </c>
      <c r="E15" s="419">
        <v>0.38135999999999998</v>
      </c>
      <c r="F15" s="419">
        <v>3.6265599999999987</v>
      </c>
      <c r="G15" s="419">
        <v>0.63560000000000005</v>
      </c>
      <c r="H15" s="419">
        <v>26.587329999999994</v>
      </c>
    </row>
    <row r="16" spans="1:8">
      <c r="A16" t="s">
        <v>54</v>
      </c>
      <c r="B16" s="418">
        <v>3.2415600000000002</v>
      </c>
      <c r="C16" s="418">
        <v>0.31780000000000003</v>
      </c>
      <c r="D16" s="418">
        <v>1.5254399999999999</v>
      </c>
      <c r="E16" s="418">
        <v>0.38135999999999998</v>
      </c>
      <c r="F16" s="418">
        <v>2.2246000000000001</v>
      </c>
      <c r="G16" s="418">
        <v>0.63560000000000005</v>
      </c>
      <c r="H16" s="418">
        <v>8.3263600000000011</v>
      </c>
    </row>
    <row r="17" spans="1:8">
      <c r="A17" t="s">
        <v>55</v>
      </c>
      <c r="B17" s="418">
        <v>0</v>
      </c>
      <c r="C17" s="418">
        <v>0.74793599999999971</v>
      </c>
      <c r="D17" s="418">
        <v>6.7737600000000002</v>
      </c>
      <c r="E17" s="418">
        <v>0</v>
      </c>
      <c r="F17" s="418">
        <v>0</v>
      </c>
      <c r="G17" s="418">
        <v>0</v>
      </c>
      <c r="H17" s="418">
        <v>7.5216960000000004</v>
      </c>
    </row>
    <row r="18" spans="1:8">
      <c r="A18" t="s">
        <v>50</v>
      </c>
      <c r="B18" s="418">
        <v>3.6038187169811287</v>
      </c>
      <c r="C18" s="418">
        <v>0</v>
      </c>
      <c r="D18" s="418">
        <v>3.4948952830188693</v>
      </c>
      <c r="E18" s="418">
        <v>0</v>
      </c>
      <c r="F18" s="418">
        <v>0.44645999999999852</v>
      </c>
      <c r="G18" s="418">
        <v>0</v>
      </c>
      <c r="H18" s="418">
        <v>7.5451739999999958</v>
      </c>
    </row>
    <row r="19" spans="1:8">
      <c r="A19" t="s">
        <v>84</v>
      </c>
      <c r="B19" s="418">
        <v>0</v>
      </c>
      <c r="C19" s="418">
        <v>0</v>
      </c>
      <c r="D19" s="418">
        <v>2.2385999999999999</v>
      </c>
      <c r="E19" s="418">
        <v>0</v>
      </c>
      <c r="F19" s="418">
        <v>0</v>
      </c>
      <c r="G19" s="418">
        <v>0</v>
      </c>
      <c r="H19" s="418">
        <v>2.2385999999999999</v>
      </c>
    </row>
    <row r="20" spans="1:8">
      <c r="A20" t="s">
        <v>111</v>
      </c>
      <c r="B20" s="418">
        <v>0</v>
      </c>
      <c r="C20" s="418">
        <v>0</v>
      </c>
      <c r="D20" s="418">
        <v>0</v>
      </c>
      <c r="E20" s="418">
        <v>0</v>
      </c>
      <c r="F20" s="418">
        <v>0.95550000000000002</v>
      </c>
      <c r="G20" s="418">
        <v>0</v>
      </c>
      <c r="H20" s="418">
        <v>0.95550000000000002</v>
      </c>
    </row>
    <row r="21" spans="1:8">
      <c r="B21" s="418"/>
      <c r="C21" s="418"/>
      <c r="D21" s="418"/>
      <c r="E21" s="418"/>
      <c r="F21" s="418"/>
      <c r="G21" s="418"/>
      <c r="H21" s="418"/>
    </row>
    <row r="22" spans="1:8">
      <c r="A22" t="s">
        <v>143</v>
      </c>
      <c r="B22" s="418"/>
      <c r="C22" s="418"/>
      <c r="D22" s="418"/>
      <c r="E22" s="418"/>
      <c r="F22" s="418"/>
      <c r="G22" s="418"/>
      <c r="H22" s="418"/>
    </row>
    <row r="23" spans="1:8">
      <c r="A23" t="s">
        <v>40</v>
      </c>
      <c r="B23" s="418">
        <v>10.714598999999987</v>
      </c>
      <c r="C23" s="418">
        <v>0</v>
      </c>
      <c r="D23" s="418">
        <v>19.888318799999986</v>
      </c>
      <c r="E23" s="418">
        <v>0</v>
      </c>
      <c r="F23" s="418">
        <v>0.30908219999999997</v>
      </c>
      <c r="G23" s="418">
        <v>0</v>
      </c>
      <c r="H23" s="418">
        <v>30.911999999999971</v>
      </c>
    </row>
    <row r="24" spans="1:8">
      <c r="A24" t="s">
        <v>30</v>
      </c>
      <c r="B24" s="418">
        <v>0</v>
      </c>
      <c r="C24" s="418">
        <v>0</v>
      </c>
      <c r="D24" s="418">
        <v>1.7841599999999993</v>
      </c>
      <c r="E24" s="418">
        <v>0</v>
      </c>
      <c r="F24" s="418">
        <v>0.89207999999999998</v>
      </c>
      <c r="G24" s="418">
        <v>1.0704959999999999</v>
      </c>
      <c r="H24" s="418">
        <v>3.746735999999999</v>
      </c>
    </row>
    <row r="25" spans="1:8">
      <c r="A25" t="s">
        <v>107</v>
      </c>
      <c r="B25" s="418">
        <v>22.814399999999999</v>
      </c>
      <c r="C25" s="418">
        <v>0</v>
      </c>
      <c r="D25" s="418">
        <v>0</v>
      </c>
      <c r="E25" s="418">
        <v>0</v>
      </c>
      <c r="F25" s="418">
        <v>0</v>
      </c>
      <c r="G25" s="418">
        <v>0</v>
      </c>
      <c r="H25" s="418">
        <v>22.814399999999999</v>
      </c>
    </row>
    <row r="26" spans="1:8">
      <c r="B26" s="418"/>
      <c r="C26" s="418"/>
      <c r="D26" s="418"/>
      <c r="E26" s="418"/>
      <c r="F26" s="418"/>
      <c r="G26" s="418"/>
      <c r="H26" s="418"/>
    </row>
    <row r="27" spans="1:8">
      <c r="A27" t="s">
        <v>33</v>
      </c>
      <c r="B27" s="418">
        <v>3.9291697109826593</v>
      </c>
      <c r="C27" s="418">
        <v>18.72904228901734</v>
      </c>
      <c r="D27" s="418">
        <v>0</v>
      </c>
      <c r="E27" s="418">
        <v>0</v>
      </c>
      <c r="F27" s="418">
        <v>0</v>
      </c>
      <c r="G27" s="418">
        <v>0</v>
      </c>
      <c r="H27" s="418">
        <v>22.658211999999999</v>
      </c>
    </row>
    <row r="28" spans="1:8">
      <c r="A28" t="s">
        <v>34</v>
      </c>
      <c r="B28" s="418">
        <v>0</v>
      </c>
      <c r="C28" s="418">
        <v>49.98368</v>
      </c>
      <c r="D28" s="418">
        <v>0</v>
      </c>
      <c r="E28" s="418">
        <v>0</v>
      </c>
      <c r="F28" s="418">
        <v>0</v>
      </c>
      <c r="G28" s="418">
        <v>0</v>
      </c>
      <c r="H28" s="418">
        <v>49.98368</v>
      </c>
    </row>
    <row r="29" spans="1:8">
      <c r="A29" t="s">
        <v>62</v>
      </c>
      <c r="B29" s="418">
        <v>0</v>
      </c>
      <c r="C29" s="418">
        <v>0</v>
      </c>
      <c r="D29" s="418">
        <v>0</v>
      </c>
      <c r="E29" s="418">
        <v>0</v>
      </c>
      <c r="F29" s="418">
        <v>0</v>
      </c>
      <c r="G29" s="418">
        <v>0</v>
      </c>
      <c r="H29" s="418">
        <v>0</v>
      </c>
    </row>
    <row r="30" spans="1:8">
      <c r="A30" t="s">
        <v>32</v>
      </c>
      <c r="B30" s="418">
        <v>0</v>
      </c>
      <c r="C30" s="418">
        <v>0</v>
      </c>
      <c r="D30" s="418">
        <v>1.007981</v>
      </c>
      <c r="E30" s="418">
        <v>0</v>
      </c>
      <c r="F30" s="418">
        <v>0</v>
      </c>
      <c r="G30" s="418">
        <v>0</v>
      </c>
      <c r="H30" s="418">
        <v>1.007981</v>
      </c>
    </row>
    <row r="31" spans="1:8">
      <c r="A31" t="s">
        <v>31</v>
      </c>
      <c r="B31" s="418">
        <v>0</v>
      </c>
      <c r="C31" s="418">
        <v>12.157138600000001</v>
      </c>
      <c r="D31" s="418">
        <v>0</v>
      </c>
      <c r="E31" s="418">
        <v>0</v>
      </c>
      <c r="F31" s="418">
        <v>0</v>
      </c>
      <c r="G31" s="418">
        <v>0</v>
      </c>
      <c r="H31" s="418">
        <v>12.157138600000001</v>
      </c>
    </row>
    <row r="32" spans="1:8">
      <c r="A32" t="s">
        <v>35</v>
      </c>
      <c r="B32" s="418">
        <v>1.0920000000000001</v>
      </c>
      <c r="C32" s="418">
        <v>0</v>
      </c>
      <c r="D32" s="418">
        <v>0</v>
      </c>
      <c r="E32" s="418">
        <v>0</v>
      </c>
      <c r="F32" s="418">
        <v>0</v>
      </c>
      <c r="G32" s="418">
        <v>0</v>
      </c>
      <c r="H32" s="418">
        <v>1.0920000000000001</v>
      </c>
    </row>
    <row r="33" spans="1:8">
      <c r="A33" t="s">
        <v>83</v>
      </c>
      <c r="B33" s="418">
        <v>32.665979866592913</v>
      </c>
      <c r="C33" s="418">
        <v>0</v>
      </c>
      <c r="D33" s="418">
        <v>0</v>
      </c>
      <c r="E33" s="418">
        <v>3.4850860752212385</v>
      </c>
      <c r="F33" s="418">
        <v>0</v>
      </c>
      <c r="G33" s="418">
        <v>0.26808354424778758</v>
      </c>
      <c r="H33" s="418">
        <v>36.41914948606194</v>
      </c>
    </row>
    <row r="34" spans="1:8">
      <c r="A34" t="s">
        <v>37</v>
      </c>
      <c r="B34" s="418">
        <v>0.84840000000000093</v>
      </c>
      <c r="C34" s="418">
        <v>0</v>
      </c>
      <c r="D34" s="418">
        <v>0</v>
      </c>
      <c r="E34" s="418">
        <v>8.484000000000011E-2</v>
      </c>
      <c r="F34" s="418">
        <v>0</v>
      </c>
      <c r="G34" s="418">
        <v>0</v>
      </c>
      <c r="H34" s="418">
        <v>0.93324000000000107</v>
      </c>
    </row>
    <row r="35" spans="1:8">
      <c r="A35" t="s">
        <v>38</v>
      </c>
      <c r="B35" s="418">
        <v>0</v>
      </c>
      <c r="C35" s="418">
        <v>0</v>
      </c>
      <c r="D35" s="418">
        <v>0</v>
      </c>
      <c r="E35" s="418">
        <v>0</v>
      </c>
      <c r="F35" s="418">
        <v>0</v>
      </c>
      <c r="G35" s="418">
        <v>0</v>
      </c>
      <c r="H35" s="418">
        <v>0</v>
      </c>
    </row>
    <row r="36" spans="1:8">
      <c r="A36" t="s">
        <v>39</v>
      </c>
      <c r="B36" s="418">
        <v>0.65520000000000123</v>
      </c>
      <c r="C36" s="418">
        <v>0</v>
      </c>
      <c r="D36" s="418">
        <v>0</v>
      </c>
      <c r="E36" s="418">
        <v>0.3192000000000012</v>
      </c>
      <c r="F36" s="418">
        <v>0</v>
      </c>
      <c r="G36" s="418">
        <v>0</v>
      </c>
      <c r="H36" s="418">
        <v>0.97440000000000238</v>
      </c>
    </row>
    <row r="37" spans="1:8">
      <c r="A37" t="s">
        <v>11</v>
      </c>
      <c r="B37" s="418">
        <v>19.336320000000004</v>
      </c>
      <c r="C37" s="418">
        <v>0</v>
      </c>
      <c r="D37" s="418">
        <v>0</v>
      </c>
      <c r="E37" s="418">
        <v>0</v>
      </c>
      <c r="F37" s="418">
        <v>0</v>
      </c>
      <c r="G37" s="418">
        <v>0</v>
      </c>
      <c r="H37" s="418">
        <v>19.336320000000004</v>
      </c>
    </row>
    <row r="38" spans="1:8">
      <c r="A38" t="s">
        <v>87</v>
      </c>
      <c r="B38" s="418">
        <v>14.201879999999999</v>
      </c>
      <c r="C38" s="418">
        <v>0</v>
      </c>
      <c r="D38" s="418">
        <v>0</v>
      </c>
      <c r="E38" s="418">
        <v>0</v>
      </c>
      <c r="F38" s="418">
        <v>0</v>
      </c>
      <c r="G38" s="418">
        <v>0</v>
      </c>
      <c r="H38" s="418">
        <v>14.201879999999999</v>
      </c>
    </row>
    <row r="39" spans="1:8">
      <c r="A39" t="s">
        <v>86</v>
      </c>
      <c r="B39" s="418">
        <v>38.46255</v>
      </c>
      <c r="C39" s="418">
        <v>0</v>
      </c>
      <c r="D39" s="418">
        <v>0</v>
      </c>
      <c r="E39" s="418">
        <v>5.2582326844726142</v>
      </c>
      <c r="F39" s="418">
        <v>0</v>
      </c>
      <c r="G39" s="418">
        <v>8.5176000000000016</v>
      </c>
      <c r="H39" s="418">
        <v>52.238382684472619</v>
      </c>
    </row>
    <row r="40" spans="1:8">
      <c r="A40" t="s">
        <v>120</v>
      </c>
      <c r="B40" s="418">
        <v>0</v>
      </c>
      <c r="C40" s="418">
        <v>0</v>
      </c>
      <c r="D40" s="418">
        <v>0</v>
      </c>
      <c r="E40" s="418">
        <v>0</v>
      </c>
      <c r="F40" s="418">
        <v>0</v>
      </c>
      <c r="G40" s="418">
        <v>0</v>
      </c>
      <c r="H40" s="418">
        <v>0</v>
      </c>
    </row>
    <row r="41" spans="1:8">
      <c r="A41" t="s">
        <v>36</v>
      </c>
      <c r="B41" s="418">
        <v>0</v>
      </c>
      <c r="C41" s="418">
        <v>0</v>
      </c>
      <c r="D41" s="418">
        <v>0</v>
      </c>
      <c r="E41" s="418">
        <v>0</v>
      </c>
      <c r="F41" s="418">
        <v>0</v>
      </c>
      <c r="G41" s="418">
        <v>0</v>
      </c>
      <c r="H41" s="418">
        <v>0</v>
      </c>
    </row>
    <row r="42" spans="1:8">
      <c r="A42" t="s">
        <v>53</v>
      </c>
      <c r="B42" s="418">
        <v>0</v>
      </c>
      <c r="C42" s="418">
        <v>0</v>
      </c>
      <c r="D42" s="418">
        <v>0</v>
      </c>
      <c r="E42" s="418">
        <v>0</v>
      </c>
      <c r="F42" s="418">
        <v>0</v>
      </c>
      <c r="G42" s="418">
        <v>0</v>
      </c>
      <c r="H42" s="418">
        <v>0</v>
      </c>
    </row>
    <row r="43" spans="1:8">
      <c r="A43" t="s">
        <v>124</v>
      </c>
      <c r="B43" s="418">
        <v>15.838800000000006</v>
      </c>
      <c r="C43" s="418">
        <v>0</v>
      </c>
      <c r="D43" s="418">
        <v>0</v>
      </c>
      <c r="E43" s="418">
        <v>0</v>
      </c>
      <c r="F43" s="418">
        <v>0.39597000000000004</v>
      </c>
      <c r="G43" s="418">
        <v>0</v>
      </c>
      <c r="H43" s="418">
        <v>16.234770000000005</v>
      </c>
    </row>
    <row r="44" spans="1:8">
      <c r="A44" t="s">
        <v>63</v>
      </c>
      <c r="B44" s="418">
        <v>0</v>
      </c>
      <c r="C44" s="418">
        <v>0</v>
      </c>
      <c r="D44" s="418">
        <v>0</v>
      </c>
      <c r="E44" s="418">
        <v>0</v>
      </c>
      <c r="F44" s="418">
        <v>0</v>
      </c>
      <c r="G44" s="418">
        <v>0</v>
      </c>
      <c r="H44" s="418">
        <v>0</v>
      </c>
    </row>
    <row r="45" spans="1:8">
      <c r="A45" t="s">
        <v>41</v>
      </c>
      <c r="B45" s="418">
        <v>-0.579600000000002</v>
      </c>
      <c r="C45" s="418">
        <v>0</v>
      </c>
      <c r="D45" s="418">
        <v>0</v>
      </c>
      <c r="E45" s="418">
        <v>0</v>
      </c>
      <c r="F45" s="418">
        <v>-5.7960000000000185E-2</v>
      </c>
      <c r="G45" s="418">
        <v>0</v>
      </c>
      <c r="H45" s="418">
        <v>-0.63756000000000224</v>
      </c>
    </row>
    <row r="46" spans="1:8">
      <c r="A46" t="s">
        <v>52</v>
      </c>
      <c r="B46" s="418">
        <v>0</v>
      </c>
      <c r="C46" s="418">
        <v>0</v>
      </c>
      <c r="D46" s="418">
        <v>0</v>
      </c>
      <c r="E46" s="418">
        <v>0</v>
      </c>
      <c r="F46" s="418">
        <v>0</v>
      </c>
      <c r="G46" s="418">
        <v>0</v>
      </c>
      <c r="H46" s="418">
        <v>0</v>
      </c>
    </row>
    <row r="47" spans="1:8">
      <c r="A47" t="s">
        <v>42</v>
      </c>
      <c r="B47" s="418">
        <v>0</v>
      </c>
      <c r="C47" s="418">
        <v>0</v>
      </c>
      <c r="D47" s="418">
        <v>0</v>
      </c>
      <c r="E47" s="418">
        <v>0</v>
      </c>
      <c r="F47" s="418">
        <v>0</v>
      </c>
      <c r="G47" s="418">
        <v>0</v>
      </c>
      <c r="H47" s="418">
        <v>0</v>
      </c>
    </row>
    <row r="48" spans="1:8">
      <c r="A48" t="s">
        <v>127</v>
      </c>
      <c r="B48" s="418">
        <v>0</v>
      </c>
      <c r="C48" s="418">
        <v>0</v>
      </c>
      <c r="D48" s="418">
        <v>0</v>
      </c>
      <c r="E48" s="418">
        <v>0</v>
      </c>
      <c r="F48" s="418">
        <v>0</v>
      </c>
      <c r="G48" s="418">
        <v>0</v>
      </c>
      <c r="H48" s="418">
        <v>0</v>
      </c>
    </row>
    <row r="49" spans="1:8">
      <c r="A49" t="s">
        <v>126</v>
      </c>
      <c r="B49" s="418">
        <v>0</v>
      </c>
      <c r="C49" s="418">
        <v>0</v>
      </c>
      <c r="D49" s="418">
        <v>5.2722000000000016</v>
      </c>
      <c r="E49" s="418">
        <v>0</v>
      </c>
      <c r="F49" s="418">
        <v>0</v>
      </c>
      <c r="G49" s="418">
        <v>0</v>
      </c>
      <c r="H49" s="418">
        <v>5.2722000000000016</v>
      </c>
    </row>
    <row r="50" spans="1:8">
      <c r="A50" t="s">
        <v>64</v>
      </c>
      <c r="B50" s="418">
        <v>0</v>
      </c>
      <c r="C50" s="418">
        <v>0</v>
      </c>
      <c r="D50" s="418">
        <v>0</v>
      </c>
      <c r="E50" s="418">
        <v>0</v>
      </c>
      <c r="F50" s="418">
        <v>0</v>
      </c>
      <c r="G50" s="418">
        <v>0</v>
      </c>
      <c r="H50" s="418">
        <v>0</v>
      </c>
    </row>
    <row r="51" spans="1:8">
      <c r="A51" t="s">
        <v>119</v>
      </c>
      <c r="B51" s="418">
        <v>4.4249254697117175</v>
      </c>
      <c r="C51" s="418">
        <v>21.723763020292022</v>
      </c>
      <c r="D51" s="418">
        <v>4.6253576338450015</v>
      </c>
      <c r="E51" s="418">
        <v>0.770892938974167</v>
      </c>
      <c r="F51" s="418">
        <v>9.2507152676900031</v>
      </c>
      <c r="G51" s="418">
        <v>0.385442499064021</v>
      </c>
      <c r="H51" s="418">
        <v>41.18109682957693</v>
      </c>
    </row>
    <row r="52" spans="1:8">
      <c r="A52" t="s">
        <v>72</v>
      </c>
      <c r="B52" s="418"/>
      <c r="C52" s="418"/>
      <c r="D52" s="418"/>
      <c r="E52" s="418"/>
      <c r="F52" s="418"/>
      <c r="G52" s="418"/>
      <c r="H52" s="418"/>
    </row>
    <row r="53" spans="1:8">
      <c r="B53" s="418"/>
      <c r="C53" s="418"/>
      <c r="D53" s="418"/>
      <c r="E53" s="418"/>
      <c r="F53" s="418"/>
      <c r="G53" s="418"/>
      <c r="H53" s="418"/>
    </row>
    <row r="54" spans="1:8">
      <c r="A54" t="s">
        <v>56</v>
      </c>
      <c r="B54" s="418">
        <v>50.417399999999994</v>
      </c>
      <c r="C54" s="418">
        <v>0</v>
      </c>
      <c r="D54" s="418">
        <v>0</v>
      </c>
      <c r="E54" s="418">
        <v>0</v>
      </c>
      <c r="F54" s="418">
        <v>0</v>
      </c>
      <c r="G54" s="418">
        <v>0</v>
      </c>
      <c r="H54" s="418">
        <v>50.417399999999994</v>
      </c>
    </row>
    <row r="55" spans="1:8">
      <c r="A55" t="s">
        <v>57</v>
      </c>
      <c r="B55" s="418">
        <v>20.797600000000003</v>
      </c>
      <c r="C55" s="418">
        <v>0</v>
      </c>
      <c r="D55" s="418">
        <v>0</v>
      </c>
      <c r="E55" s="418">
        <v>0</v>
      </c>
      <c r="F55" s="418">
        <v>0</v>
      </c>
      <c r="G55" s="418">
        <v>0</v>
      </c>
      <c r="H55" s="418">
        <v>20.797600000000003</v>
      </c>
    </row>
    <row r="56" spans="1:8">
      <c r="A56" t="s">
        <v>58</v>
      </c>
      <c r="B56" s="418">
        <v>0</v>
      </c>
      <c r="C56" s="418">
        <v>0</v>
      </c>
      <c r="D56" s="418">
        <v>0</v>
      </c>
      <c r="E56" s="418">
        <v>0</v>
      </c>
      <c r="F56" s="418">
        <v>0</v>
      </c>
      <c r="G56" s="418">
        <v>0</v>
      </c>
      <c r="H56" s="418">
        <v>0</v>
      </c>
    </row>
    <row r="57" spans="1:8">
      <c r="A57" t="s">
        <v>103</v>
      </c>
      <c r="B57" s="418">
        <v>0</v>
      </c>
      <c r="C57" s="418">
        <v>0</v>
      </c>
      <c r="D57" s="418">
        <v>0</v>
      </c>
      <c r="E57" s="418">
        <v>0</v>
      </c>
      <c r="F57" s="418">
        <v>0</v>
      </c>
      <c r="G57" s="418">
        <v>0</v>
      </c>
      <c r="H57" s="418">
        <v>0</v>
      </c>
    </row>
    <row r="58" spans="1:8">
      <c r="A58" t="s">
        <v>59</v>
      </c>
      <c r="B58" s="418">
        <v>0</v>
      </c>
      <c r="C58" s="418">
        <v>0</v>
      </c>
      <c r="D58" s="418">
        <v>0</v>
      </c>
      <c r="E58" s="418">
        <v>0</v>
      </c>
      <c r="F58" s="418">
        <v>0</v>
      </c>
      <c r="G58" s="418">
        <v>0</v>
      </c>
      <c r="H58" s="418">
        <v>0</v>
      </c>
    </row>
    <row r="59" spans="1:8">
      <c r="A59" t="s">
        <v>0</v>
      </c>
      <c r="B59" s="418">
        <v>0</v>
      </c>
      <c r="C59" s="418">
        <v>0</v>
      </c>
      <c r="D59" s="418">
        <v>0</v>
      </c>
      <c r="E59" s="418">
        <v>0</v>
      </c>
      <c r="F59" s="418">
        <v>0</v>
      </c>
      <c r="G59" s="418">
        <v>0</v>
      </c>
      <c r="H59" s="418">
        <v>0</v>
      </c>
    </row>
    <row r="60" spans="1:8">
      <c r="B60" s="418"/>
      <c r="C60" s="418"/>
      <c r="D60" s="418"/>
      <c r="E60" s="418"/>
      <c r="F60" s="418"/>
      <c r="G60" s="418"/>
      <c r="H60" s="418"/>
    </row>
    <row r="61" spans="1:8">
      <c r="A61" t="s">
        <v>60</v>
      </c>
      <c r="B61" s="418">
        <v>3.1281599999999994</v>
      </c>
      <c r="C61" s="418">
        <v>0</v>
      </c>
      <c r="D61" s="418">
        <v>0</v>
      </c>
      <c r="E61" s="418">
        <v>0</v>
      </c>
      <c r="F61" s="418">
        <v>0</v>
      </c>
      <c r="G61" s="418">
        <v>0</v>
      </c>
      <c r="H61" s="418">
        <v>3.1281599999999994</v>
      </c>
    </row>
    <row r="62" spans="1:8">
      <c r="A62" t="s">
        <v>61</v>
      </c>
      <c r="B62" s="418">
        <v>4.4234400000000003</v>
      </c>
      <c r="C62" s="418">
        <v>0</v>
      </c>
      <c r="D62" s="418">
        <v>0</v>
      </c>
      <c r="E62" s="418">
        <v>0</v>
      </c>
      <c r="F62" s="418">
        <v>0</v>
      </c>
      <c r="G62" s="418">
        <v>0</v>
      </c>
      <c r="H62" s="418">
        <v>4.4234400000000003</v>
      </c>
    </row>
    <row r="63" spans="1:8">
      <c r="B63" s="418"/>
      <c r="C63" s="418"/>
      <c r="D63" s="418"/>
      <c r="E63" s="418"/>
      <c r="F63" s="418"/>
      <c r="G63" s="418"/>
      <c r="H63" s="418"/>
    </row>
    <row r="64" spans="1:8">
      <c r="A64" t="s">
        <v>109</v>
      </c>
      <c r="B64" s="418">
        <v>4.2000000000000003E-2</v>
      </c>
      <c r="C64" s="418">
        <v>0</v>
      </c>
      <c r="D64" s="418">
        <v>0</v>
      </c>
      <c r="E64" s="418">
        <v>4.2000000000000003E-2</v>
      </c>
      <c r="F64" s="418">
        <v>0</v>
      </c>
      <c r="G64" s="418">
        <v>0</v>
      </c>
      <c r="H64" s="418">
        <v>8.4000000000000005E-2</v>
      </c>
    </row>
    <row r="65" spans="1:8">
      <c r="A65" t="s">
        <v>110</v>
      </c>
      <c r="B65" s="418">
        <v>0</v>
      </c>
      <c r="C65" s="418">
        <v>0</v>
      </c>
      <c r="D65" s="418">
        <v>0</v>
      </c>
      <c r="E65" s="418">
        <v>4.2000000000000003E-2</v>
      </c>
      <c r="F65" s="418">
        <v>0</v>
      </c>
      <c r="G65" s="418">
        <v>0</v>
      </c>
      <c r="H65" s="418">
        <v>4.2000000000000003E-2</v>
      </c>
    </row>
    <row r="66" spans="1:8">
      <c r="A66" t="s">
        <v>132</v>
      </c>
      <c r="B66" s="418">
        <v>6.9999999999999854E-2</v>
      </c>
      <c r="C66" s="418">
        <v>0</v>
      </c>
      <c r="D66" s="418">
        <v>0.34999999999999842</v>
      </c>
      <c r="E66" s="418">
        <v>0</v>
      </c>
      <c r="F66" s="418">
        <v>0</v>
      </c>
      <c r="G66" s="418">
        <v>0</v>
      </c>
      <c r="H66" s="418">
        <v>0.41999999999999826</v>
      </c>
    </row>
    <row r="67" spans="1:8">
      <c r="A67" t="s">
        <v>121</v>
      </c>
      <c r="B67" s="418">
        <v>0</v>
      </c>
      <c r="C67" s="418">
        <v>0</v>
      </c>
      <c r="D67" s="418">
        <v>0</v>
      </c>
      <c r="E67" s="418">
        <v>0</v>
      </c>
      <c r="F67" s="418">
        <v>0</v>
      </c>
      <c r="G67" s="418">
        <v>0</v>
      </c>
      <c r="H67" s="418">
        <v>0</v>
      </c>
    </row>
    <row r="68" spans="1:8">
      <c r="A68" t="s">
        <v>122</v>
      </c>
      <c r="B68" s="418">
        <v>0</v>
      </c>
      <c r="C68" s="418">
        <v>0</v>
      </c>
      <c r="D68" s="418">
        <v>0</v>
      </c>
      <c r="E68" s="418">
        <v>0</v>
      </c>
      <c r="F68" s="418">
        <v>0</v>
      </c>
      <c r="G68" s="418">
        <v>0</v>
      </c>
      <c r="H68" s="418">
        <v>0</v>
      </c>
    </row>
    <row r="69" spans="1:8">
      <c r="A69" t="s">
        <v>123</v>
      </c>
      <c r="B69" s="418">
        <v>0</v>
      </c>
      <c r="C69" s="418">
        <v>0</v>
      </c>
      <c r="D69" s="418">
        <v>0</v>
      </c>
      <c r="E69" s="418">
        <v>0</v>
      </c>
      <c r="F69" s="418">
        <v>0</v>
      </c>
      <c r="G69" s="418">
        <v>0</v>
      </c>
      <c r="H69" s="418">
        <v>0</v>
      </c>
    </row>
    <row r="70" spans="1:8">
      <c r="B70" s="418"/>
      <c r="C70" s="418"/>
      <c r="D70" s="418"/>
      <c r="E70" s="418"/>
      <c r="F70" s="418"/>
      <c r="G70" s="418"/>
      <c r="H70" s="418"/>
    </row>
    <row r="71" spans="1:8">
      <c r="B71" s="418"/>
      <c r="C71" s="418"/>
      <c r="D71" s="418"/>
      <c r="E71" s="418"/>
      <c r="F71" s="418"/>
      <c r="G71" s="418"/>
      <c r="H71" s="418"/>
    </row>
    <row r="72" spans="1:8">
      <c r="A72" t="s">
        <v>89</v>
      </c>
      <c r="B72" s="418">
        <v>337.62928943945303</v>
      </c>
      <c r="C72" s="418">
        <v>112.64856755674235</v>
      </c>
      <c r="D72" s="418">
        <v>56.212336360268189</v>
      </c>
      <c r="E72" s="418">
        <v>37.296352265979195</v>
      </c>
      <c r="F72" s="418">
        <v>57.424659052707739</v>
      </c>
      <c r="G72" s="418">
        <v>23.444114946686483</v>
      </c>
      <c r="H72" s="418">
        <v>624.65531962183695</v>
      </c>
    </row>
    <row r="74" spans="1:8">
      <c r="A74" s="289" t="s">
        <v>223</v>
      </c>
    </row>
    <row r="76" spans="1:8">
      <c r="A76" t="s">
        <v>214</v>
      </c>
      <c r="B76" s="418">
        <f>B2+B7+B15+SUM(B64:B69)</f>
        <v>94.45806539216575</v>
      </c>
      <c r="C76" s="574" t="s">
        <v>218</v>
      </c>
      <c r="D76" s="574"/>
      <c r="E76" s="574"/>
      <c r="F76" s="574"/>
      <c r="G76" s="574"/>
      <c r="H76" s="574"/>
    </row>
    <row r="77" spans="1:8">
      <c r="A77" t="s">
        <v>215</v>
      </c>
      <c r="B77" s="418">
        <f>SUM(B23:B62)</f>
        <v>243.1712240472873</v>
      </c>
      <c r="C77" s="574" t="s">
        <v>219</v>
      </c>
      <c r="D77" s="575"/>
      <c r="E77" s="575"/>
      <c r="F77" s="575"/>
      <c r="G77" s="575"/>
      <c r="H77" s="575"/>
    </row>
    <row r="78" spans="1:8">
      <c r="A78" t="s">
        <v>216</v>
      </c>
      <c r="B78" s="418">
        <f>D2+D7+D15+SUM(D23:D69)</f>
        <v>56.212336360268189</v>
      </c>
      <c r="C78" s="574" t="s">
        <v>220</v>
      </c>
      <c r="D78" s="574"/>
      <c r="E78" s="574"/>
      <c r="F78" s="574"/>
      <c r="G78" s="574"/>
      <c r="H78" s="574"/>
    </row>
    <row r="79" spans="1:8">
      <c r="A79" t="s">
        <v>217</v>
      </c>
      <c r="B79" s="418">
        <f>C2+C7+C15+SUM(C23:C69)+G2+G7+G15+SUM(G23:G69)</f>
        <v>136.09268250342882</v>
      </c>
      <c r="C79" s="574" t="s">
        <v>222</v>
      </c>
      <c r="D79" s="574"/>
      <c r="E79" s="574"/>
      <c r="F79" s="574"/>
      <c r="G79" s="574"/>
      <c r="H79" s="574"/>
    </row>
    <row r="80" spans="1:8">
      <c r="A80" t="s">
        <v>217</v>
      </c>
      <c r="B80" s="418">
        <f>F2+F7+F15+SUM(F23:F69)</f>
        <v>57.424659052707739</v>
      </c>
      <c r="C80" s="574" t="s">
        <v>221</v>
      </c>
      <c r="D80" s="574"/>
      <c r="E80" s="574"/>
      <c r="F80" s="574"/>
      <c r="G80" s="574"/>
      <c r="H80" s="574"/>
    </row>
    <row r="81" spans="1:8">
      <c r="A81" s="289" t="s">
        <v>235</v>
      </c>
      <c r="B81" s="418">
        <f>E2+E7+E15+SUM(E23:E69)</f>
        <v>37.296352265979195</v>
      </c>
      <c r="C81" s="574" t="s">
        <v>224</v>
      </c>
      <c r="D81" s="574"/>
      <c r="E81" s="574"/>
      <c r="F81" s="574"/>
      <c r="G81" s="574"/>
      <c r="H81" s="574"/>
    </row>
    <row r="83" spans="1:8">
      <c r="A83" s="289" t="s">
        <v>89</v>
      </c>
      <c r="B83" s="418">
        <f>SUM(B76:B81)</f>
        <v>624.65531962183695</v>
      </c>
      <c r="C83" s="417" t="s">
        <v>227</v>
      </c>
    </row>
  </sheetData>
  <mergeCells count="6">
    <mergeCell ref="C81:H81"/>
    <mergeCell ref="C76:H76"/>
    <mergeCell ref="C77:H77"/>
    <mergeCell ref="C78:H78"/>
    <mergeCell ref="C79:H79"/>
    <mergeCell ref="C80:H80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tabSelected="1" workbookViewId="0">
      <selection activeCell="F20" sqref="F20"/>
    </sheetView>
  </sheetViews>
  <sheetFormatPr defaultRowHeight="12.75"/>
  <cols>
    <col min="1" max="1" width="30.85546875" customWidth="1"/>
    <col min="2" max="2" width="15.5703125" style="417" bestFit="1" customWidth="1"/>
    <col min="3" max="3" width="11.140625" style="417" customWidth="1"/>
    <col min="4" max="4" width="15.7109375" style="417" customWidth="1"/>
    <col min="5" max="5" width="12.42578125" style="417" bestFit="1" customWidth="1"/>
    <col min="6" max="6" width="21" style="417" bestFit="1" customWidth="1"/>
    <col min="7" max="7" width="16.5703125" customWidth="1"/>
    <col min="8" max="8" width="12.5703125" customWidth="1"/>
    <col min="9" max="9" width="15.85546875" bestFit="1" customWidth="1"/>
  </cols>
  <sheetData>
    <row r="1" spans="1:9">
      <c r="A1" t="s">
        <v>226</v>
      </c>
      <c r="B1" s="417" t="s">
        <v>237</v>
      </c>
      <c r="C1" s="417" t="s">
        <v>236</v>
      </c>
      <c r="D1" s="417" t="s">
        <v>238</v>
      </c>
      <c r="F1" t="s">
        <v>10</v>
      </c>
      <c r="G1" s="417" t="s">
        <v>237</v>
      </c>
      <c r="H1" s="417" t="s">
        <v>236</v>
      </c>
      <c r="I1" s="417" t="s">
        <v>238</v>
      </c>
    </row>
    <row r="2" spans="1:9" s="1" customFormat="1">
      <c r="B2" s="419"/>
      <c r="C2" s="419"/>
      <c r="D2" s="419"/>
      <c r="E2" s="419"/>
      <c r="F2"/>
      <c r="G2" t="s">
        <v>68</v>
      </c>
      <c r="H2" t="s">
        <v>68</v>
      </c>
      <c r="I2" t="s">
        <v>68</v>
      </c>
    </row>
    <row r="3" spans="1:9">
      <c r="A3" t="s">
        <v>43</v>
      </c>
      <c r="B3" s="418">
        <v>-0.36299059550909463</v>
      </c>
      <c r="C3" s="418">
        <f>H3/G3*B3</f>
        <v>0</v>
      </c>
      <c r="D3" s="418">
        <f t="shared" ref="D3:D25" si="0">B3-C3</f>
        <v>-0.36299059550909463</v>
      </c>
      <c r="E3" s="418"/>
      <c r="F3" t="s">
        <v>43</v>
      </c>
      <c r="G3" s="417">
        <v>480</v>
      </c>
      <c r="H3" s="417"/>
      <c r="I3" s="417">
        <f>G3-H3</f>
        <v>480</v>
      </c>
    </row>
    <row r="4" spans="1:9" s="1" customFormat="1">
      <c r="B4" s="419"/>
      <c r="C4" s="419"/>
      <c r="D4" s="419"/>
      <c r="E4" s="419"/>
      <c r="G4" s="520"/>
      <c r="H4" s="520"/>
      <c r="I4" s="520"/>
    </row>
    <row r="5" spans="1:9">
      <c r="A5" t="s">
        <v>46</v>
      </c>
      <c r="B5" s="418">
        <v>4.7356221789883275</v>
      </c>
      <c r="C5" s="418">
        <f t="shared" ref="C5:C8" si="1">H5/G5*B5</f>
        <v>1.0722163424124516</v>
      </c>
      <c r="D5" s="418">
        <f t="shared" si="0"/>
        <v>3.6634058365758762</v>
      </c>
      <c r="E5" s="418"/>
      <c r="F5" t="s">
        <v>46</v>
      </c>
      <c r="G5" s="417">
        <v>1590</v>
      </c>
      <c r="H5" s="417">
        <v>360</v>
      </c>
      <c r="I5" s="417">
        <f t="shared" ref="I5:I8" si="2">G5-H5</f>
        <v>1230</v>
      </c>
    </row>
    <row r="6" spans="1:9">
      <c r="A6" t="s">
        <v>49</v>
      </c>
      <c r="B6" s="418">
        <v>3.7631999999999999</v>
      </c>
      <c r="C6" s="418">
        <f t="shared" si="1"/>
        <v>3.7631999999999999</v>
      </c>
      <c r="D6" s="418">
        <f t="shared" si="0"/>
        <v>0</v>
      </c>
      <c r="E6" s="418"/>
      <c r="F6" t="s">
        <v>49</v>
      </c>
      <c r="G6" s="417">
        <v>1200</v>
      </c>
      <c r="H6" s="417">
        <v>1200</v>
      </c>
      <c r="I6" s="417">
        <f t="shared" si="2"/>
        <v>0</v>
      </c>
    </row>
    <row r="7" spans="1:9">
      <c r="A7" t="s">
        <v>47</v>
      </c>
      <c r="B7" s="418">
        <v>0.98520000000000019</v>
      </c>
      <c r="C7" s="418">
        <f t="shared" si="1"/>
        <v>0.65680000000000005</v>
      </c>
      <c r="D7" s="418">
        <f t="shared" si="0"/>
        <v>0.32840000000000014</v>
      </c>
      <c r="E7" s="418"/>
      <c r="F7" t="s">
        <v>47</v>
      </c>
      <c r="G7" s="417">
        <v>120</v>
      </c>
      <c r="H7" s="417">
        <v>80</v>
      </c>
      <c r="I7" s="417">
        <f t="shared" si="2"/>
        <v>40</v>
      </c>
    </row>
    <row r="8" spans="1:9">
      <c r="A8" t="s">
        <v>51</v>
      </c>
      <c r="B8" s="418">
        <v>0.13059205992509368</v>
      </c>
      <c r="C8" s="418">
        <f t="shared" si="1"/>
        <v>0.10882671660424474</v>
      </c>
      <c r="D8" s="418">
        <f t="shared" si="0"/>
        <v>2.1765343320848937E-2</v>
      </c>
      <c r="E8" s="418"/>
      <c r="F8" t="s">
        <v>51</v>
      </c>
      <c r="G8" s="417">
        <v>120</v>
      </c>
      <c r="H8" s="417">
        <v>100</v>
      </c>
      <c r="I8" s="417">
        <f t="shared" si="2"/>
        <v>20</v>
      </c>
    </row>
    <row r="9" spans="1:9" s="1" customFormat="1">
      <c r="B9" s="419"/>
      <c r="C9" s="419"/>
      <c r="D9" s="419"/>
      <c r="E9" s="419"/>
      <c r="G9" s="520"/>
      <c r="H9" s="520"/>
      <c r="I9" s="520"/>
    </row>
    <row r="10" spans="1:9">
      <c r="A10" t="s">
        <v>54</v>
      </c>
      <c r="B10" s="418">
        <v>1.5254399999999999</v>
      </c>
      <c r="C10" s="418">
        <f t="shared" ref="C10:C13" si="3">H10/G10*B10</f>
        <v>0</v>
      </c>
      <c r="D10" s="418">
        <f t="shared" si="0"/>
        <v>1.5254399999999999</v>
      </c>
      <c r="E10" s="418"/>
      <c r="F10" t="s">
        <v>54</v>
      </c>
      <c r="G10" s="417">
        <v>240</v>
      </c>
      <c r="H10" s="417"/>
      <c r="I10" s="417">
        <f t="shared" ref="I10:I14" si="4">G10-H10</f>
        <v>240</v>
      </c>
    </row>
    <row r="11" spans="1:9">
      <c r="A11" t="s">
        <v>55</v>
      </c>
      <c r="B11" s="418">
        <v>6.7737600000000002</v>
      </c>
      <c r="C11" s="418">
        <f t="shared" si="3"/>
        <v>0.84672000000000003</v>
      </c>
      <c r="D11" s="418">
        <f t="shared" si="0"/>
        <v>5.9270399999999999</v>
      </c>
      <c r="E11" s="418"/>
      <c r="F11" t="s">
        <v>55</v>
      </c>
      <c r="G11" s="417">
        <v>960</v>
      </c>
      <c r="H11" s="417">
        <v>120</v>
      </c>
      <c r="I11" s="417">
        <f t="shared" si="4"/>
        <v>840</v>
      </c>
    </row>
    <row r="12" spans="1:9">
      <c r="A12" t="s">
        <v>50</v>
      </c>
      <c r="B12" s="418">
        <v>3.4948952830188693</v>
      </c>
      <c r="C12" s="418">
        <f t="shared" si="3"/>
        <v>0</v>
      </c>
      <c r="D12" s="418">
        <f t="shared" si="0"/>
        <v>3.4948952830188693</v>
      </c>
      <c r="E12" s="418"/>
      <c r="F12" t="s">
        <v>50</v>
      </c>
      <c r="G12" s="417">
        <v>450</v>
      </c>
      <c r="H12" s="417"/>
      <c r="I12" s="417">
        <f t="shared" si="4"/>
        <v>450</v>
      </c>
    </row>
    <row r="13" spans="1:9">
      <c r="A13" t="s">
        <v>84</v>
      </c>
      <c r="B13" s="418">
        <v>2.2385999999999999</v>
      </c>
      <c r="C13" s="418">
        <f t="shared" si="3"/>
        <v>0</v>
      </c>
      <c r="D13" s="418">
        <f t="shared" si="0"/>
        <v>2.2385999999999999</v>
      </c>
      <c r="E13" s="418"/>
      <c r="F13" t="s">
        <v>84</v>
      </c>
      <c r="G13" s="417">
        <v>300</v>
      </c>
      <c r="H13" s="417"/>
      <c r="I13" s="417">
        <f t="shared" si="4"/>
        <v>300</v>
      </c>
    </row>
    <row r="14" spans="1:9">
      <c r="A14" t="s">
        <v>73</v>
      </c>
      <c r="B14" s="418"/>
      <c r="C14" s="418"/>
      <c r="D14" s="418"/>
      <c r="E14" s="418"/>
      <c r="F14" t="s">
        <v>73</v>
      </c>
      <c r="G14" s="417">
        <v>5460</v>
      </c>
      <c r="H14" s="417">
        <v>1860</v>
      </c>
      <c r="I14" s="417">
        <f t="shared" si="4"/>
        <v>3600</v>
      </c>
    </row>
    <row r="15" spans="1:9">
      <c r="B15" s="418"/>
      <c r="C15" s="418"/>
      <c r="D15" s="418"/>
      <c r="E15" s="418"/>
      <c r="F15"/>
      <c r="G15" s="417"/>
      <c r="H15" s="417"/>
      <c r="I15" s="417"/>
    </row>
    <row r="16" spans="1:9">
      <c r="A16" t="s">
        <v>40</v>
      </c>
      <c r="B16" s="418">
        <v>19.888318799999986</v>
      </c>
      <c r="C16" s="418">
        <f t="shared" ref="C16:C20" si="5">H16/G16*B16</f>
        <v>1.473208799999999</v>
      </c>
      <c r="D16" s="418">
        <f t="shared" si="0"/>
        <v>18.415109999999988</v>
      </c>
      <c r="E16" s="418"/>
      <c r="F16" t="s">
        <v>40</v>
      </c>
      <c r="G16" s="417">
        <v>3240</v>
      </c>
      <c r="H16" s="417">
        <v>240</v>
      </c>
      <c r="I16" s="417">
        <f t="shared" ref="I16:I21" si="6">G16-H16</f>
        <v>3000</v>
      </c>
    </row>
    <row r="17" spans="1:9">
      <c r="A17" t="s">
        <v>30</v>
      </c>
      <c r="B17" s="418">
        <v>1.7841599999999993</v>
      </c>
      <c r="C17" s="418">
        <f t="shared" si="5"/>
        <v>1.4867999999999995</v>
      </c>
      <c r="D17" s="418">
        <f t="shared" si="0"/>
        <v>0.29735999999999985</v>
      </c>
      <c r="E17" s="418"/>
      <c r="F17" t="s">
        <v>30</v>
      </c>
      <c r="G17" s="417">
        <v>240</v>
      </c>
      <c r="H17" s="417">
        <v>200</v>
      </c>
      <c r="I17" s="417">
        <f t="shared" si="6"/>
        <v>40</v>
      </c>
    </row>
    <row r="18" spans="1:9">
      <c r="A18" t="s">
        <v>32</v>
      </c>
      <c r="B18" s="418">
        <v>1.007981</v>
      </c>
      <c r="C18" s="418">
        <f t="shared" si="5"/>
        <v>0</v>
      </c>
      <c r="D18" s="418">
        <f t="shared" si="0"/>
        <v>1.007981</v>
      </c>
      <c r="E18" s="418"/>
      <c r="F18" t="s">
        <v>32</v>
      </c>
      <c r="G18" s="417">
        <v>221</v>
      </c>
      <c r="H18" s="417"/>
      <c r="I18" s="417">
        <f t="shared" si="6"/>
        <v>221</v>
      </c>
    </row>
    <row r="19" spans="1:9">
      <c r="A19" t="s">
        <v>126</v>
      </c>
      <c r="B19" s="418">
        <v>5.2722000000000016</v>
      </c>
      <c r="C19" s="418">
        <f t="shared" si="5"/>
        <v>0</v>
      </c>
      <c r="D19" s="418">
        <f t="shared" si="0"/>
        <v>5.2722000000000016</v>
      </c>
      <c r="E19" s="418"/>
      <c r="F19" t="s">
        <v>126</v>
      </c>
      <c r="G19" s="417">
        <v>1200</v>
      </c>
      <c r="H19" s="417"/>
      <c r="I19" s="417">
        <f t="shared" si="6"/>
        <v>1200</v>
      </c>
    </row>
    <row r="20" spans="1:9">
      <c r="A20" t="s">
        <v>119</v>
      </c>
      <c r="B20" s="418">
        <v>4.6253576338450015</v>
      </c>
      <c r="C20" s="418">
        <f t="shared" si="5"/>
        <v>0</v>
      </c>
      <c r="D20" s="418">
        <f t="shared" si="0"/>
        <v>4.6253576338450015</v>
      </c>
      <c r="E20" s="418"/>
      <c r="F20" t="s">
        <v>119</v>
      </c>
      <c r="G20" s="417">
        <v>1200</v>
      </c>
      <c r="H20" s="417"/>
      <c r="I20" s="417">
        <f t="shared" si="6"/>
        <v>1200</v>
      </c>
    </row>
    <row r="21" spans="1:9">
      <c r="A21" t="s">
        <v>72</v>
      </c>
      <c r="B21" s="418"/>
      <c r="C21" s="418"/>
      <c r="D21" s="418"/>
      <c r="E21" s="418"/>
      <c r="F21" t="s">
        <v>72</v>
      </c>
      <c r="G21" s="417">
        <v>6101</v>
      </c>
      <c r="H21" s="417">
        <v>440</v>
      </c>
      <c r="I21" s="417">
        <f t="shared" si="6"/>
        <v>5661</v>
      </c>
    </row>
    <row r="22" spans="1:9">
      <c r="B22" s="418"/>
      <c r="C22" s="418"/>
      <c r="D22" s="418"/>
      <c r="E22" s="418"/>
      <c r="F22"/>
      <c r="G22" s="417"/>
      <c r="H22" s="417"/>
      <c r="I22" s="417"/>
    </row>
    <row r="23" spans="1:9">
      <c r="A23" t="s">
        <v>109</v>
      </c>
      <c r="B23" s="418">
        <v>0</v>
      </c>
      <c r="C23" s="418">
        <v>0</v>
      </c>
      <c r="D23" s="418">
        <f t="shared" si="0"/>
        <v>0</v>
      </c>
      <c r="E23" s="418"/>
      <c r="F23" t="s">
        <v>109</v>
      </c>
      <c r="G23" s="417">
        <v>0</v>
      </c>
      <c r="H23" s="417">
        <v>0</v>
      </c>
      <c r="I23" s="417">
        <f t="shared" ref="I23:I28" si="7">G23-H23</f>
        <v>0</v>
      </c>
    </row>
    <row r="24" spans="1:9">
      <c r="A24" t="s">
        <v>110</v>
      </c>
      <c r="B24" s="418">
        <v>0</v>
      </c>
      <c r="C24" s="418">
        <v>0</v>
      </c>
      <c r="D24" s="418">
        <f t="shared" si="0"/>
        <v>0</v>
      </c>
      <c r="E24" s="418"/>
      <c r="F24" t="s">
        <v>110</v>
      </c>
      <c r="G24" s="417">
        <v>0</v>
      </c>
      <c r="H24" s="417">
        <v>0</v>
      </c>
      <c r="I24" s="417">
        <f t="shared" si="7"/>
        <v>0</v>
      </c>
    </row>
    <row r="25" spans="1:9">
      <c r="A25" t="s">
        <v>132</v>
      </c>
      <c r="B25" s="418">
        <v>0.34999999999999842</v>
      </c>
      <c r="C25" s="418">
        <f t="shared" ref="C25" si="8">H25/G25*B25</f>
        <v>0</v>
      </c>
      <c r="D25" s="418">
        <f t="shared" si="0"/>
        <v>0.34999999999999842</v>
      </c>
      <c r="E25" s="418"/>
      <c r="F25" t="s">
        <v>132</v>
      </c>
      <c r="G25" s="417">
        <v>250</v>
      </c>
      <c r="H25" s="417">
        <v>0</v>
      </c>
      <c r="I25" s="417">
        <f t="shared" si="7"/>
        <v>250</v>
      </c>
    </row>
    <row r="26" spans="1:9">
      <c r="A26" t="s">
        <v>121</v>
      </c>
      <c r="B26" s="418">
        <v>0</v>
      </c>
      <c r="C26" s="418">
        <v>0</v>
      </c>
      <c r="D26" s="418">
        <f t="shared" ref="D26:D28" si="9">B26-C26</f>
        <v>0</v>
      </c>
      <c r="E26" s="418"/>
      <c r="F26" t="s">
        <v>121</v>
      </c>
      <c r="G26" s="417">
        <v>0</v>
      </c>
      <c r="H26" s="417">
        <v>0</v>
      </c>
      <c r="I26" s="417">
        <f t="shared" si="7"/>
        <v>0</v>
      </c>
    </row>
    <row r="27" spans="1:9">
      <c r="A27" t="s">
        <v>122</v>
      </c>
      <c r="B27" s="418">
        <v>0</v>
      </c>
      <c r="C27" s="418">
        <v>0</v>
      </c>
      <c r="D27" s="418">
        <f t="shared" si="9"/>
        <v>0</v>
      </c>
      <c r="E27" s="418"/>
      <c r="F27" t="s">
        <v>122</v>
      </c>
      <c r="G27" s="417">
        <v>0</v>
      </c>
      <c r="H27" s="417">
        <v>0</v>
      </c>
      <c r="I27" s="417">
        <f t="shared" si="7"/>
        <v>0</v>
      </c>
    </row>
    <row r="28" spans="1:9">
      <c r="A28" t="s">
        <v>123</v>
      </c>
      <c r="B28" s="418">
        <v>0</v>
      </c>
      <c r="C28" s="418">
        <v>0</v>
      </c>
      <c r="D28" s="418">
        <f t="shared" si="9"/>
        <v>0</v>
      </c>
      <c r="E28" s="418"/>
      <c r="F28" t="s">
        <v>123</v>
      </c>
      <c r="G28" s="417">
        <v>0</v>
      </c>
      <c r="H28" s="417">
        <v>0</v>
      </c>
      <c r="I28" s="417">
        <f t="shared" si="7"/>
        <v>0</v>
      </c>
    </row>
    <row r="29" spans="1:9">
      <c r="B29" s="418"/>
      <c r="C29" s="418"/>
      <c r="D29" s="418"/>
      <c r="E29" s="418"/>
      <c r="F29"/>
      <c r="G29" s="417"/>
      <c r="H29" s="417"/>
      <c r="I29" s="417"/>
    </row>
    <row r="30" spans="1:9">
      <c r="B30" s="418"/>
      <c r="C30" s="418"/>
      <c r="D30" s="418"/>
      <c r="E30" s="418"/>
      <c r="F30"/>
      <c r="G30" s="417"/>
      <c r="H30" s="417"/>
      <c r="I30" s="417"/>
    </row>
    <row r="31" spans="1:9">
      <c r="A31" s="1" t="s">
        <v>239</v>
      </c>
      <c r="B31" s="419">
        <f>SUM(B3:B28)</f>
        <v>56.212336360268189</v>
      </c>
      <c r="C31" s="419">
        <f>SUM(C3:C28)</f>
        <v>9.4077718590166945</v>
      </c>
      <c r="D31" s="419">
        <f>SUM(D3:D28)</f>
        <v>46.804564501251484</v>
      </c>
      <c r="E31" s="418"/>
      <c r="F31" s="1" t="s">
        <v>9</v>
      </c>
      <c r="G31" s="519">
        <v>11561</v>
      </c>
      <c r="H31" s="519">
        <v>2300</v>
      </c>
      <c r="I31" s="520">
        <f>G31-H31</f>
        <v>9261</v>
      </c>
    </row>
    <row r="33" spans="1:1">
      <c r="A33" s="28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3</vt:i4>
      </vt:variant>
    </vt:vector>
  </HeadingPairs>
  <TitlesOfParts>
    <vt:vector size="18" baseType="lpstr">
      <vt:lpstr>Assumptions</vt:lpstr>
      <vt:lpstr>Geog wise sales volume</vt:lpstr>
      <vt:lpstr>Geog wise sales value</vt:lpstr>
      <vt:lpstr>Productwise sales</vt:lpstr>
      <vt:lpstr>Domestic</vt:lpstr>
      <vt:lpstr>Export</vt:lpstr>
      <vt:lpstr>Europe</vt:lpstr>
      <vt:lpstr>Asia-Pacific</vt:lpstr>
      <vt:lpstr>Rest of world</vt:lpstr>
      <vt:lpstr>North America</vt:lpstr>
      <vt:lpstr>Latin America</vt:lpstr>
      <vt:lpstr>ABP Bifurcation</vt:lpstr>
      <vt:lpstr>Revised GC</vt:lpstr>
      <vt:lpstr>Region-wise summary</vt:lpstr>
      <vt:lpstr>Asia-pacific Summary</vt:lpstr>
      <vt:lpstr>Assumptions!Print_Area</vt:lpstr>
      <vt:lpstr>'Productwise sales'!Print_Area</vt:lpstr>
      <vt:lpstr>'Productwise sales'!Print_Titles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 Sriram</dc:creator>
  <cp:lastModifiedBy>Mohammed Anwar  Khan</cp:lastModifiedBy>
  <cp:lastPrinted>2016-05-12T05:14:04Z</cp:lastPrinted>
  <dcterms:created xsi:type="dcterms:W3CDTF">1996-10-14T23:33:28Z</dcterms:created>
  <dcterms:modified xsi:type="dcterms:W3CDTF">2017-04-13T05:24:35Z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